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45" documentId="11_26294D21092B0EF344A9D2C989F53D199949865F" xr6:coauthVersionLast="47" xr6:coauthVersionMax="47" xr10:uidLastSave="{D1C25003-3BB7-4A52-B2A7-4DBF77A51C7B}"/>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M461" i="1"/>
  <c r="M460" i="1"/>
  <c r="M459" i="1"/>
  <c r="M458" i="1"/>
  <c r="M457" i="1"/>
  <c r="M456" i="1"/>
  <c r="M455" i="1"/>
  <c r="M454" i="1"/>
  <c r="M453" i="1"/>
  <c r="M452" i="1"/>
  <c r="M451" i="1"/>
  <c r="M450" i="1"/>
  <c r="M449" i="1"/>
  <c r="M448" i="1"/>
  <c r="M447" i="1"/>
  <c r="M446" i="1"/>
  <c r="M445" i="1"/>
  <c r="M444" i="1"/>
  <c r="M443" i="1"/>
  <c r="M442" i="1"/>
  <c r="M441" i="1"/>
  <c r="M440" i="1"/>
  <c r="M439" i="1"/>
  <c r="M438" i="1"/>
  <c r="M437" i="1"/>
  <c r="M436" i="1"/>
  <c r="M435" i="1"/>
  <c r="M434" i="1"/>
  <c r="M433" i="1"/>
  <c r="M432" i="1"/>
  <c r="M431" i="1"/>
  <c r="M430" i="1"/>
  <c r="M429" i="1"/>
  <c r="M428" i="1"/>
  <c r="M427" i="1"/>
  <c r="M426" i="1"/>
  <c r="M425" i="1"/>
  <c r="M424" i="1"/>
  <c r="M423" i="1"/>
  <c r="M422" i="1"/>
  <c r="M421" i="1"/>
  <c r="M420" i="1"/>
  <c r="M419" i="1"/>
  <c r="M418" i="1"/>
  <c r="M417" i="1"/>
  <c r="M416" i="1"/>
  <c r="M415" i="1"/>
  <c r="M414" i="1"/>
  <c r="M413" i="1"/>
  <c r="M412" i="1"/>
  <c r="M411" i="1"/>
  <c r="M410" i="1"/>
  <c r="M409" i="1"/>
  <c r="M408" i="1"/>
  <c r="M407" i="1"/>
  <c r="M406" i="1"/>
  <c r="M405" i="1"/>
  <c r="M404" i="1"/>
  <c r="M403" i="1"/>
  <c r="M402" i="1"/>
  <c r="M401" i="1"/>
  <c r="M400" i="1"/>
  <c r="M399" i="1"/>
  <c r="M398" i="1"/>
  <c r="M397" i="1"/>
  <c r="M396" i="1"/>
  <c r="M395" i="1"/>
  <c r="M394" i="1"/>
  <c r="M393" i="1"/>
  <c r="M392" i="1"/>
  <c r="M391" i="1"/>
  <c r="M390" i="1"/>
  <c r="M389" i="1"/>
  <c r="M388" i="1"/>
  <c r="M387" i="1"/>
  <c r="M386" i="1"/>
  <c r="M385" i="1"/>
  <c r="M384" i="1"/>
  <c r="M383" i="1"/>
  <c r="M382" i="1"/>
  <c r="M381" i="1"/>
  <c r="M380" i="1"/>
  <c r="M379" i="1"/>
  <c r="M378" i="1"/>
  <c r="M377" i="1"/>
  <c r="M376" i="1"/>
  <c r="M375" i="1"/>
  <c r="M374" i="1"/>
  <c r="M373" i="1"/>
  <c r="M372" i="1"/>
  <c r="M371" i="1"/>
  <c r="M370" i="1"/>
  <c r="M369" i="1"/>
  <c r="M368" i="1"/>
  <c r="M367" i="1"/>
  <c r="M366" i="1"/>
  <c r="M365" i="1"/>
  <c r="M364" i="1"/>
  <c r="M363" i="1"/>
  <c r="M362" i="1"/>
  <c r="M361" i="1"/>
  <c r="M360" i="1"/>
  <c r="M359" i="1"/>
  <c r="M358" i="1"/>
  <c r="M357" i="1"/>
  <c r="M356" i="1"/>
  <c r="M355" i="1"/>
  <c r="M354" i="1"/>
  <c r="M353" i="1"/>
  <c r="M352" i="1"/>
  <c r="M351" i="1"/>
  <c r="M350" i="1"/>
  <c r="M349" i="1"/>
  <c r="M348" i="1"/>
  <c r="M347" i="1"/>
  <c r="M346" i="1"/>
  <c r="M345" i="1"/>
  <c r="M344" i="1"/>
  <c r="M343" i="1"/>
  <c r="M342" i="1"/>
  <c r="M341" i="1"/>
  <c r="M340" i="1"/>
  <c r="M339" i="1"/>
  <c r="M338" i="1"/>
  <c r="M337" i="1"/>
  <c r="M336" i="1"/>
  <c r="M335" i="1"/>
  <c r="M334" i="1"/>
  <c r="M333" i="1"/>
  <c r="M332" i="1"/>
  <c r="M331" i="1"/>
  <c r="M330" i="1"/>
  <c r="M329" i="1"/>
  <c r="M328" i="1"/>
  <c r="M327" i="1"/>
  <c r="M326" i="1"/>
  <c r="M325" i="1"/>
  <c r="M324" i="1"/>
  <c r="M323" i="1"/>
  <c r="M322" i="1"/>
  <c r="M321" i="1"/>
  <c r="M320" i="1"/>
  <c r="M319" i="1"/>
  <c r="M318" i="1"/>
  <c r="M317" i="1"/>
  <c r="M316" i="1"/>
  <c r="M315" i="1"/>
  <c r="M314" i="1"/>
  <c r="M313" i="1"/>
  <c r="M312" i="1"/>
  <c r="M311" i="1"/>
  <c r="M310" i="1"/>
  <c r="M309" i="1"/>
  <c r="M308" i="1"/>
  <c r="M307" i="1"/>
  <c r="M306" i="1"/>
  <c r="M305" i="1"/>
  <c r="M304" i="1"/>
  <c r="M303" i="1"/>
  <c r="M302" i="1"/>
  <c r="M301" i="1"/>
  <c r="M300" i="1"/>
  <c r="M299" i="1"/>
  <c r="M298" i="1"/>
  <c r="M297" i="1"/>
  <c r="M296" i="1"/>
  <c r="M295" i="1"/>
  <c r="M294" i="1"/>
  <c r="M293" i="1"/>
  <c r="M292" i="1"/>
  <c r="M291" i="1"/>
  <c r="M290" i="1"/>
  <c r="M289" i="1"/>
  <c r="M288" i="1"/>
  <c r="M287" i="1"/>
  <c r="M286" i="1"/>
  <c r="M285" i="1"/>
  <c r="M284" i="1"/>
  <c r="M283" i="1"/>
  <c r="M282" i="1"/>
  <c r="M281" i="1"/>
  <c r="M280" i="1"/>
  <c r="M279" i="1"/>
  <c r="M278" i="1"/>
  <c r="M277" i="1"/>
  <c r="M276" i="1"/>
  <c r="M275" i="1"/>
  <c r="M274" i="1"/>
  <c r="M273" i="1"/>
  <c r="M272" i="1"/>
  <c r="M271" i="1"/>
  <c r="M270" i="1"/>
  <c r="M269" i="1"/>
  <c r="M268" i="1"/>
  <c r="M267" i="1"/>
  <c r="M266" i="1"/>
  <c r="M265" i="1"/>
  <c r="M264" i="1"/>
  <c r="M263" i="1"/>
  <c r="M262" i="1"/>
  <c r="M261" i="1"/>
  <c r="M260" i="1"/>
  <c r="M259" i="1"/>
  <c r="M258" i="1"/>
  <c r="M257" i="1"/>
  <c r="M256" i="1"/>
  <c r="M255" i="1"/>
  <c r="M254" i="1"/>
  <c r="M253" i="1"/>
  <c r="M252" i="1"/>
  <c r="M251" i="1"/>
  <c r="M250" i="1"/>
  <c r="M249" i="1"/>
  <c r="M248" i="1"/>
  <c r="M247" i="1"/>
  <c r="M246" i="1"/>
  <c r="M245" i="1"/>
  <c r="M244" i="1"/>
  <c r="M243" i="1"/>
  <c r="M242" i="1"/>
  <c r="M241" i="1"/>
  <c r="M240" i="1"/>
  <c r="M239" i="1"/>
  <c r="M238" i="1"/>
  <c r="M237" i="1"/>
  <c r="M236" i="1"/>
  <c r="M235" i="1"/>
  <c r="M234" i="1"/>
  <c r="M233" i="1"/>
  <c r="M232" i="1"/>
  <c r="M231" i="1"/>
  <c r="M230" i="1"/>
  <c r="M229" i="1"/>
  <c r="M228" i="1"/>
  <c r="M227" i="1"/>
  <c r="M226" i="1"/>
  <c r="M225" i="1"/>
  <c r="M224" i="1"/>
  <c r="M223" i="1"/>
  <c r="M222" i="1"/>
  <c r="M221" i="1"/>
  <c r="M220" i="1"/>
  <c r="M219" i="1"/>
  <c r="M218" i="1"/>
  <c r="M217" i="1"/>
  <c r="M216" i="1"/>
  <c r="M215" i="1"/>
  <c r="M214" i="1"/>
  <c r="M213" i="1"/>
  <c r="M212" i="1"/>
  <c r="M211" i="1"/>
  <c r="M210" i="1"/>
  <c r="M209" i="1"/>
  <c r="M208" i="1"/>
  <c r="M207" i="1"/>
  <c r="M206" i="1"/>
  <c r="M205" i="1"/>
  <c r="M204" i="1"/>
  <c r="M203" i="1"/>
  <c r="M202" i="1"/>
  <c r="M201" i="1"/>
  <c r="M200" i="1"/>
  <c r="M199" i="1"/>
  <c r="M198" i="1"/>
  <c r="M197" i="1"/>
  <c r="M196" i="1"/>
  <c r="M195" i="1"/>
  <c r="M194" i="1"/>
  <c r="M193" i="1"/>
  <c r="M192" i="1"/>
  <c r="M191" i="1"/>
  <c r="M190" i="1"/>
  <c r="M189" i="1"/>
  <c r="M188" i="1"/>
  <c r="M187" i="1"/>
  <c r="M186" i="1"/>
  <c r="M185" i="1"/>
  <c r="M184" i="1"/>
  <c r="M183" i="1"/>
  <c r="M182" i="1"/>
  <c r="M181" i="1"/>
  <c r="M180" i="1"/>
  <c r="M179" i="1"/>
  <c r="M178" i="1"/>
  <c r="M177" i="1"/>
  <c r="M176" i="1"/>
  <c r="M175" i="1"/>
  <c r="M174" i="1"/>
  <c r="M173" i="1"/>
  <c r="M172" i="1"/>
  <c r="M171" i="1"/>
  <c r="M170" i="1"/>
  <c r="M169" i="1"/>
  <c r="M168" i="1"/>
  <c r="M167" i="1"/>
  <c r="M166" i="1"/>
  <c r="M165" i="1"/>
  <c r="M164" i="1"/>
  <c r="M163" i="1"/>
  <c r="M162" i="1"/>
  <c r="M161" i="1"/>
  <c r="M160" i="1"/>
  <c r="M159" i="1"/>
  <c r="M158" i="1"/>
  <c r="M157" i="1"/>
  <c r="M156" i="1"/>
  <c r="M155" i="1"/>
  <c r="M154" i="1"/>
  <c r="M153" i="1"/>
  <c r="M152" i="1"/>
  <c r="M151" i="1"/>
  <c r="M150" i="1"/>
  <c r="M149" i="1"/>
  <c r="M148" i="1"/>
  <c r="M147" i="1"/>
  <c r="M146" i="1"/>
  <c r="M145" i="1"/>
  <c r="M144" i="1"/>
  <c r="M143" i="1"/>
  <c r="M142" i="1"/>
  <c r="M141" i="1"/>
  <c r="M140" i="1"/>
  <c r="M139" i="1"/>
  <c r="M138" i="1"/>
  <c r="M137" i="1"/>
  <c r="M136" i="1"/>
  <c r="M135" i="1"/>
  <c r="M134" i="1"/>
  <c r="M133" i="1"/>
  <c r="M132" i="1"/>
  <c r="M131" i="1"/>
  <c r="M130" i="1"/>
  <c r="M129" i="1"/>
  <c r="M128" i="1"/>
  <c r="M127" i="1"/>
  <c r="M126" i="1"/>
  <c r="M125" i="1"/>
  <c r="M124" i="1"/>
  <c r="M123" i="1"/>
  <c r="M122" i="1"/>
  <c r="M121" i="1"/>
  <c r="M120" i="1"/>
  <c r="M119" i="1"/>
  <c r="M118" i="1"/>
  <c r="M117" i="1"/>
  <c r="M116" i="1"/>
  <c r="M115" i="1"/>
  <c r="M114" i="1"/>
  <c r="M113" i="1"/>
  <c r="M112" i="1"/>
  <c r="M111" i="1"/>
  <c r="M110" i="1"/>
  <c r="M109" i="1"/>
  <c r="M108" i="1"/>
  <c r="M107" i="1"/>
  <c r="M106" i="1"/>
  <c r="M105" i="1"/>
  <c r="M104" i="1"/>
  <c r="M103" i="1"/>
  <c r="M102" i="1"/>
  <c r="M101" i="1"/>
  <c r="M100" i="1"/>
  <c r="M99" i="1"/>
  <c r="M98" i="1"/>
  <c r="M97" i="1"/>
  <c r="M96" i="1"/>
  <c r="M95" i="1"/>
  <c r="M94" i="1"/>
  <c r="M93" i="1"/>
  <c r="M92" i="1"/>
  <c r="M91" i="1"/>
  <c r="M90" i="1"/>
  <c r="M89" i="1"/>
  <c r="M88" i="1"/>
  <c r="M87" i="1"/>
  <c r="M86" i="1"/>
  <c r="M85" i="1"/>
  <c r="M84" i="1"/>
  <c r="M83" i="1"/>
  <c r="M82" i="1"/>
  <c r="M81" i="1"/>
  <c r="M80" i="1"/>
  <c r="M79" i="1"/>
  <c r="M78" i="1"/>
  <c r="M77" i="1"/>
  <c r="M76" i="1"/>
  <c r="M75" i="1"/>
  <c r="M74" i="1"/>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M8" i="1"/>
  <c r="M7" i="1"/>
  <c r="M6" i="1"/>
  <c r="M5" i="1"/>
  <c r="M4" i="1"/>
  <c r="M3" i="1"/>
  <c r="M2" i="1"/>
  <c r="F131" i="3" s="1"/>
  <c r="R206" i="3"/>
  <c r="R205" i="3"/>
  <c r="R204" i="3"/>
  <c r="R203" i="3"/>
  <c r="R202" i="3"/>
  <c r="R201" i="3"/>
  <c r="R200" i="3"/>
  <c r="R199" i="3"/>
  <c r="R198" i="3"/>
  <c r="R197" i="3"/>
  <c r="R196" i="3"/>
  <c r="R195" i="3"/>
  <c r="R194" i="3"/>
  <c r="R193" i="3"/>
  <c r="R192" i="3"/>
  <c r="R191" i="3"/>
  <c r="R190" i="3"/>
  <c r="R189" i="3"/>
  <c r="R188" i="3"/>
  <c r="R187" i="3"/>
  <c r="O131" i="3"/>
  <c r="N131" i="3"/>
  <c r="M131" i="3"/>
  <c r="L131" i="3"/>
  <c r="K131" i="3"/>
  <c r="E131" i="3"/>
  <c r="O130" i="3"/>
  <c r="N130" i="3"/>
  <c r="M130" i="3"/>
  <c r="L130" i="3"/>
  <c r="K130" i="3"/>
  <c r="F130" i="3"/>
  <c r="E130" i="3"/>
  <c r="G130" i="3" s="1"/>
  <c r="O129" i="3"/>
  <c r="N129" i="3"/>
  <c r="M129" i="3"/>
  <c r="L129" i="3"/>
  <c r="K129" i="3"/>
  <c r="F129" i="3"/>
  <c r="E129" i="3"/>
  <c r="G129" i="3" s="1"/>
  <c r="O128" i="3"/>
  <c r="N128" i="3"/>
  <c r="M128" i="3"/>
  <c r="L128" i="3"/>
  <c r="K128" i="3"/>
  <c r="F128" i="3"/>
  <c r="E128" i="3"/>
  <c r="G128" i="3" s="1"/>
  <c r="O127" i="3"/>
  <c r="N127" i="3"/>
  <c r="M127" i="3"/>
  <c r="L127" i="3"/>
  <c r="K127" i="3"/>
  <c r="F127" i="3"/>
  <c r="E127" i="3"/>
  <c r="G127" i="3" s="1"/>
  <c r="O126" i="3"/>
  <c r="N126" i="3"/>
  <c r="M126" i="3"/>
  <c r="L126" i="3"/>
  <c r="K126" i="3"/>
  <c r="F126" i="3"/>
  <c r="E126" i="3"/>
  <c r="G126" i="3" s="1"/>
  <c r="E112" i="3"/>
  <c r="D112" i="3"/>
  <c r="C112" i="3"/>
  <c r="F112" i="3" s="1"/>
  <c r="E111" i="3"/>
  <c r="D111" i="3"/>
  <c r="C111" i="3"/>
  <c r="F111" i="3" s="1"/>
  <c r="E110" i="3"/>
  <c r="D110" i="3"/>
  <c r="C110" i="3"/>
  <c r="F110" i="3" s="1"/>
  <c r="E109" i="3"/>
  <c r="D109" i="3"/>
  <c r="C109" i="3"/>
  <c r="F109" i="3" s="1"/>
  <c r="F92" i="3"/>
  <c r="E100" i="3" s="1"/>
  <c r="E92" i="3"/>
  <c r="D92" i="3"/>
  <c r="C92" i="3"/>
  <c r="E91" i="3"/>
  <c r="D91" i="3"/>
  <c r="C91" i="3"/>
  <c r="F91" i="3" s="1"/>
  <c r="E90" i="3"/>
  <c r="D90" i="3"/>
  <c r="C90" i="3"/>
  <c r="W142" i="3" s="1"/>
  <c r="E89" i="3"/>
  <c r="F89" i="3" s="1"/>
  <c r="D89" i="3"/>
  <c r="C89" i="3"/>
  <c r="U142" i="3" s="1"/>
  <c r="F88" i="3"/>
  <c r="T171" i="3" s="1"/>
  <c r="E88" i="3"/>
  <c r="D88" i="3"/>
  <c r="C88" i="3"/>
  <c r="S142" i="3" s="1"/>
  <c r="E73" i="3"/>
  <c r="D73" i="3"/>
  <c r="C73" i="3"/>
  <c r="F73" i="3" s="1"/>
  <c r="E72" i="3"/>
  <c r="D72" i="3"/>
  <c r="C72" i="3"/>
  <c r="F72" i="3" s="1"/>
  <c r="E71" i="3"/>
  <c r="D71" i="3"/>
  <c r="C71" i="3"/>
  <c r="F71" i="3" s="1"/>
  <c r="E53" i="3"/>
  <c r="D53" i="3"/>
  <c r="F53" i="3" s="1"/>
  <c r="C53" i="3"/>
  <c r="E52" i="3"/>
  <c r="D52" i="3"/>
  <c r="F52" i="3" s="1"/>
  <c r="C52" i="3"/>
  <c r="E51" i="3"/>
  <c r="D51" i="3"/>
  <c r="C51" i="3"/>
  <c r="F51" i="3" s="1"/>
  <c r="E50" i="3"/>
  <c r="D50" i="3"/>
  <c r="F50" i="3" s="1"/>
  <c r="C50" i="3"/>
  <c r="E49" i="3"/>
  <c r="D49" i="3"/>
  <c r="C49" i="3"/>
  <c r="F49" i="3" s="1"/>
  <c r="E48" i="3"/>
  <c r="D48" i="3"/>
  <c r="C48" i="3"/>
  <c r="F48" i="3" s="1"/>
  <c r="E32" i="3"/>
  <c r="D32" i="3"/>
  <c r="C32" i="3"/>
  <c r="F32" i="3" s="1"/>
  <c r="E31" i="3"/>
  <c r="D31" i="3"/>
  <c r="C31" i="3"/>
  <c r="F31" i="3" s="1"/>
  <c r="E30" i="3"/>
  <c r="D30" i="3"/>
  <c r="C30" i="3"/>
  <c r="F30" i="3" s="1"/>
  <c r="E29" i="3"/>
  <c r="D29" i="3"/>
  <c r="C29" i="3"/>
  <c r="F29" i="3" s="1"/>
  <c r="E16" i="3"/>
  <c r="D16" i="3"/>
  <c r="F16" i="3" s="1"/>
  <c r="C16" i="3"/>
  <c r="Q142" i="3" s="1"/>
  <c r="C9" i="3"/>
  <c r="D9" i="3" s="1"/>
  <c r="C8" i="3"/>
  <c r="D8" i="3" s="1"/>
  <c r="R172" i="3" l="1"/>
  <c r="R167" i="3"/>
  <c r="R162" i="3"/>
  <c r="R157" i="3"/>
  <c r="R152" i="3"/>
  <c r="R147" i="3"/>
  <c r="R171" i="3"/>
  <c r="R166" i="3"/>
  <c r="R161" i="3"/>
  <c r="R156" i="3"/>
  <c r="R151" i="3"/>
  <c r="R146" i="3"/>
  <c r="R170" i="3"/>
  <c r="R165" i="3"/>
  <c r="R160" i="3"/>
  <c r="R155" i="3"/>
  <c r="R150" i="3"/>
  <c r="R145" i="3"/>
  <c r="E20" i="3"/>
  <c r="R174" i="3"/>
  <c r="R169" i="3"/>
  <c r="R164" i="3"/>
  <c r="R159" i="3"/>
  <c r="R154" i="3"/>
  <c r="R149" i="3"/>
  <c r="R144" i="3"/>
  <c r="C20" i="3"/>
  <c r="D20" i="3"/>
  <c r="R173" i="3"/>
  <c r="R168" i="3"/>
  <c r="R163" i="3"/>
  <c r="R158" i="3"/>
  <c r="R153" i="3"/>
  <c r="R148" i="3"/>
  <c r="D59" i="3"/>
  <c r="C59" i="3"/>
  <c r="E59" i="3"/>
  <c r="E117" i="3"/>
  <c r="D117" i="3"/>
  <c r="C117" i="3"/>
  <c r="E60" i="3"/>
  <c r="D60" i="3"/>
  <c r="C60" i="3"/>
  <c r="E119" i="3"/>
  <c r="D119" i="3"/>
  <c r="C119" i="3"/>
  <c r="E61" i="3"/>
  <c r="D61" i="3"/>
  <c r="C61" i="3"/>
  <c r="E38" i="3"/>
  <c r="D38" i="3"/>
  <c r="C38" i="3"/>
  <c r="G131" i="3"/>
  <c r="E99" i="3"/>
  <c r="D99" i="3"/>
  <c r="C99" i="3"/>
  <c r="E62" i="3"/>
  <c r="D62" i="3"/>
  <c r="C62" i="3"/>
  <c r="E77" i="3"/>
  <c r="D77" i="3"/>
  <c r="C77" i="3"/>
  <c r="D57" i="3"/>
  <c r="C57" i="3"/>
  <c r="E57" i="3"/>
  <c r="E118" i="3"/>
  <c r="D118" i="3"/>
  <c r="C118" i="3"/>
  <c r="V171" i="3"/>
  <c r="V166" i="3"/>
  <c r="V161" i="3"/>
  <c r="V156" i="3"/>
  <c r="V151" i="3"/>
  <c r="V146" i="3"/>
  <c r="E97" i="3"/>
  <c r="D97" i="3"/>
  <c r="C97" i="3"/>
  <c r="V170" i="3"/>
  <c r="V165" i="3"/>
  <c r="V160" i="3"/>
  <c r="V155" i="3"/>
  <c r="V150" i="3"/>
  <c r="V145" i="3"/>
  <c r="V174" i="3"/>
  <c r="V169" i="3"/>
  <c r="V164" i="3"/>
  <c r="V159" i="3"/>
  <c r="V154" i="3"/>
  <c r="V149" i="3"/>
  <c r="V144" i="3"/>
  <c r="V173" i="3"/>
  <c r="V168" i="3"/>
  <c r="V163" i="3"/>
  <c r="V158" i="3"/>
  <c r="V153" i="3"/>
  <c r="V148" i="3"/>
  <c r="V172" i="3"/>
  <c r="V167" i="3"/>
  <c r="V162" i="3"/>
  <c r="V157" i="3"/>
  <c r="V152" i="3"/>
  <c r="V147" i="3"/>
  <c r="E78" i="3"/>
  <c r="D78" i="3"/>
  <c r="C78" i="3"/>
  <c r="C36" i="3"/>
  <c r="D36" i="3"/>
  <c r="E36" i="3"/>
  <c r="D58" i="3"/>
  <c r="C58" i="3"/>
  <c r="E58" i="3"/>
  <c r="C37" i="3"/>
  <c r="D37" i="3"/>
  <c r="E37" i="3"/>
  <c r="E39" i="3"/>
  <c r="D39" i="3"/>
  <c r="C39" i="3"/>
  <c r="E79" i="3"/>
  <c r="D79" i="3"/>
  <c r="C79" i="3"/>
  <c r="E116" i="3"/>
  <c r="D116" i="3"/>
  <c r="C116" i="3"/>
  <c r="T147" i="3"/>
  <c r="T152" i="3"/>
  <c r="T157" i="3"/>
  <c r="T162" i="3"/>
  <c r="T167" i="3"/>
  <c r="T172" i="3"/>
  <c r="F90" i="3"/>
  <c r="C100" i="3"/>
  <c r="T148" i="3"/>
  <c r="T153" i="3"/>
  <c r="T158" i="3"/>
  <c r="T163" i="3"/>
  <c r="T168" i="3"/>
  <c r="T173" i="3"/>
  <c r="D100" i="3"/>
  <c r="C7" i="3"/>
  <c r="D7" i="3" s="1"/>
  <c r="T144" i="3"/>
  <c r="T149" i="3"/>
  <c r="T154" i="3"/>
  <c r="T159" i="3"/>
  <c r="T164" i="3"/>
  <c r="T169" i="3"/>
  <c r="T174" i="3"/>
  <c r="C96" i="3"/>
  <c r="T145" i="3"/>
  <c r="T150" i="3"/>
  <c r="T155" i="3"/>
  <c r="T160" i="3"/>
  <c r="T165" i="3"/>
  <c r="T170" i="3"/>
  <c r="D96" i="3"/>
  <c r="E96" i="3"/>
  <c r="T146" i="3"/>
  <c r="T151" i="3"/>
  <c r="T156" i="3"/>
  <c r="T161" i="3"/>
  <c r="T166" i="3"/>
  <c r="X171" i="3" l="1"/>
  <c r="X166" i="3"/>
  <c r="X161" i="3"/>
  <c r="X156" i="3"/>
  <c r="X151" i="3"/>
  <c r="X146" i="3"/>
  <c r="C98" i="3"/>
  <c r="X170" i="3"/>
  <c r="X165" i="3"/>
  <c r="X160" i="3"/>
  <c r="X155" i="3"/>
  <c r="X150" i="3"/>
  <c r="X145" i="3"/>
  <c r="X174" i="3"/>
  <c r="X169" i="3"/>
  <c r="X164" i="3"/>
  <c r="X159" i="3"/>
  <c r="X154" i="3"/>
  <c r="X149" i="3"/>
  <c r="X144" i="3"/>
  <c r="X173" i="3"/>
  <c r="X168" i="3"/>
  <c r="X163" i="3"/>
  <c r="X158" i="3"/>
  <c r="X153" i="3"/>
  <c r="X148" i="3"/>
  <c r="D98" i="3"/>
  <c r="X172" i="3"/>
  <c r="X167" i="3"/>
  <c r="X162" i="3"/>
  <c r="X157" i="3"/>
  <c r="X152" i="3"/>
  <c r="X147" i="3"/>
  <c r="E9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5" authorId="0" shapeId="0" xr:uid="{00000000-0006-0000-0400-000001000000}">
      <text>
        <r>
          <rPr>
            <sz val="11"/>
            <rFont val="Calibri"/>
          </rPr>
          <t>The RPM package management tool must cryptographically verify the authenticity of all software packages during installation.</t>
        </r>
      </text>
    </comment>
    <comment ref="J19" authorId="0" shapeId="0" xr:uid="{00000000-0006-0000-0400-000002000000}">
      <text>
        <r>
          <rPr>
            <sz val="11"/>
            <rFont val="Calibri"/>
          </rPr>
          <t>vROps PostgreSQL DB objects (including but not limited to tables, indexes, storage, stored procedures, functions, triggers, links to software external to the DBMS, etc.) must be owned by vROps PostgreSQL DB principals authorized for ownership.</t>
        </r>
      </text>
    </comment>
    <comment ref="K19" authorId="0" shapeId="0" xr:uid="{00000000-0006-0000-0400-000005000000}">
      <text>
        <r>
          <rPr>
            <sz val="11"/>
            <rFont val="Calibri"/>
          </rPr>
          <t>The role(s)/group(s) used to modify database structure (including but not necessarily limited to tables, indexes, storage, etc.) and logic modules (stored procedures, functions, triggers, links to software external to the vROps PostgreSQL DB, etc.) must be restricted to authorized users.</t>
        </r>
      </text>
    </comment>
    <comment ref="L19" authorId="0" shapeId="0" xr:uid="{00000000-0006-0000-0400-000003000000}">
      <text>
        <r>
          <rPr>
            <sz val="11"/>
            <rFont val="Calibri"/>
          </rPr>
          <t>vROps PostgreSQL DB contents must be protected from unauthorized and unintended information transfer by enforcement of a data-transfer policy.</t>
        </r>
      </text>
    </comment>
    <comment ref="M19" authorId="0" shapeId="0" xr:uid="{00000000-0006-0000-0400-000004000000}">
      <text>
        <r>
          <rPr>
            <sz val="11"/>
            <rFont val="Calibri"/>
          </rPr>
          <t>The vROps PostgreSQL DB must enforce access restrictions associated with changes to the configuration of the DBMS or database(s).</t>
        </r>
      </text>
    </comment>
    <comment ref="J26" authorId="0" shapeId="0" xr:uid="{00000000-0006-0000-0400-000006000000}">
      <text>
        <r>
          <rPr>
            <sz val="11"/>
            <rFont val="Calibri"/>
          </rPr>
          <t>The vROps PostgreSQL DB must use NIST FIPS 140-2 validated cryptographic modules for cryptographic operations.</t>
        </r>
      </text>
    </comment>
    <comment ref="K26" authorId="0" shapeId="0" xr:uid="{00000000-0006-0000-0400-00002B000000}">
      <text>
        <r>
          <rPr>
            <sz val="11"/>
            <rFont val="Calibri"/>
          </rPr>
          <t>The vROps PostgreSQL DB must implement NIST FIPS 140-2 validated cryptographic modules to provision digital signatures.</t>
        </r>
      </text>
    </comment>
    <comment ref="L26" authorId="0" shapeId="0" xr:uid="{00000000-0006-0000-0400-00002C000000}">
      <text>
        <r>
          <rPr>
            <sz val="11"/>
            <rFont val="Calibri"/>
          </rPr>
          <t>The vROps PostgreSQL DB must implement NIST FIPS 140-2 validated cryptographic modules to generate and validate cryptographic hashes.</t>
        </r>
      </text>
    </comment>
    <comment ref="M26" authorId="0" shapeId="0" xr:uid="{00000000-0006-0000-0400-00002D000000}">
      <text>
        <r>
          <rPr>
            <sz val="11"/>
            <rFont val="Calibri"/>
          </rPr>
          <t>The vROps PostgreSQL DB must implement NIST FIPS 140-2 validated cryptographic modules to protect unclassified information requiring confidentiality and cryptographic protection, in accordance with the data owners requirements.</t>
        </r>
      </text>
    </comment>
    <comment ref="N26" authorId="0" shapeId="0" xr:uid="{00000000-0006-0000-0400-000007000000}">
      <text>
        <r>
          <rPr>
            <sz val="11"/>
            <rFont val="Calibri"/>
          </rPr>
          <t>The SLES for vRealize must implement DoD-approved encryption to protect the confidentiality of remote access sessions - SSH Daemon.</t>
        </r>
      </text>
    </comment>
    <comment ref="O26" authorId="0" shapeId="0" xr:uid="{00000000-0006-0000-0400-000008000000}">
      <text>
        <r>
          <rPr>
            <sz val="11"/>
            <rFont val="Calibri"/>
          </rPr>
          <t>The SLES for vRealize must implement DoD-approved encryption to protect the confidentiality of remote access sessions - SSH Client.</t>
        </r>
      </text>
    </comment>
    <comment ref="P26" authorId="0" shapeId="0" xr:uid="{00000000-0006-0000-0400-000009000000}">
      <text>
        <r>
          <rPr>
            <sz val="11"/>
            <rFont val="Calibri"/>
          </rPr>
          <t>The SLES for vRealize must use cryptographic mechanisms to protect the integrity of audit tools.</t>
        </r>
      </text>
    </comment>
    <comment ref="Q26" authorId="0" shapeId="0" xr:uid="{00000000-0006-0000-0400-00000A000000}">
      <text>
        <r>
          <rPr>
            <sz val="11"/>
            <rFont val="Calibri"/>
          </rPr>
          <t>The SLES for vRealize must implement cryptographic mechanisms to protect the integrity of nonlocal maintenance and diagnostic communications, when used for nonlocal maintenance sessions.</t>
        </r>
      </text>
    </comment>
    <comment ref="R26" authorId="0" shapeId="0" xr:uid="{00000000-0006-0000-0400-00000B000000}">
      <text>
        <r>
          <rPr>
            <sz val="11"/>
            <rFont val="Calibri"/>
          </rPr>
          <t>The SLES for vRealize must implement cryptographic mechanisms to protect the confidentiality of nonlocal maintenance and diagnostic communications, when used for nonlocal maintenance sessions.</t>
        </r>
      </text>
    </comment>
    <comment ref="S26" authorId="0" shapeId="0" xr:uid="{00000000-0006-0000-0400-00000C000000}">
      <text>
        <r>
          <rPr>
            <sz val="11"/>
            <rFont val="Calibri"/>
          </rPr>
          <t>The SLES for vRealize must implement NSA-approved cryptography to protect classified information in accordance with applicable federal laws, Executive Orders, directives, policies, regulations, and standards.</t>
        </r>
      </text>
    </comment>
    <comment ref="T26" authorId="0" shapeId="0" xr:uid="{00000000-0006-0000-0400-00000D000000}">
      <text>
        <r>
          <rPr>
            <sz val="11"/>
            <rFont val="Calibri"/>
          </rPr>
          <t>The SLES for vRealize must protect the confidentiality and integrity of transmitted information.</t>
        </r>
      </text>
    </comment>
    <comment ref="U26" authorId="0" shapeId="0" xr:uid="{00000000-0006-0000-0400-00000E000000}">
      <text>
        <r>
          <rPr>
            <sz val="11"/>
            <rFont val="Calibri"/>
          </rPr>
          <t>The SLES for vRealize must implement NIST FIPS-validated cryptography for the following: to provision digital signatures, to generate cryptographic hashes, and to protect unclassified information requiring confidentiality and cryptographic protection in accordance with applicable federal laws, Executive Orders, directives, policies, regulations, and standards.</t>
        </r>
      </text>
    </comment>
    <comment ref="V26" authorId="0" shapeId="0" xr:uid="{00000000-0006-0000-0400-00000F000000}">
      <text>
        <r>
          <rPr>
            <sz val="11"/>
            <rFont val="Calibri"/>
          </rPr>
          <t>tc Server UI must be configured with FIPS 140-2 compliant ciphers for HTTPS connections.</t>
        </r>
      </text>
    </comment>
    <comment ref="W26" authorId="0" shapeId="0" xr:uid="{00000000-0006-0000-0400-000010000000}">
      <text>
        <r>
          <rPr>
            <sz val="11"/>
            <rFont val="Calibri"/>
          </rPr>
          <t>tc Server CaSa must be configured with FIPS 140-2 compliant ciphers for HTTPS connections.</t>
        </r>
      </text>
    </comment>
    <comment ref="X26" authorId="0" shapeId="0" xr:uid="{00000000-0006-0000-0400-000011000000}">
      <text>
        <r>
          <rPr>
            <sz val="11"/>
            <rFont val="Calibri"/>
          </rPr>
          <t>tc Server API must be configured with FIPS 140-2 compliant ciphers for HTTPS connections.</t>
        </r>
      </text>
    </comment>
    <comment ref="Y26" authorId="0" shapeId="0" xr:uid="{00000000-0006-0000-0400-000012000000}">
      <text>
        <r>
          <rPr>
            <sz val="11"/>
            <rFont val="Calibri"/>
          </rPr>
          <t>tc Server UI must use cryptography to protect the integrity of remote sessions.</t>
        </r>
      </text>
    </comment>
    <comment ref="Z26" authorId="0" shapeId="0" xr:uid="{00000000-0006-0000-0400-000013000000}">
      <text>
        <r>
          <rPr>
            <sz val="11"/>
            <rFont val="Calibri"/>
          </rPr>
          <t>tc Server CaSa must use cryptography to protect the integrity of remote sessions.</t>
        </r>
      </text>
    </comment>
    <comment ref="AA26" authorId="0" shapeId="0" xr:uid="{00000000-0006-0000-0400-000014000000}">
      <text>
        <r>
          <rPr>
            <sz val="11"/>
            <rFont val="Calibri"/>
          </rPr>
          <t>tc Server API must use cryptography to protect the integrity of remote sessions.</t>
        </r>
      </text>
    </comment>
    <comment ref="AB26" authorId="0" shapeId="0" xr:uid="{00000000-0006-0000-0400-000015000000}">
      <text>
        <r>
          <rPr>
            <sz val="11"/>
            <rFont val="Calibri"/>
          </rPr>
          <t>tc Server UI must encrypt passwords during transmission.</t>
        </r>
      </text>
    </comment>
    <comment ref="AC26" authorId="0" shapeId="0" xr:uid="{00000000-0006-0000-0400-000016000000}">
      <text>
        <r>
          <rPr>
            <sz val="11"/>
            <rFont val="Calibri"/>
          </rPr>
          <t>tc Server CaSa must encrypt passwords during transmission.</t>
        </r>
      </text>
    </comment>
    <comment ref="AD26" authorId="0" shapeId="0" xr:uid="{00000000-0006-0000-0400-000017000000}">
      <text>
        <r>
          <rPr>
            <sz val="11"/>
            <rFont val="Calibri"/>
          </rPr>
          <t>tc Server API must encrypt passwords during transmission.</t>
        </r>
      </text>
    </comment>
    <comment ref="AE26" authorId="0" shapeId="0" xr:uid="{00000000-0006-0000-0400-000018000000}">
      <text>
        <r>
          <rPr>
            <sz val="11"/>
            <rFont val="Calibri"/>
          </rPr>
          <t>tc Server UI must use cryptographic modules that meet the requirements of applicable federal laws, Executive Orders, directives, policies, regulations, standards, and guidance when authenticating users and processes.</t>
        </r>
      </text>
    </comment>
    <comment ref="AF26" authorId="0" shapeId="0" xr:uid="{00000000-0006-0000-0400-000019000000}">
      <text>
        <r>
          <rPr>
            <sz val="11"/>
            <rFont val="Calibri"/>
          </rPr>
          <t>tc Server CaSa must use cryptographic modules that meet the requirements of applicable federal laws, Executive Orders, directives, policies, regulations, standards, and guidance when authenticating users and processes.</t>
        </r>
      </text>
    </comment>
    <comment ref="AG26" authorId="0" shapeId="0" xr:uid="{00000000-0006-0000-0400-00001A000000}">
      <text>
        <r>
          <rPr>
            <sz val="11"/>
            <rFont val="Calibri"/>
          </rPr>
          <t>tc Server API must use cryptographic modules that meet the requirements of applicable federal laws, Executive Orders, directives, policies, regulations, standards, and guidance when authenticating users and processes.</t>
        </r>
      </text>
    </comment>
    <comment ref="AH26" authorId="0" shapeId="0" xr:uid="{00000000-0006-0000-0400-00001B000000}">
      <text>
        <r>
          <rPr>
            <sz val="11"/>
            <rFont val="Calibri"/>
          </rPr>
          <t>tc Server UI must be configured to use the https scheme.</t>
        </r>
      </text>
    </comment>
    <comment ref="AI26" authorId="0" shapeId="0" xr:uid="{00000000-0006-0000-0400-00001C000000}">
      <text>
        <r>
          <rPr>
            <sz val="11"/>
            <rFont val="Calibri"/>
          </rPr>
          <t>tc Server CaSa must be configured to use the https scheme.</t>
        </r>
      </text>
    </comment>
    <comment ref="AJ26" authorId="0" shapeId="0" xr:uid="{00000000-0006-0000-0400-00001D000000}">
      <text>
        <r>
          <rPr>
            <sz val="11"/>
            <rFont val="Calibri"/>
          </rPr>
          <t>tc Server API must be configured to use the https scheme.</t>
        </r>
      </text>
    </comment>
    <comment ref="AK26" authorId="0" shapeId="0" xr:uid="{00000000-0006-0000-0400-00001E000000}">
      <text>
        <r>
          <rPr>
            <sz val="11"/>
            <rFont val="Calibri"/>
          </rPr>
          <t>tc Server UI must use NSA Suite A cryptography when encrypting data that must be compartmentalized.</t>
        </r>
      </text>
    </comment>
    <comment ref="AL26" authorId="0" shapeId="0" xr:uid="{00000000-0006-0000-0400-00001F000000}">
      <text>
        <r>
          <rPr>
            <sz val="11"/>
            <rFont val="Calibri"/>
          </rPr>
          <t>tc Server CaSa must use NSA Suite A cryptography when encrypting data that must be compartmentalized.</t>
        </r>
      </text>
    </comment>
    <comment ref="AM26" authorId="0" shapeId="0" xr:uid="{00000000-0006-0000-0400-000020000000}">
      <text>
        <r>
          <rPr>
            <sz val="11"/>
            <rFont val="Calibri"/>
          </rPr>
          <t>tc Server API must use NSA Suite A cryptography when encrypting data that must be compartmentalized.</t>
        </r>
      </text>
    </comment>
    <comment ref="AN26" authorId="0" shapeId="0" xr:uid="{00000000-0006-0000-0400-000021000000}">
      <text>
        <r>
          <rPr>
            <sz val="11"/>
            <rFont val="Calibri"/>
          </rPr>
          <t>tc Server UI must employ cryptographic mechanisms (TLS/DTLS/SSL) preventing the unauthorized disclosure of information during transmission.</t>
        </r>
      </text>
    </comment>
    <comment ref="AO26" authorId="0" shapeId="0" xr:uid="{00000000-0006-0000-0400-000022000000}">
      <text>
        <r>
          <rPr>
            <sz val="11"/>
            <rFont val="Calibri"/>
          </rPr>
          <t>tc Server CaSa must employ cryptographic mechanisms (TLS/DTLS/SSL) preventing the unauthorized disclosure of information during transmission.</t>
        </r>
      </text>
    </comment>
    <comment ref="AP26" authorId="0" shapeId="0" xr:uid="{00000000-0006-0000-0400-000023000000}">
      <text>
        <r>
          <rPr>
            <sz val="11"/>
            <rFont val="Calibri"/>
          </rPr>
          <t>tc Server API must employ cryptographic mechanisms (TLS/DTLS/SSL) preventing the unauthorized disclosure of information during transmission.</t>
        </r>
      </text>
    </comment>
    <comment ref="AQ26" authorId="0" shapeId="0" xr:uid="{00000000-0006-0000-0400-000024000000}">
      <text>
        <r>
          <rPr>
            <sz val="11"/>
            <rFont val="Calibri"/>
          </rPr>
          <t>tc Server UI must set sslEnabledProtocols to an approved Transport Layer Security (TLS) version.</t>
        </r>
      </text>
    </comment>
    <comment ref="AR26" authorId="0" shapeId="0" xr:uid="{00000000-0006-0000-0400-000025000000}">
      <text>
        <r>
          <rPr>
            <sz val="11"/>
            <rFont val="Calibri"/>
          </rPr>
          <t>tc Server CaSa must set sslEnabledProtocols to an approved Transport Layer Security (TLS) version.</t>
        </r>
      </text>
    </comment>
    <comment ref="AS26" authorId="0" shapeId="0" xr:uid="{00000000-0006-0000-0400-000026000000}">
      <text>
        <r>
          <rPr>
            <sz val="11"/>
            <rFont val="Calibri"/>
          </rPr>
          <t>tc Server API must set sslEnabledProtocols to an approved Transport Layer Security (TLS) version.</t>
        </r>
      </text>
    </comment>
    <comment ref="AT26" authorId="0" shapeId="0" xr:uid="{00000000-0006-0000-0400-000027000000}">
      <text>
        <r>
          <rPr>
            <sz val="11"/>
            <rFont val="Calibri"/>
          </rPr>
          <t>tc Server UI must remove all export ciphers to protect the confidentiality and integrity of transmitted information.</t>
        </r>
      </text>
    </comment>
    <comment ref="AU26" authorId="0" shapeId="0" xr:uid="{00000000-0006-0000-0400-000028000000}">
      <text>
        <r>
          <rPr>
            <sz val="11"/>
            <rFont val="Calibri"/>
          </rPr>
          <t>tc Server CaSa must remove all export ciphers to protect the confidentiality and integrity of transmitted information.</t>
        </r>
      </text>
    </comment>
    <comment ref="AV26" authorId="0" shapeId="0" xr:uid="{00000000-0006-0000-0400-000029000000}">
      <text>
        <r>
          <rPr>
            <sz val="11"/>
            <rFont val="Calibri"/>
          </rPr>
          <t>tc Server API must remove all export ciphers to protect the confidentiality and integrity of transmitted information.</t>
        </r>
      </text>
    </comment>
    <comment ref="AW26" authorId="0" shapeId="0" xr:uid="{00000000-0006-0000-0400-00002A000000}">
      <text>
        <r>
          <rPr>
            <sz val="11"/>
            <rFont val="Calibri"/>
          </rPr>
          <t>tc Server UI must use approved Transport Layer Security (TLS) versions to maintain the confidentiality and integrity of information during reception.</t>
        </r>
      </text>
    </comment>
    <comment ref="J34" authorId="0" shapeId="0" xr:uid="{00000000-0006-0000-0400-00002E000000}">
      <text>
        <r>
          <rPr>
            <sz val="11"/>
            <rFont val="Calibri"/>
          </rPr>
          <t>The vRealize Operations server session timeout must be configured.</t>
        </r>
      </text>
    </comment>
    <comment ref="K34" authorId="0" shapeId="0" xr:uid="{00000000-0006-0000-0400-00002F000000}">
      <text>
        <r>
          <rPr>
            <sz val="11"/>
            <rFont val="Calibri"/>
          </rPr>
          <t>The SLES for vRealize must initiate a session lock after a 15-minute period of inactivity for all connection types.</t>
        </r>
      </text>
    </comment>
    <comment ref="L34" authorId="0" shapeId="0" xr:uid="{00000000-0006-0000-0400-000030000000}">
      <text>
        <r>
          <rPr>
            <sz val="11"/>
            <rFont val="Calibri"/>
          </rPr>
          <t>The SLES for vRealize must initiate a session lock after a 15-minute period of inactivity for an SSH connection.</t>
        </r>
      </text>
    </comment>
    <comment ref="M34" authorId="0" shapeId="0" xr:uid="{00000000-0006-0000-0400-000031000000}">
      <text>
        <r>
          <rPr>
            <sz val="11"/>
            <rFont val="Calibri"/>
          </rPr>
          <t>The SLES for vRealize must terminate all network connections associated with a communications session at the end of the session, or as follows: for in-band management sessions (privileged sessions), the session must be terminated after 10 minutes of inactivity; and for user sessions (non-privileged session), the session must be terminated after 15 minutes of inactivity, except to fulfill documented and validated mission requirements.</t>
        </r>
      </text>
    </comment>
    <comment ref="N34" authorId="0" shapeId="0" xr:uid="{00000000-0006-0000-0400-000032000000}">
      <text>
        <r>
          <rPr>
            <sz val="11"/>
            <rFont val="Calibri"/>
          </rPr>
          <t>The SLES for vRealize must automatically terminate a user session after inactivity time-outs have expired or at shutdown.</t>
        </r>
      </text>
    </comment>
    <comment ref="O34" authorId="0" shapeId="0" xr:uid="{00000000-0006-0000-0400-000033000000}">
      <text>
        <r>
          <rPr>
            <sz val="11"/>
            <rFont val="Calibri"/>
          </rPr>
          <t>tc Server UI must set an inactive timeout for sessions.</t>
        </r>
      </text>
    </comment>
    <comment ref="P34" authorId="0" shapeId="0" xr:uid="{00000000-0006-0000-0400-000034000000}">
      <text>
        <r>
          <rPr>
            <sz val="11"/>
            <rFont val="Calibri"/>
          </rPr>
          <t>tc Server CaSa must set an inactive timeout for sessions.</t>
        </r>
      </text>
    </comment>
    <comment ref="Q34" authorId="0" shapeId="0" xr:uid="{00000000-0006-0000-0400-000035000000}">
      <text>
        <r>
          <rPr>
            <sz val="11"/>
            <rFont val="Calibri"/>
          </rPr>
          <t>tc Server API must set an inactive timeout for sessions.</t>
        </r>
      </text>
    </comment>
    <comment ref="J38" authorId="0" shapeId="0" xr:uid="{00000000-0006-0000-0400-000036000000}">
      <text>
        <r>
          <rPr>
            <sz val="11"/>
            <rFont val="Calibri"/>
          </rPr>
          <t>The SLES for vRealize must prevent direct logon into the root account.</t>
        </r>
      </text>
    </comment>
    <comment ref="J39" authorId="0" shapeId="0" xr:uid="{00000000-0006-0000-0400-000037000000}">
      <text>
        <r>
          <rPr>
            <sz val="11"/>
            <rFont val="Calibri"/>
          </rPr>
          <t>Default demonstration and sample databases, database objects, and applications must be removed.</t>
        </r>
      </text>
    </comment>
    <comment ref="K39" authorId="0" shapeId="0" xr:uid="{00000000-0006-0000-0400-000038000000}">
      <text>
        <r>
          <rPr>
            <sz val="11"/>
            <rFont val="Calibri"/>
          </rPr>
          <t>The vROps PostgreSQL DB must disable network functions, ports, protocols, and services deemed by the organization to be nonsecure, in accord with the Ports, Protocols, and Services Management (PPSM) guidance.</t>
        </r>
      </text>
    </comment>
    <comment ref="L39" authorId="0" shapeId="0" xr:uid="{00000000-0006-0000-0400-000039000000}">
      <text>
        <r>
          <rPr>
            <sz val="11"/>
            <rFont val="Calibri"/>
          </rPr>
          <t>The SLES for vRealize must have USB Mass Storage disabled unless needed.</t>
        </r>
      </text>
    </comment>
    <comment ref="M39" authorId="0" shapeId="0" xr:uid="{00000000-0006-0000-0400-00003A000000}">
      <text>
        <r>
          <rPr>
            <sz val="11"/>
            <rFont val="Calibri"/>
          </rPr>
          <t>The SLES for vRealize must have USB disabled unless needed.</t>
        </r>
      </text>
    </comment>
    <comment ref="N39" authorId="0" shapeId="0" xr:uid="{00000000-0006-0000-0400-00003B000000}">
      <text>
        <r>
          <rPr>
            <sz val="11"/>
            <rFont val="Calibri"/>
          </rPr>
          <t>The telnet-server package must not be installed.</t>
        </r>
      </text>
    </comment>
    <comment ref="O39" authorId="0" shapeId="0" xr:uid="{00000000-0006-0000-0400-00003C000000}">
      <text>
        <r>
          <rPr>
            <sz val="11"/>
            <rFont val="Calibri"/>
          </rPr>
          <t>The rsh-server package must not be installed.</t>
        </r>
      </text>
    </comment>
    <comment ref="P39" authorId="0" shapeId="0" xr:uid="{00000000-0006-0000-0400-00003D000000}">
      <text>
        <r>
          <rPr>
            <sz val="11"/>
            <rFont val="Calibri"/>
          </rPr>
          <t>The ypserv package must not be installed.</t>
        </r>
      </text>
    </comment>
    <comment ref="Q39" authorId="0" shapeId="0" xr:uid="{00000000-0006-0000-0400-00003E000000}">
      <text>
        <r>
          <rPr>
            <sz val="11"/>
            <rFont val="Calibri"/>
          </rPr>
          <t>The yast2-tftp-server package must not be installed.</t>
        </r>
      </text>
    </comment>
    <comment ref="R39" authorId="0" shapeId="0" xr:uid="{00000000-0006-0000-0400-00003F000000}">
      <text>
        <r>
          <rPr>
            <sz val="11"/>
            <rFont val="Calibri"/>
          </rPr>
          <t>The xinetd service must be disabled if no network services utilizing it are enabled.</t>
        </r>
      </text>
    </comment>
    <comment ref="S39" authorId="0" shapeId="0" xr:uid="{00000000-0006-0000-0400-000040000000}">
      <text>
        <r>
          <rPr>
            <sz val="11"/>
            <rFont val="Calibri"/>
          </rPr>
          <t>The ypbind service must not be running if no network services utilizing it are enabled.</t>
        </r>
      </text>
    </comment>
    <comment ref="T39" authorId="0" shapeId="0" xr:uid="{00000000-0006-0000-0400-000041000000}">
      <text>
        <r>
          <rPr>
            <sz val="11"/>
            <rFont val="Calibri"/>
          </rPr>
          <t>tc Server ALL must only contain services and functions necessary for operation.</t>
        </r>
      </text>
    </comment>
    <comment ref="U39" authorId="0" shapeId="0" xr:uid="{00000000-0006-0000-0400-000042000000}">
      <text>
        <r>
          <rPr>
            <sz val="11"/>
            <rFont val="Calibri"/>
          </rPr>
          <t>tc Server ALL must exclude documentation, sample code, example applications, and tutorials.</t>
        </r>
      </text>
    </comment>
    <comment ref="V39" authorId="0" shapeId="0" xr:uid="{00000000-0006-0000-0400-000043000000}">
      <text>
        <r>
          <rPr>
            <sz val="11"/>
            <rFont val="Calibri"/>
          </rPr>
          <t>tc Server ALL must exclude installation of utility programs, services, plug-ins, and modules not necessary for operation.</t>
        </r>
      </text>
    </comment>
    <comment ref="W39" authorId="0" shapeId="0" xr:uid="{00000000-0006-0000-0400-000044000000}">
      <text>
        <r>
          <rPr>
            <sz val="11"/>
            <rFont val="Calibri"/>
          </rPr>
          <t>tc Server ALL must have Multipurpose Internet Mail Extensions (MIME) that invoke OS shell programs disabled.</t>
        </r>
      </text>
    </comment>
    <comment ref="X39" authorId="0" shapeId="0" xr:uid="{00000000-0006-0000-0400-000045000000}">
      <text>
        <r>
          <rPr>
            <sz val="11"/>
            <rFont val="Calibri"/>
          </rPr>
          <t>tc Server ALL must have all mappings to unused and vulnerable scripts to be removed.</t>
        </r>
      </text>
    </comment>
    <comment ref="Y39" authorId="0" shapeId="0" xr:uid="{00000000-0006-0000-0400-000046000000}">
      <text>
        <r>
          <rPr>
            <sz val="11"/>
            <rFont val="Calibri"/>
          </rPr>
          <t>tc Server ALL must not have the Web Distributed Authoring (WebDAV) servlet installed.</t>
        </r>
      </text>
    </comment>
    <comment ref="Z39" authorId="0" shapeId="0" xr:uid="{00000000-0006-0000-0400-000047000000}">
      <text>
        <r>
          <rPr>
            <sz val="11"/>
            <rFont val="Calibri"/>
          </rPr>
          <t>tc Server UI must have the allowTrace parameter set to false.</t>
        </r>
      </text>
    </comment>
    <comment ref="AA39" authorId="0" shapeId="0" xr:uid="{00000000-0006-0000-0400-000048000000}">
      <text>
        <r>
          <rPr>
            <sz val="11"/>
            <rFont val="Calibri"/>
          </rPr>
          <t>tc Server CaSa must have the allowTrace parameter set to false.</t>
        </r>
      </text>
    </comment>
    <comment ref="AB39" authorId="0" shapeId="0" xr:uid="{00000000-0006-0000-0400-000049000000}">
      <text>
        <r>
          <rPr>
            <sz val="11"/>
            <rFont val="Calibri"/>
          </rPr>
          <t>tc Server API must have the allowTrace parameter set to false.</t>
        </r>
      </text>
    </comment>
    <comment ref="AC39" authorId="0" shapeId="0" xr:uid="{00000000-0006-0000-0400-00004A000000}">
      <text>
        <r>
          <rPr>
            <sz val="11"/>
            <rFont val="Calibri"/>
          </rPr>
          <t>tc Server UI must have the debug option turned off.</t>
        </r>
      </text>
    </comment>
    <comment ref="AD39" authorId="0" shapeId="0" xr:uid="{00000000-0006-0000-0400-00004B000000}">
      <text>
        <r>
          <rPr>
            <sz val="11"/>
            <rFont val="Calibri"/>
          </rPr>
          <t>tc Server CaSa must have the debug option turned off.</t>
        </r>
      </text>
    </comment>
    <comment ref="AE39" authorId="0" shapeId="0" xr:uid="{00000000-0006-0000-0400-00004C000000}">
      <text>
        <r>
          <rPr>
            <sz val="11"/>
            <rFont val="Calibri"/>
          </rPr>
          <t>tc Server API must have the debug option turned off.</t>
        </r>
      </text>
    </comment>
    <comment ref="AF39" authorId="0" shapeId="0" xr:uid="{00000000-0006-0000-0400-00004D000000}">
      <text>
        <r>
          <rPr>
            <sz val="11"/>
            <rFont val="Calibri"/>
          </rPr>
          <t>tc Server UI must disable the shutdown port.</t>
        </r>
      </text>
    </comment>
    <comment ref="AG39" authorId="0" shapeId="0" xr:uid="{00000000-0006-0000-0400-00004E000000}">
      <text>
        <r>
          <rPr>
            <sz val="11"/>
            <rFont val="Calibri"/>
          </rPr>
          <t>tc Server CaSa must disable the shutdown port.</t>
        </r>
      </text>
    </comment>
    <comment ref="AH39" authorId="0" shapeId="0" xr:uid="{00000000-0006-0000-0400-00004F000000}">
      <text>
        <r>
          <rPr>
            <sz val="11"/>
            <rFont val="Calibri"/>
          </rPr>
          <t>tc Server API must disable the shutdown port.</t>
        </r>
      </text>
    </comment>
    <comment ref="J41" authorId="0" shapeId="0" xr:uid="{00000000-0006-0000-0400-000050000000}">
      <text>
        <r>
          <rPr>
            <sz val="11"/>
            <rFont val="Calibri"/>
          </rPr>
          <t>The SLES for vRealize must enforce the limit of three consecutive invalid logon attempts by a user during a 15-minute time period.</t>
        </r>
      </text>
    </comment>
    <comment ref="K41" authorId="0" shapeId="0" xr:uid="{00000000-0006-0000-0400-000051000000}">
      <text>
        <r>
          <rPr>
            <sz val="11"/>
            <rFont val="Calibri"/>
          </rPr>
          <t>The SLES for vRealize must automatically lock an account until the locked account is released by an administrator when three unsuccessful logon attempts in 15 minutes occur.</t>
        </r>
      </text>
    </comment>
    <comment ref="J46" authorId="0" shapeId="0" xr:uid="{00000000-0006-0000-0400-000052000000}">
      <text>
        <r>
          <rPr>
            <sz val="11"/>
            <rFont val="Calibri"/>
          </rPr>
          <t>The SLES for vRealize must enforce a minimum 15-character password length.</t>
        </r>
      </text>
    </comment>
    <comment ref="J47" authorId="0" shapeId="0" xr:uid="{00000000-0006-0000-0400-000053000000}">
      <text>
        <r>
          <rPr>
            <sz val="11"/>
            <rFont val="Calibri"/>
          </rPr>
          <t>The SLES for vRealize must provide automated mechanisms for supporting account management functions.</t>
        </r>
      </text>
    </comment>
    <comment ref="K47" authorId="0" shapeId="0" xr:uid="{00000000-0006-0000-0400-000054000000}">
      <text>
        <r>
          <rPr>
            <sz val="11"/>
            <rFont val="Calibri"/>
          </rPr>
          <t>The SLES for vRealize must automatically remove or disable temporary user accounts after 72 hours.</t>
        </r>
      </text>
    </comment>
    <comment ref="L47" authorId="0" shapeId="0" xr:uid="{00000000-0006-0000-0400-000055000000}">
      <text>
        <r>
          <rPr>
            <sz val="11"/>
            <rFont val="Calibri"/>
          </rPr>
          <t>The SLES for vRealize must disable account identifiers of individuals and roles (such as root) after 35 days of inactivity after password expiration.</t>
        </r>
      </text>
    </comment>
    <comment ref="M47" authorId="0" shapeId="0" xr:uid="{00000000-0006-0000-0400-000056000000}">
      <text>
        <r>
          <rPr>
            <sz val="11"/>
            <rFont val="Calibri"/>
          </rPr>
          <t>The SLES for vRealize must be configured such that emergency administrator accounts are never automatically removed or disabled.</t>
        </r>
      </text>
    </comment>
    <comment ref="J48" authorId="0" shapeId="0" xr:uid="{00000000-0006-0000-0400-000057000000}">
      <text>
        <r>
          <rPr>
            <sz val="11"/>
            <rFont val="Calibri"/>
          </rPr>
          <t>tc Server ALL must only allow authenticated system administrators to have access to the keystore.</t>
        </r>
      </text>
    </comment>
    <comment ref="K48" authorId="0" shapeId="0" xr:uid="{00000000-0006-0000-0400-000058000000}">
      <text>
        <r>
          <rPr>
            <sz val="11"/>
            <rFont val="Calibri"/>
          </rPr>
          <t>tc Server ALL must only allow authenticated system administrators to have access to the truststore.</t>
        </r>
      </text>
    </comment>
    <comment ref="L48" authorId="0" shapeId="0" xr:uid="{00000000-0006-0000-0400-000059000000}">
      <text>
        <r>
          <rPr>
            <sz val="11"/>
            <rFont val="Calibri"/>
          </rPr>
          <t>tc Server UI accounts accessing the directory tree, the shell, or other operating system functions and utilities must be administrative accounts.</t>
        </r>
      </text>
    </comment>
    <comment ref="M48" authorId="0" shapeId="0" xr:uid="{00000000-0006-0000-0400-00005A000000}">
      <text>
        <r>
          <rPr>
            <sz val="11"/>
            <rFont val="Calibri"/>
          </rPr>
          <t>tc Server CaSa accounts accessing the directory tree, the shell, or other operating system functions and utilities must be administrative accounts.</t>
        </r>
      </text>
    </comment>
    <comment ref="N48" authorId="0" shapeId="0" xr:uid="{00000000-0006-0000-0400-00005B000000}">
      <text>
        <r>
          <rPr>
            <sz val="11"/>
            <rFont val="Calibri"/>
          </rPr>
          <t>tc Server API accounts accessing the directory tree, the shell, or other operating system functions and utilities must be administrative accounts.</t>
        </r>
      </text>
    </comment>
    <comment ref="O48" authorId="0" shapeId="0" xr:uid="{00000000-0006-0000-0400-00005C000000}">
      <text>
        <r>
          <rPr>
            <sz val="11"/>
            <rFont val="Calibri"/>
          </rPr>
          <t>tc Server UI web server application directories must not be accessible to anonymous user.</t>
        </r>
      </text>
    </comment>
    <comment ref="P48" authorId="0" shapeId="0" xr:uid="{00000000-0006-0000-0400-00005D000000}">
      <text>
        <r>
          <rPr>
            <sz val="11"/>
            <rFont val="Calibri"/>
          </rPr>
          <t>tc Server CaSa web server application directories must not be accessible to anonymous user.</t>
        </r>
      </text>
    </comment>
    <comment ref="Q48" authorId="0" shapeId="0" xr:uid="{00000000-0006-0000-0400-00005E000000}">
      <text>
        <r>
          <rPr>
            <sz val="11"/>
            <rFont val="Calibri"/>
          </rPr>
          <t>tc Server API web server application directories must not be accessible to anonymous user.</t>
        </r>
      </text>
    </comment>
    <comment ref="J50" authorId="0" shapeId="0" xr:uid="{00000000-0006-0000-0400-00005F000000}">
      <text>
        <r>
          <rPr>
            <sz val="11"/>
            <rFont val="Calibri"/>
          </rPr>
          <t>The vRealize Operations server must use an enterprise user management system to uniquely identify and authenticate users (or processes acting on behalf of organizational users).</t>
        </r>
      </text>
    </comment>
    <comment ref="K50" authorId="0" shapeId="0" xr:uid="{00000000-0006-0000-0400-000060000000}">
      <text>
        <r>
          <rPr>
            <sz val="11"/>
            <rFont val="Calibri"/>
          </rPr>
          <t>The SLES for vRealize must use mechanisms meeting the requirements of applicable federal laws, Executive orders, directives, policies, regulations, standards, and guidance for authentication to a cryptographic module.</t>
        </r>
      </text>
    </comment>
    <comment ref="L50" authorId="0" shapeId="0" xr:uid="{00000000-0006-0000-0400-000061000000}">
      <text>
        <r>
          <rPr>
            <sz val="11"/>
            <rFont val="Calibri"/>
          </rPr>
          <t>The SLES for vRealize must uniquely identify and must authenticate non-organizational users (or processes acting on behalf of non-organizational users).</t>
        </r>
      </text>
    </comment>
    <comment ref="M50" authorId="0" shapeId="0" xr:uid="{00000000-0006-0000-0400-000062000000}">
      <text>
        <r>
          <rPr>
            <sz val="11"/>
            <rFont val="Calibri"/>
          </rPr>
          <t>The SLES for vRealize must uniquely identify and must authenticate non-organizational users (or processes acting on behalf of non-organizational users).</t>
        </r>
      </text>
    </comment>
    <comment ref="N50" authorId="0" shapeId="0" xr:uid="{00000000-0006-0000-0400-000063000000}">
      <text>
        <r>
          <rPr>
            <sz val="11"/>
            <rFont val="Calibri"/>
          </rPr>
          <t>tc Server UI must not use the tomcat-users XML database for user management.</t>
        </r>
      </text>
    </comment>
    <comment ref="O50" authorId="0" shapeId="0" xr:uid="{00000000-0006-0000-0400-000064000000}">
      <text>
        <r>
          <rPr>
            <sz val="11"/>
            <rFont val="Calibri"/>
          </rPr>
          <t>tc Server CaSa must not use the tomcat-users XML database for user management.</t>
        </r>
      </text>
    </comment>
    <comment ref="P50" authorId="0" shapeId="0" xr:uid="{00000000-0006-0000-0400-000065000000}">
      <text>
        <r>
          <rPr>
            <sz val="11"/>
            <rFont val="Calibri"/>
          </rPr>
          <t>tc Server API must not use the tomcat-users XML database for user management.</t>
        </r>
      </text>
    </comment>
    <comment ref="Q50" authorId="0" shapeId="0" xr:uid="{00000000-0006-0000-0400-000066000000}">
      <text>
        <r>
          <rPr>
            <sz val="11"/>
            <rFont val="Calibri"/>
          </rPr>
          <t>tc Server ALL must be configured to the correct user authentication source.</t>
        </r>
      </text>
    </comment>
    <comment ref="J56" authorId="0" shapeId="0" xr:uid="{00000000-0006-0000-0400-000067000000}">
      <text>
        <r>
          <rPr>
            <sz val="11"/>
            <rFont val="Calibri"/>
          </rPr>
          <t>The SLES for vRealize must employ strong authenticators in the establishment of nonlocal maintenance and diagnostic sessions.</t>
        </r>
      </text>
    </comment>
    <comment ref="J59" authorId="0" shapeId="0" xr:uid="{00000000-0006-0000-0400-000068000000}">
      <text>
        <r>
          <rPr>
            <sz val="11"/>
            <rFont val="Calibri"/>
          </rPr>
          <t>The role(s)/group(s) used to modify database structure (including but not necessarily limited to tables, indexes, storage, etc.) and logic modules (stored procedures, functions, triggers, links to software external to the vROps PostgreSQL DB, etc.) must be restricted to authorized users.</t>
        </r>
      </text>
    </comment>
    <comment ref="K59" authorId="0" shapeId="0" xr:uid="{00000000-0006-0000-0400-000069000000}">
      <text>
        <r>
          <rPr>
            <sz val="11"/>
            <rFont val="Calibri"/>
          </rPr>
          <t>The vROps PostgreSQL DB must enforce access restrictions associated with changes to the configuration of the DBMS or database(s).</t>
        </r>
      </text>
    </comment>
    <comment ref="J64" authorId="0" shapeId="0" xr:uid="{00000000-0006-0000-0400-00006A000000}">
      <text>
        <r>
          <rPr>
            <sz val="11"/>
            <rFont val="Calibri"/>
          </rPr>
          <t>Security-relevant software updates to the vROps PostgreSQL DB must be installed within the time period directed by an authoritative source (e.g. IAVM, CTOs, DTMs, and STIGs).</t>
        </r>
      </text>
    </comment>
    <comment ref="K64" authorId="0" shapeId="0" xr:uid="{00000000-0006-0000-0400-00006B000000}">
      <text>
        <r>
          <rPr>
            <sz val="11"/>
            <rFont val="Calibri"/>
          </rPr>
          <t>tc Server ALL must have all security-relevant software updates installed within the configured time period directed by an authoritative source.</t>
        </r>
      </text>
    </comment>
    <comment ref="J70" authorId="0" shapeId="0" xr:uid="{00000000-0006-0000-0400-00006C000000}">
      <text>
        <r>
          <rPr>
            <sz val="11"/>
            <rFont val="Calibri"/>
          </rPr>
          <t>The vROps PostgreSQL DB must provide audit record generation for DoD-defined auditable events within all DBMS/database components.</t>
        </r>
      </text>
    </comment>
    <comment ref="K70" authorId="0" shapeId="0" xr:uid="{00000000-0006-0000-0400-00006D000000}">
      <text>
        <r>
          <rPr>
            <sz val="11"/>
            <rFont val="Calibri"/>
          </rPr>
          <t>The vROps PostgreSQL DB must initiate session auditing upon startup.</t>
        </r>
      </text>
    </comment>
    <comment ref="L70" authorId="0" shapeId="0" xr:uid="{00000000-0006-0000-0400-00006E000000}">
      <text>
        <r>
          <rPr>
            <sz val="11"/>
            <rFont val="Calibri"/>
          </rPr>
          <t>The vROps PostgreSQL DB must provide authorized users to capture, record, and log all content related to a user session.</t>
        </r>
      </text>
    </comment>
    <comment ref="M70" authorId="0" shapeId="0" xr:uid="{00000000-0006-0000-0400-00006F000000}">
      <text>
        <r>
          <rPr>
            <sz val="11"/>
            <rFont val="Calibri"/>
          </rPr>
          <t>The vROps PostgreSQL DB must produce audit records containing sufficient information to establish what type of events occurred.</t>
        </r>
      </text>
    </comment>
    <comment ref="N70" authorId="0" shapeId="0" xr:uid="{00000000-0006-0000-0400-000070000000}">
      <text>
        <r>
          <rPr>
            <sz val="11"/>
            <rFont val="Calibri"/>
          </rPr>
          <t>The vROps PostgreSQL DB must produce audit records containing sufficient information to establish where the events occurred.</t>
        </r>
      </text>
    </comment>
    <comment ref="O70" authorId="0" shapeId="0" xr:uid="{00000000-0006-0000-0400-000071000000}">
      <text>
        <r>
          <rPr>
            <sz val="11"/>
            <rFont val="Calibri"/>
          </rPr>
          <t>The vROps PostgreSQL DB must produce audit records containing sufficient information to establish the sources (origins) of the events.</t>
        </r>
      </text>
    </comment>
    <comment ref="P70" authorId="0" shapeId="0" xr:uid="{00000000-0006-0000-0400-000072000000}">
      <text>
        <r>
          <rPr>
            <sz val="11"/>
            <rFont val="Calibri"/>
          </rPr>
          <t>The vROps PostgreSQL DB must produce audit records containing sufficient information to establish the outcome (success or failure) of the events.</t>
        </r>
      </text>
    </comment>
    <comment ref="Q70" authorId="0" shapeId="0" xr:uid="{00000000-0006-0000-0400-000073000000}">
      <text>
        <r>
          <rPr>
            <sz val="11"/>
            <rFont val="Calibri"/>
          </rPr>
          <t>The vROps PostgreSQL DB must produce audit records containing sufficient information to establish the identity of any user/subject or process associated with the event.</t>
        </r>
      </text>
    </comment>
    <comment ref="R70" authorId="0" shapeId="0" xr:uid="{00000000-0006-0000-0400-000074000000}">
      <text>
        <r>
          <rPr>
            <sz val="11"/>
            <rFont val="Calibri"/>
          </rPr>
          <t>The vROps PostgreSQL DB must include additional, more detailed, organization-defined information in the audit records for audit events identified by type, location, or subject.</t>
        </r>
      </text>
    </comment>
    <comment ref="S70" authorId="0" shapeId="0" xr:uid="{00000000-0006-0000-0400-000075000000}">
      <text>
        <r>
          <rPr>
            <sz val="11"/>
            <rFont val="Calibri"/>
          </rPr>
          <t>The vROps PostgreSQL DB must be configurable to overwrite audit log records, oldest first (First-In-First-Out - FIFO), in the event of unavailability of space for more audit log records.</t>
        </r>
      </text>
    </comment>
    <comment ref="T70" authorId="0" shapeId="0" xr:uid="{00000000-0006-0000-0400-000076000000}">
      <text>
        <r>
          <rPr>
            <sz val="11"/>
            <rFont val="Calibri"/>
          </rPr>
          <t>The audit information produced by the vROps PostgreSQL DB must be protected from unauthorized deletion.</t>
        </r>
      </text>
    </comment>
    <comment ref="U70" authorId="0" shapeId="0" xr:uid="{00000000-0006-0000-0400-000077000000}">
      <text>
        <r>
          <rPr>
            <sz val="11"/>
            <rFont val="Calibri"/>
          </rPr>
          <t>The vROps PostgreSQL DB must be configured to prohibit or restrict the use of organization-defined functions, ports, protocols, and/or services, as defined in the PPSM CAL and vulnerability assessments.</t>
        </r>
      </text>
    </comment>
    <comment ref="V70" authorId="0" shapeId="0" xr:uid="{00000000-0006-0000-0400-000078000000}">
      <text>
        <r>
          <rPr>
            <sz val="11"/>
            <rFont val="Calibri"/>
          </rPr>
          <t>If passwords are used for authentication, the vROps PostgreSQL DB must store only hashed, salted representations of passwords.</t>
        </r>
      </text>
    </comment>
    <comment ref="W70" authorId="0" shapeId="0" xr:uid="{00000000-0006-0000-0400-000079000000}">
      <text>
        <r>
          <rPr>
            <sz val="11"/>
            <rFont val="Calibri"/>
          </rPr>
          <t>The vROps PostgreSQL DB must be able to generate audit records when security objects are accessed.</t>
        </r>
      </text>
    </comment>
    <comment ref="X70" authorId="0" shapeId="0" xr:uid="{00000000-0006-0000-0400-00007A000000}">
      <text>
        <r>
          <rPr>
            <sz val="11"/>
            <rFont val="Calibri"/>
          </rPr>
          <t>The vROps PostgreSQL DB must generate audit records when unsuccessful attempts to add privileges/permissions occur.</t>
        </r>
      </text>
    </comment>
    <comment ref="Y70" authorId="0" shapeId="0" xr:uid="{00000000-0006-0000-0400-00007B000000}">
      <text>
        <r>
          <rPr>
            <sz val="11"/>
            <rFont val="Calibri"/>
          </rPr>
          <t>The vROps PostgreSQL DB must generate audit records when categories of information (e.g., classification levels/security levels) are deleted.</t>
        </r>
      </text>
    </comment>
    <comment ref="Z70" authorId="0" shapeId="0" xr:uid="{00000000-0006-0000-0400-00007C000000}">
      <text>
        <r>
          <rPr>
            <sz val="11"/>
            <rFont val="Calibri"/>
          </rPr>
          <t>The vROps PostgreSQL DB must generate audit records when successful logons or connections occur.</t>
        </r>
      </text>
    </comment>
    <comment ref="AA70" authorId="0" shapeId="0" xr:uid="{00000000-0006-0000-0400-00007D000000}">
      <text>
        <r>
          <rPr>
            <sz val="11"/>
            <rFont val="Calibri"/>
          </rPr>
          <t>The vROps PostgreSQL DB must generate audit records when unsuccessful logons or connection attempts occur.</t>
        </r>
      </text>
    </comment>
    <comment ref="AB70" authorId="0" shapeId="0" xr:uid="{00000000-0006-0000-0400-00007E000000}">
      <text>
        <r>
          <rPr>
            <sz val="11"/>
            <rFont val="Calibri"/>
          </rPr>
          <t>The vROps PostgreSQL DB must generate audit records showing starting and ending time for user access to the database(s).</t>
        </r>
      </text>
    </comment>
    <comment ref="AC70" authorId="0" shapeId="0" xr:uid="{00000000-0006-0000-0400-00007F000000}">
      <text>
        <r>
          <rPr>
            <sz val="11"/>
            <rFont val="Calibri"/>
          </rPr>
          <t>The vROps PostgreSQL DB must generate audit records when concurrent logons/connections by the same user from different workstations occur.</t>
        </r>
      </text>
    </comment>
    <comment ref="AD70" authorId="0" shapeId="0" xr:uid="{00000000-0006-0000-0400-000080000000}">
      <text>
        <r>
          <rPr>
            <sz val="11"/>
            <rFont val="Calibri"/>
          </rPr>
          <t>The vROps PostgreSQL DB must be able to generate audit records when successful accesses to objects occur.</t>
        </r>
      </text>
    </comment>
    <comment ref="AE70" authorId="0" shapeId="0" xr:uid="{00000000-0006-0000-0400-000081000000}">
      <text>
        <r>
          <rPr>
            <sz val="11"/>
            <rFont val="Calibri"/>
          </rPr>
          <t>The vROps PostgreSQL DB must generate audit records when unsuccessful accesses to objects occur.</t>
        </r>
      </text>
    </comment>
    <comment ref="AF70" authorId="0" shapeId="0" xr:uid="{00000000-0006-0000-0400-000082000000}">
      <text>
        <r>
          <rPr>
            <sz val="11"/>
            <rFont val="Calibri"/>
          </rPr>
          <t>The vROps PostgreSQL DB must generate audit records for all direct access to the database(s).</t>
        </r>
      </text>
    </comment>
    <comment ref="AG70" authorId="0" shapeId="0" xr:uid="{00000000-0006-0000-0400-000083000000}">
      <text>
        <r>
          <rPr>
            <sz val="11"/>
            <rFont val="Calibri"/>
          </rPr>
          <t>The SLES for vRealize must audit all account creations.</t>
        </r>
      </text>
    </comment>
    <comment ref="AH70" authorId="0" shapeId="0" xr:uid="{00000000-0006-0000-0400-000084000000}">
      <text>
        <r>
          <rPr>
            <sz val="11"/>
            <rFont val="Calibri"/>
          </rPr>
          <t>In addition to auditing new user and group accounts, these watches will alert the system administrator(s) to any modifications, any unexpected users, groups, or modifications must be investigated for legitimacy.</t>
        </r>
      </text>
    </comment>
    <comment ref="AI70" authorId="0" shapeId="0" xr:uid="{00000000-0006-0000-0400-000085000000}">
      <text>
        <r>
          <rPr>
            <sz val="11"/>
            <rFont val="Calibri"/>
          </rPr>
          <t>The SLES for vRealize must monitor remote access methods - SSH Daemon.</t>
        </r>
      </text>
    </comment>
    <comment ref="AJ70" authorId="0" shapeId="0" xr:uid="{00000000-0006-0000-0400-000086000000}">
      <text>
        <r>
          <rPr>
            <sz val="11"/>
            <rFont val="Calibri"/>
          </rPr>
          <t>The SLES for vRealize must produce audit records.</t>
        </r>
      </text>
    </comment>
    <comment ref="AK70" authorId="0" shapeId="0" xr:uid="{00000000-0006-0000-0400-000087000000}">
      <text>
        <r>
          <rPr>
            <sz val="11"/>
            <rFont val="Calibri"/>
          </rPr>
          <t>The SLES for vRealize must generate audit records when successful/unsuccessful attempts to access privileges occur. The operating system must generate audit records for all discretionary access control permission modifications using chmod.</t>
        </r>
      </text>
    </comment>
    <comment ref="AL70" authorId="0" shapeId="0" xr:uid="{00000000-0006-0000-0400-000088000000}">
      <text>
        <r>
          <rPr>
            <sz val="11"/>
            <rFont val="Calibri"/>
          </rPr>
          <t>The SLES for vRealize must generate audit records when successful/unsuccessful attempts to access privileges occur. The SLES for vRealize must generate audit records for all discretionary access control permission modifications using chown.</t>
        </r>
      </text>
    </comment>
    <comment ref="AM70" authorId="0" shapeId="0" xr:uid="{00000000-0006-0000-0400-000089000000}">
      <text>
        <r>
          <rPr>
            <sz val="11"/>
            <rFont val="Calibri"/>
          </rPr>
          <t>The SLES for vRealize must generate audit records when successful/unsuccessful attempts to access privileges occur. The SLES for vRealize must generate audit records for all discretionary access control permission modifications using fchmod.</t>
        </r>
      </text>
    </comment>
    <comment ref="AN70" authorId="0" shapeId="0" xr:uid="{00000000-0006-0000-0400-00008A000000}">
      <text>
        <r>
          <rPr>
            <sz val="11"/>
            <rFont val="Calibri"/>
          </rPr>
          <t>The SLES for vRealize must generate audit records when successful/unsuccessful attempts to access privileges occur. The SLES for vRealize must generate audit records for all discretionary access control permission modifications using fchmodat.</t>
        </r>
      </text>
    </comment>
    <comment ref="AO70" authorId="0" shapeId="0" xr:uid="{00000000-0006-0000-0400-00008B000000}">
      <text>
        <r>
          <rPr>
            <sz val="11"/>
            <rFont val="Calibri"/>
          </rPr>
          <t>The SLES for vRealize must generate audit records when successful/unsuccessful attempts to access privileges occur. The SLES for vRealize must generate audit records for all discretionary access control permission modifications using fchown.</t>
        </r>
      </text>
    </comment>
    <comment ref="AP70" authorId="0" shapeId="0" xr:uid="{00000000-0006-0000-0400-00008C000000}">
      <text>
        <r>
          <rPr>
            <sz val="11"/>
            <rFont val="Calibri"/>
          </rPr>
          <t>The SLES for vRealize must generate audit records when successful/unsuccessful attempts to access privileges occur. The SLES for vRealize must generate audit records for all discretionary access control permission modifications using fchownat.</t>
        </r>
      </text>
    </comment>
    <comment ref="AQ70" authorId="0" shapeId="0" xr:uid="{00000000-0006-0000-0400-00008D000000}">
      <text>
        <r>
          <rPr>
            <sz val="11"/>
            <rFont val="Calibri"/>
          </rPr>
          <t>The SLES for vRealize must generate audit records when successful/unsuccessful attempts to access privileges occur. The SLES for vRealize must generate audit records for all discretionary access control permission modifications using fremovexattr.</t>
        </r>
      </text>
    </comment>
    <comment ref="AR70" authorId="0" shapeId="0" xr:uid="{00000000-0006-0000-0400-00008E000000}">
      <text>
        <r>
          <rPr>
            <sz val="11"/>
            <rFont val="Calibri"/>
          </rPr>
          <t>The SLES for vRealize must generate audit records when successful/unsuccessful attempts to access privileges occur. The SLES for vRealize must generate audit records for all discretionary access control permission modifications using fsetxattr.</t>
        </r>
      </text>
    </comment>
    <comment ref="AS70" authorId="0" shapeId="0" xr:uid="{00000000-0006-0000-0400-00008F000000}">
      <text>
        <r>
          <rPr>
            <sz val="11"/>
            <rFont val="Calibri"/>
          </rPr>
          <t>The SLES for vRealize must generate audit records when successful/unsuccessful attempts to access privileges occur. The SLES for vRealize must generate audit records for all discretionary access control permission modifications using lchown.</t>
        </r>
      </text>
    </comment>
    <comment ref="AT70" authorId="0" shapeId="0" xr:uid="{00000000-0006-0000-0400-000090000000}">
      <text>
        <r>
          <rPr>
            <sz val="11"/>
            <rFont val="Calibri"/>
          </rPr>
          <t>The SLES for vRealize must generate audit records when successful/unsuccessful attempts to access privileges occur. The SLES for vRealize must generate audit records for all discretionary access control permission modifications using lremovexattr.</t>
        </r>
      </text>
    </comment>
    <comment ref="AU70" authorId="0" shapeId="0" xr:uid="{00000000-0006-0000-0400-000091000000}">
      <text>
        <r>
          <rPr>
            <sz val="11"/>
            <rFont val="Calibri"/>
          </rPr>
          <t>The SLES for vRealize must generate audit records when successful/unsuccessful attempts to access privileges occur. The SLES for vRealize must generate audit records for all discretionary access control permission modifications using lsetxattr.</t>
        </r>
      </text>
    </comment>
    <comment ref="AV70" authorId="0" shapeId="0" xr:uid="{00000000-0006-0000-0400-000092000000}">
      <text>
        <r>
          <rPr>
            <sz val="11"/>
            <rFont val="Calibri"/>
          </rPr>
          <t>The SLES for vRealize must generate audit records when successful/unsuccessful attempts to access privileges occur. The SLES for vRealize must generate audit records for all discretionary access control permission modifications using removexattr.</t>
        </r>
      </text>
    </comment>
    <comment ref="AW70" authorId="0" shapeId="0" xr:uid="{00000000-0006-0000-0400-000093000000}">
      <text>
        <r>
          <rPr>
            <sz val="11"/>
            <rFont val="Calibri"/>
          </rPr>
          <t>The SLES for vRealize must generate audit records when successful/unsuccessful attempts to access privileges occur. The SLES for vRealize must generate audit records for all discretionary access control permission modifications using setxattr.</t>
        </r>
      </text>
    </comment>
    <comment ref="J71" authorId="0" shapeId="0" xr:uid="{00000000-0006-0000-0400-000094000000}">
      <text>
        <r>
          <rPr>
            <sz val="11"/>
            <rFont val="Calibri"/>
          </rPr>
          <t>Audit logs must be rotated daily.</t>
        </r>
      </text>
    </comment>
    <comment ref="K71" authorId="0" shapeId="0" xr:uid="{00000000-0006-0000-0400-000095000000}">
      <text>
        <r>
          <rPr>
            <sz val="11"/>
            <rFont val="Calibri"/>
          </rPr>
          <t>tc Server ALL log data and records must be backed up onto a different system or media.</t>
        </r>
      </text>
    </comment>
    <comment ref="L71" authorId="0" shapeId="0" xr:uid="{00000000-0006-0000-0400-000096000000}">
      <text>
        <r>
          <rPr>
            <sz val="11"/>
            <rFont val="Calibri"/>
          </rPr>
          <t>tc Server ALL log files must be moved to a permanent repository in accordance with site policy.</t>
        </r>
      </text>
    </comment>
    <comment ref="J72" authorId="0" shapeId="0" xr:uid="{00000000-0006-0000-0400-000097000000}">
      <text>
        <r>
          <rPr>
            <sz val="11"/>
            <rFont val="Calibri"/>
          </rPr>
          <t>The vROps PostgreSQL DB must produce audit records containing time stamps to establish when the events occurred.</t>
        </r>
      </text>
    </comment>
    <comment ref="K72" authorId="0" shapeId="0" xr:uid="{00000000-0006-0000-0400-000098000000}">
      <text>
        <r>
          <rPr>
            <sz val="11"/>
            <rFont val="Calibri"/>
          </rPr>
          <t>The vROps PostgreSQL DB must record time stamps, in audit records and application data that can be mapped to Coordinated Universal Time (UTC, formerly GMT).</t>
        </r>
      </text>
    </comment>
    <comment ref="L72" authorId="0" shapeId="0" xr:uid="{00000000-0006-0000-0400-000099000000}">
      <text>
        <r>
          <rPr>
            <sz val="11"/>
            <rFont val="Calibri"/>
          </rPr>
          <t>The vROps PostgreSQL DB must generate time stamps, for audit records and application data, with a minimum granularity of one second.</t>
        </r>
      </text>
    </comment>
    <comment ref="M72" authorId="0" shapeId="0" xr:uid="{00000000-0006-0000-0400-00009A000000}">
      <text>
        <r>
          <rPr>
            <sz val="11"/>
            <rFont val="Calibri"/>
          </rPr>
          <t>The SLES for vRealize must, for networked systems, compare internal information system clocks at least every 24 hours with a server which is synchronized to one of the redundant United States Naval Observatory (USNO) time servers, or a time server designated for the appropriate DoD network (NIPRNet/SIPRNet), and/or the Global Positioning System (GPS).</t>
        </r>
      </text>
    </comment>
    <comment ref="N72" authorId="0" shapeId="0" xr:uid="{00000000-0006-0000-0400-00009B000000}">
      <text>
        <r>
          <rPr>
            <sz val="11"/>
            <rFont val="Calibri"/>
          </rPr>
          <t>The SLES for vRealize must synchronize internal information system clocks to the authoritative time source when the time difference is greater than one second.</t>
        </r>
      </text>
    </comment>
    <comment ref="O72" authorId="0" shapeId="0" xr:uid="{00000000-0006-0000-0400-00009C000000}">
      <text>
        <r>
          <rPr>
            <sz val="11"/>
            <rFont val="Calibri"/>
          </rPr>
          <t>tc Server UI must generate log records that can be mapped to Coordinated Universal Time (UTC) or Greenwich Mean Time (GMT).</t>
        </r>
      </text>
    </comment>
    <comment ref="P72" authorId="0" shapeId="0" xr:uid="{00000000-0006-0000-0400-00009D000000}">
      <text>
        <r>
          <rPr>
            <sz val="11"/>
            <rFont val="Calibri"/>
          </rPr>
          <t>tc Server CaSa must generate log records that can be mapped to Coordinated Universal Time (UTC) or Greenwich Mean Time (GMT).</t>
        </r>
      </text>
    </comment>
    <comment ref="Q72" authorId="0" shapeId="0" xr:uid="{00000000-0006-0000-0400-00009E000000}">
      <text>
        <r>
          <rPr>
            <sz val="11"/>
            <rFont val="Calibri"/>
          </rPr>
          <t>tc Server API must generate log records that can be mapped to Coordinated Universal Time (UTC) or Greenwich Mean Time (GMT).</t>
        </r>
      </text>
    </comment>
    <comment ref="R72" authorId="0" shapeId="0" xr:uid="{00000000-0006-0000-0400-00009F000000}">
      <text>
        <r>
          <rPr>
            <sz val="11"/>
            <rFont val="Calibri"/>
          </rPr>
          <t>tc Server UI must record time stamps for log records to a minimum granularity of one second.</t>
        </r>
      </text>
    </comment>
    <comment ref="S72" authorId="0" shapeId="0" xr:uid="{00000000-0006-0000-0400-0000A0000000}">
      <text>
        <r>
          <rPr>
            <sz val="11"/>
            <rFont val="Calibri"/>
          </rPr>
          <t>tc Server CaSa must record time stamps for log records to a minimum granularity of one second.</t>
        </r>
      </text>
    </comment>
    <comment ref="T72" authorId="0" shapeId="0" xr:uid="{00000000-0006-0000-0400-0000A1000000}">
      <text>
        <r>
          <rPr>
            <sz val="11"/>
            <rFont val="Calibri"/>
          </rPr>
          <t>tc Server API must record time stamps for log records to a minimum granularity of one second.</t>
        </r>
      </text>
    </comment>
    <comment ref="J73" authorId="0" shapeId="0" xr:uid="{00000000-0006-0000-0400-0000A2000000}">
      <text>
        <r>
          <rPr>
            <sz val="11"/>
            <rFont val="Calibri"/>
          </rPr>
          <t>The vROps PostgreSQL DB must provide audit record generation for DoD-defined auditable events within all DBMS/database components.</t>
        </r>
      </text>
    </comment>
    <comment ref="K73" authorId="0" shapeId="0" xr:uid="{00000000-0006-0000-0400-0000A3000000}">
      <text>
        <r>
          <rPr>
            <sz val="11"/>
            <rFont val="Calibri"/>
          </rPr>
          <t>The vROps PostgreSQL DB must be able to generate audit records when privileges/permissions are retrieved.</t>
        </r>
      </text>
    </comment>
    <comment ref="L73" authorId="0" shapeId="0" xr:uid="{00000000-0006-0000-0400-0000A4000000}">
      <text>
        <r>
          <rPr>
            <sz val="11"/>
            <rFont val="Calibri"/>
          </rPr>
          <t>The vROps PostgreSQL DB must initiate session auditing upon startup.</t>
        </r>
      </text>
    </comment>
    <comment ref="M73" authorId="0" shapeId="0" xr:uid="{00000000-0006-0000-0400-0000A5000000}">
      <text>
        <r>
          <rPr>
            <sz val="11"/>
            <rFont val="Calibri"/>
          </rPr>
          <t>The vROps PostgreSQL DB must provide authorized users to capture, record, and log all content related to a user session.</t>
        </r>
      </text>
    </comment>
    <comment ref="N73" authorId="0" shapeId="0" xr:uid="{00000000-0006-0000-0400-0000A6000000}">
      <text>
        <r>
          <rPr>
            <sz val="11"/>
            <rFont val="Calibri"/>
          </rPr>
          <t>The vROps PostgreSQL DB must produce audit records containing sufficient information to establish what type of events occurred.</t>
        </r>
      </text>
    </comment>
    <comment ref="O73" authorId="0" shapeId="0" xr:uid="{00000000-0006-0000-0400-0000A7000000}">
      <text>
        <r>
          <rPr>
            <sz val="11"/>
            <rFont val="Calibri"/>
          </rPr>
          <t>The vROps PostgreSQL DB must produce audit records containing sufficient information to establish where the events occurred.</t>
        </r>
      </text>
    </comment>
    <comment ref="P73" authorId="0" shapeId="0" xr:uid="{00000000-0006-0000-0400-0000A8000000}">
      <text>
        <r>
          <rPr>
            <sz val="11"/>
            <rFont val="Calibri"/>
          </rPr>
          <t>The vROps PostgreSQL DB must produce audit records containing sufficient information to establish the sources (origins) of the events.</t>
        </r>
      </text>
    </comment>
    <comment ref="Q73" authorId="0" shapeId="0" xr:uid="{00000000-0006-0000-0400-0000A9000000}">
      <text>
        <r>
          <rPr>
            <sz val="11"/>
            <rFont val="Calibri"/>
          </rPr>
          <t>The vROps PostgreSQL DB must produce audit records containing sufficient information to establish the outcome (success or failure) of the events.</t>
        </r>
      </text>
    </comment>
    <comment ref="R73" authorId="0" shapeId="0" xr:uid="{00000000-0006-0000-0400-0000AA000000}">
      <text>
        <r>
          <rPr>
            <sz val="11"/>
            <rFont val="Calibri"/>
          </rPr>
          <t>The vROps PostgreSQL DB must produce audit records containing sufficient information to establish the identity of any user/subject or process associated with the event.</t>
        </r>
      </text>
    </comment>
    <comment ref="S73" authorId="0" shapeId="0" xr:uid="{00000000-0006-0000-0400-0000AB000000}">
      <text>
        <r>
          <rPr>
            <sz val="11"/>
            <rFont val="Calibri"/>
          </rPr>
          <t>The vROps PostgreSQL DB must include additional, more detailed, organization-defined information in the audit records for audit events identified by type, location, or subject.</t>
        </r>
      </text>
    </comment>
    <comment ref="T73" authorId="0" shapeId="0" xr:uid="{00000000-0006-0000-0400-0000AC000000}">
      <text>
        <r>
          <rPr>
            <sz val="11"/>
            <rFont val="Calibri"/>
          </rPr>
          <t>The vROps PostgreSQL DB must be configurable to overwrite audit log records, oldest first (First-In-First-Out - FIFO), in the event of unavailability of space for more audit log records.</t>
        </r>
      </text>
    </comment>
    <comment ref="U73" authorId="0" shapeId="0" xr:uid="{00000000-0006-0000-0400-0000AD000000}">
      <text>
        <r>
          <rPr>
            <sz val="11"/>
            <rFont val="Calibri"/>
          </rPr>
          <t>The audit information produced by the vROps PostgreSQL DB must be protected from unauthorized deletion.</t>
        </r>
      </text>
    </comment>
    <comment ref="V73" authorId="0" shapeId="0" xr:uid="{00000000-0006-0000-0400-0000AE000000}">
      <text>
        <r>
          <rPr>
            <sz val="11"/>
            <rFont val="Calibri"/>
          </rPr>
          <t>The vROps PostgreSQL DB must be configured to prohibit or restrict the use of organization-defined functions, ports, protocols, and/or services, as defined in the PPSM CAL and vulnerability assessments.</t>
        </r>
      </text>
    </comment>
    <comment ref="W73" authorId="0" shapeId="0" xr:uid="{00000000-0006-0000-0400-0000AF000000}">
      <text>
        <r>
          <rPr>
            <sz val="11"/>
            <rFont val="Calibri"/>
          </rPr>
          <t>If passwords are used for authentication, the vROps PostgreSQL DB must store only hashed, salted representations of passwords.</t>
        </r>
      </text>
    </comment>
    <comment ref="X73" authorId="0" shapeId="0" xr:uid="{00000000-0006-0000-0400-0000B0000000}">
      <text>
        <r>
          <rPr>
            <sz val="11"/>
            <rFont val="Calibri"/>
          </rPr>
          <t>The vROps PostgreSQL DB must be able to generate audit records when security objects are accessed.</t>
        </r>
      </text>
    </comment>
    <comment ref="Y73" authorId="0" shapeId="0" xr:uid="{00000000-0006-0000-0400-0000B1000000}">
      <text>
        <r>
          <rPr>
            <sz val="11"/>
            <rFont val="Calibri"/>
          </rPr>
          <t>The vROps PostgreSQL DB must generate audit records when unsuccessful attempts to access security objects occur.</t>
        </r>
      </text>
    </comment>
    <comment ref="Z73" authorId="0" shapeId="0" xr:uid="{00000000-0006-0000-0400-0000B2000000}">
      <text>
        <r>
          <rPr>
            <sz val="11"/>
            <rFont val="Calibri"/>
          </rPr>
          <t>The vROps PostgreSQL DB must generate audit records when privileges/permissions are added.</t>
        </r>
      </text>
    </comment>
    <comment ref="AA73" authorId="0" shapeId="0" xr:uid="{00000000-0006-0000-0400-0000B3000000}">
      <text>
        <r>
          <rPr>
            <sz val="11"/>
            <rFont val="Calibri"/>
          </rPr>
          <t>The vROps PostgreSQL DB must generate audit records when unsuccessful attempts to add privileges/permissions occur.</t>
        </r>
      </text>
    </comment>
    <comment ref="AB73" authorId="0" shapeId="0" xr:uid="{00000000-0006-0000-0400-0000B4000000}">
      <text>
        <r>
          <rPr>
            <sz val="11"/>
            <rFont val="Calibri"/>
          </rPr>
          <t>The vROps PostgreSQL DB must generate audit records when privileges/permissions are modified.</t>
        </r>
      </text>
    </comment>
    <comment ref="AC73" authorId="0" shapeId="0" xr:uid="{00000000-0006-0000-0400-0000B5000000}">
      <text>
        <r>
          <rPr>
            <sz val="11"/>
            <rFont val="Calibri"/>
          </rPr>
          <t>The vROps PostgreSQL DB must generate audit records when unsuccessful attempts to modify privileges/permissions occur.</t>
        </r>
      </text>
    </comment>
    <comment ref="AD73" authorId="0" shapeId="0" xr:uid="{00000000-0006-0000-0400-0000B6000000}">
      <text>
        <r>
          <rPr>
            <sz val="11"/>
            <rFont val="Calibri"/>
          </rPr>
          <t>The vROps PostgreSQL DB must generate audit records when security objects are modified.</t>
        </r>
      </text>
    </comment>
    <comment ref="AE73" authorId="0" shapeId="0" xr:uid="{00000000-0006-0000-0400-0000B7000000}">
      <text>
        <r>
          <rPr>
            <sz val="11"/>
            <rFont val="Calibri"/>
          </rPr>
          <t>The vROps PostgreSQL DB must generate audit records when unsuccessful attempts to modify security objects occur.</t>
        </r>
      </text>
    </comment>
    <comment ref="AF73" authorId="0" shapeId="0" xr:uid="{00000000-0006-0000-0400-0000B8000000}">
      <text>
        <r>
          <rPr>
            <sz val="11"/>
            <rFont val="Calibri"/>
          </rPr>
          <t>The vROps PostgreSQL DB must generate audit records when privileges/permissions are deleted.</t>
        </r>
      </text>
    </comment>
    <comment ref="AG73" authorId="0" shapeId="0" xr:uid="{00000000-0006-0000-0400-0000B9000000}">
      <text>
        <r>
          <rPr>
            <sz val="11"/>
            <rFont val="Calibri"/>
          </rPr>
          <t>The vROps PostgreSQL DB must generate audit records when unsuccessful attempts to delete privileges/permissions occur.</t>
        </r>
      </text>
    </comment>
    <comment ref="AH73" authorId="0" shapeId="0" xr:uid="{00000000-0006-0000-0400-0000BA000000}">
      <text>
        <r>
          <rPr>
            <sz val="11"/>
            <rFont val="Calibri"/>
          </rPr>
          <t>The vROps PostgreSQL DB must generate audit records when security objects are deleted.</t>
        </r>
      </text>
    </comment>
    <comment ref="AI73" authorId="0" shapeId="0" xr:uid="{00000000-0006-0000-0400-0000BB000000}">
      <text>
        <r>
          <rPr>
            <sz val="11"/>
            <rFont val="Calibri"/>
          </rPr>
          <t>The vROps PostgreSQL DB must generate audit records when unsuccessful attempts to delete security objects occur.</t>
        </r>
      </text>
    </comment>
    <comment ref="AJ73" authorId="0" shapeId="0" xr:uid="{00000000-0006-0000-0400-0000BC000000}">
      <text>
        <r>
          <rPr>
            <sz val="11"/>
            <rFont val="Calibri"/>
          </rPr>
          <t>The vROps PostgreSQL DB must generate audit records when categories of information (e.g., classification levels/security levels) are deleted.</t>
        </r>
      </text>
    </comment>
    <comment ref="AK73" authorId="0" shapeId="0" xr:uid="{00000000-0006-0000-0400-0000BD000000}">
      <text>
        <r>
          <rPr>
            <sz val="11"/>
            <rFont val="Calibri"/>
          </rPr>
          <t>The vROps PostgreSQL DB must generate audit records when successful logons or connections occur.</t>
        </r>
      </text>
    </comment>
    <comment ref="AL73" authorId="0" shapeId="0" xr:uid="{00000000-0006-0000-0400-0000BE000000}">
      <text>
        <r>
          <rPr>
            <sz val="11"/>
            <rFont val="Calibri"/>
          </rPr>
          <t>The vROps PostgreSQL DB must generate audit records when unsuccessful logons or connection attempts occur.</t>
        </r>
      </text>
    </comment>
    <comment ref="AM73" authorId="0" shapeId="0" xr:uid="{00000000-0006-0000-0400-0000BF000000}">
      <text>
        <r>
          <rPr>
            <sz val="11"/>
            <rFont val="Calibri"/>
          </rPr>
          <t>The vROps PostgreSQL DB must generate audit records for all privileged activities or other system-level access.</t>
        </r>
      </text>
    </comment>
    <comment ref="AN73" authorId="0" shapeId="0" xr:uid="{00000000-0006-0000-0400-0000C0000000}">
      <text>
        <r>
          <rPr>
            <sz val="11"/>
            <rFont val="Calibri"/>
          </rPr>
          <t>The vROps PostgreSQL DB must generate audit records when unsuccessful attempts to execute privileged activities or other system-level access occur.</t>
        </r>
      </text>
    </comment>
    <comment ref="AO73" authorId="0" shapeId="0" xr:uid="{00000000-0006-0000-0400-0000C1000000}">
      <text>
        <r>
          <rPr>
            <sz val="11"/>
            <rFont val="Calibri"/>
          </rPr>
          <t>The vROps PostgreSQL DB must generate audit records showing starting and ending time for user access to the database(s).</t>
        </r>
      </text>
    </comment>
    <comment ref="AP73" authorId="0" shapeId="0" xr:uid="{00000000-0006-0000-0400-0000C2000000}">
      <text>
        <r>
          <rPr>
            <sz val="11"/>
            <rFont val="Calibri"/>
          </rPr>
          <t>The vROps PostgreSQL DB must generate audit records when concurrent logons/connections by the same user from different workstations occur.</t>
        </r>
      </text>
    </comment>
    <comment ref="AQ73" authorId="0" shapeId="0" xr:uid="{00000000-0006-0000-0400-0000C3000000}">
      <text>
        <r>
          <rPr>
            <sz val="11"/>
            <rFont val="Calibri"/>
          </rPr>
          <t>The vROps PostgreSQL DB must be able to generate audit records when successful accesses to objects occur.</t>
        </r>
      </text>
    </comment>
    <comment ref="AR73" authorId="0" shapeId="0" xr:uid="{00000000-0006-0000-0400-0000C4000000}">
      <text>
        <r>
          <rPr>
            <sz val="11"/>
            <rFont val="Calibri"/>
          </rPr>
          <t>The vROps PostgreSQL DB must generate audit records when unsuccessful accesses to objects occur.</t>
        </r>
      </text>
    </comment>
    <comment ref="AS73" authorId="0" shapeId="0" xr:uid="{00000000-0006-0000-0400-0000C5000000}">
      <text>
        <r>
          <rPr>
            <sz val="11"/>
            <rFont val="Calibri"/>
          </rPr>
          <t>The vROps PostgreSQL DB must generate audit records for all direct access to the database(s).</t>
        </r>
      </text>
    </comment>
    <comment ref="AT73" authorId="0" shapeId="0" xr:uid="{00000000-0006-0000-0400-0000C6000000}">
      <text>
        <r>
          <rPr>
            <sz val="11"/>
            <rFont val="Calibri"/>
          </rPr>
          <t>The SLES for vRealize audit system must be configured to audit all administrative, privileged, and security actions.</t>
        </r>
      </text>
    </comment>
    <comment ref="AU73" authorId="0" shapeId="0" xr:uid="{00000000-0006-0000-0400-0000C7000000}">
      <text>
        <r>
          <rPr>
            <sz val="11"/>
            <rFont val="Calibri"/>
          </rPr>
          <t>The SLES for vRealize audit system must be configured to audit all attempts to alter system time through adjtimex.</t>
        </r>
      </text>
    </comment>
    <comment ref="AV73" authorId="0" shapeId="0" xr:uid="{00000000-0006-0000-0400-0000C8000000}">
      <text>
        <r>
          <rPr>
            <sz val="11"/>
            <rFont val="Calibri"/>
          </rPr>
          <t>The SLES for vRealize audit system must be configured to audit all attempts to alter system time through settimeofday.</t>
        </r>
      </text>
    </comment>
    <comment ref="AW73" authorId="0" shapeId="0" xr:uid="{00000000-0006-0000-0400-0000C9000000}">
      <text>
        <r>
          <rPr>
            <sz val="11"/>
            <rFont val="Calibri"/>
          </rPr>
          <t>The SLES for vRealize audit system must be configured to audit all attempts to alter system time through stime.</t>
        </r>
      </text>
    </comment>
    <comment ref="J77" authorId="0" shapeId="0" xr:uid="{00000000-0006-0000-0400-0000CA000000}">
      <text>
        <r>
          <rPr>
            <sz val="11"/>
            <rFont val="Calibri"/>
          </rPr>
          <t>The vROps PostgreSQL DB must utilize centralized management of the content captured in audit records generated by all components of the DBMS.</t>
        </r>
      </text>
    </comment>
    <comment ref="K77" authorId="0" shapeId="0" xr:uid="{00000000-0006-0000-0400-0000CB000000}">
      <text>
        <r>
          <rPr>
            <sz val="11"/>
            <rFont val="Calibri"/>
          </rPr>
          <t>The vROps PostgreSQL DB must provide centralized configuration of the content to be captured in audit records generated by all components of the DBMS.</t>
        </r>
      </text>
    </comment>
    <comment ref="L77" authorId="0" shapeId="0" xr:uid="{00000000-0006-0000-0400-0000CC000000}">
      <text>
        <r>
          <rPr>
            <sz val="11"/>
            <rFont val="Calibri"/>
          </rPr>
          <t>The vROps PostgreSQL DB must off-load audit data to a separate log management facility; this must be continuous and in near real time for systems with a network connection to the storage facility and weekly or more often for stand-alone systems.</t>
        </r>
      </text>
    </comment>
    <comment ref="M77" authorId="0" shapeId="0" xr:uid="{00000000-0006-0000-0400-0000CD000000}">
      <text>
        <r>
          <rPr>
            <sz val="11"/>
            <rFont val="Calibri"/>
          </rPr>
          <t>The SLES for vRealize must off-load audit records onto a different system or media from the system being audited.</t>
        </r>
      </text>
    </comment>
    <comment ref="N77" authorId="0" shapeId="0" xr:uid="{00000000-0006-0000-0400-0000CE000000}">
      <text>
        <r>
          <rPr>
            <sz val="11"/>
            <rFont val="Calibri"/>
          </rPr>
          <t>The SLES for vRealize must, at a minimum, off-load interconnected systems in real time and off-load standalone systems weekly.</t>
        </r>
      </text>
    </comment>
    <comment ref="O77" authorId="0" shapeId="0" xr:uid="{00000000-0006-0000-0400-0000CF000000}">
      <text>
        <r>
          <rPr>
            <sz val="11"/>
            <rFont val="Calibri"/>
          </rPr>
          <t>tc Server ALL log data and records must be backed up onto a different system or media.</t>
        </r>
      </text>
    </comment>
    <comment ref="P77" authorId="0" shapeId="0" xr:uid="{00000000-0006-0000-0400-0000D0000000}">
      <text>
        <r>
          <rPr>
            <sz val="11"/>
            <rFont val="Calibri"/>
          </rPr>
          <t>tc Server ALL log files must be moved to a permanent repository in accordance with site policy.</t>
        </r>
      </text>
    </comment>
    <comment ref="J113" authorId="0" shapeId="0" xr:uid="{00000000-0006-0000-0400-0000D1000000}">
      <text>
        <r>
          <rPr>
            <sz val="11"/>
            <rFont val="Calibri"/>
          </rPr>
          <t>The vROps PostgreSQL DB must provide a warning to appropriate support staff when allocated audit record storage volume reaches 75% of maximum audit record storage capacity.</t>
        </r>
      </text>
    </comment>
    <comment ref="K113" authorId="0" shapeId="0" xr:uid="{00000000-0006-0000-0400-0000D2000000}">
      <text>
        <r>
          <rPr>
            <sz val="11"/>
            <rFont val="Calibri"/>
          </rPr>
          <t>The vROps PostgreSQL DB must provide an immediate real-time alert to appropriate support staff of all audit failure events requiring real-time alerts.</t>
        </r>
      </text>
    </comment>
    <comment ref="L113" authorId="0" shapeId="0" xr:uid="{00000000-0006-0000-0400-0000D3000000}">
      <text>
        <r>
          <rPr>
            <sz val="11"/>
            <rFont val="Calibri"/>
          </rPr>
          <t>The SLES for vRealize must alert the ISSO and SA (at a minimum) in the event of an audit processing failure.</t>
        </r>
      </text>
    </comment>
    <comment ref="M113" authorId="0" shapeId="0" xr:uid="{00000000-0006-0000-0400-0000D4000000}">
      <text>
        <r>
          <rPr>
            <sz val="11"/>
            <rFont val="Calibri"/>
          </rPr>
          <t>The SLES for vRealize must notify System Administrators and Information Systems Security Officer when accounts are created.</t>
        </r>
      </text>
    </comment>
    <comment ref="N113" authorId="0" shapeId="0" xr:uid="{00000000-0006-0000-0400-0000D5000000}">
      <text>
        <r>
          <rPr>
            <sz val="11"/>
            <rFont val="Calibri"/>
          </rPr>
          <t>The SLES for vRealize must notify System Administrators and Information System Security Officers when accounts are modified.</t>
        </r>
      </text>
    </comment>
    <comment ref="O113" authorId="0" shapeId="0" xr:uid="{00000000-0006-0000-0400-0000D6000000}">
      <text>
        <r>
          <rPr>
            <sz val="11"/>
            <rFont val="Calibri"/>
          </rPr>
          <t>The SLES for vRealize must notify System Administrators and Information System Security Officers when accounts are disabled.</t>
        </r>
      </text>
    </comment>
    <comment ref="P113" authorId="0" shapeId="0" xr:uid="{00000000-0006-0000-0400-0000D7000000}">
      <text>
        <r>
          <rPr>
            <sz val="11"/>
            <rFont val="Calibri"/>
          </rPr>
          <t>The SLES for vRealize must notify System Administrators and Information System Security Officers when accounts are removed.</t>
        </r>
      </text>
    </comment>
    <comment ref="Q113" authorId="0" shapeId="0" xr:uid="{00000000-0006-0000-0400-0000D8000000}">
      <text>
        <r>
          <rPr>
            <sz val="11"/>
            <rFont val="Calibri"/>
          </rPr>
          <t>The SLES for vRealize must notify System Administrators and Information System Security Officers when accounts are created, or enabled when previously disabled.</t>
        </r>
      </text>
    </comment>
    <comment ref="R113" authorId="0" shapeId="0" xr:uid="{00000000-0006-0000-0400-0000D9000000}">
      <text>
        <r>
          <rPr>
            <sz val="11"/>
            <rFont val="Calibri"/>
          </rPr>
          <t>The SLES for vRealize must immediately notify the SA and ISSO (at a minimum) when allocated audit record storage volume reaches 75% of the repository maximum audit record storage capacity.</t>
        </r>
      </text>
    </comment>
    <comment ref="S113" authorId="0" shapeId="0" xr:uid="{00000000-0006-0000-0400-0000DA000000}">
      <text>
        <r>
          <rPr>
            <sz val="11"/>
            <rFont val="Calibri"/>
          </rPr>
          <t>The SLES for vRealize must provide an immediate real-time alert to the SA and ISSO, at a minimum, of all audit failure events requiring real-time alerts.</t>
        </r>
      </text>
    </comment>
    <comment ref="T113" authorId="0" shapeId="0" xr:uid="{00000000-0006-0000-0400-0000DB000000}">
      <text>
        <r>
          <rPr>
            <sz val="11"/>
            <rFont val="Calibri"/>
          </rPr>
          <t>The SLES for vRealize must notify designated personnel if baseline configurations are changed in an unauthorized manner.</t>
        </r>
      </text>
    </comment>
    <comment ref="U113" authorId="0" shapeId="0" xr:uid="{00000000-0006-0000-0400-0000DC000000}">
      <text>
        <r>
          <rPr>
            <sz val="11"/>
            <rFont val="Calibri"/>
          </rPr>
          <t>tc Server ALL must use a logging mechanism that is configured to alert the ISSO and SA in the event of a processing failure.</t>
        </r>
      </text>
    </comment>
    <comment ref="V113" authorId="0" shapeId="0" xr:uid="{00000000-0006-0000-0400-0000DD000000}">
      <text>
        <r>
          <rPr>
            <sz val="11"/>
            <rFont val="Calibri"/>
          </rPr>
          <t>tc Server ALL must use a logging mechanism that is configured to provide a warning to the ISSO and SA when allocated record storage volume reaches 75% of maximum log record storage capacity.</t>
        </r>
      </text>
    </comment>
    <comment ref="J121" authorId="0" shapeId="0" xr:uid="{00000000-0006-0000-0400-0000DE000000}">
      <text>
        <r>
          <rPr>
            <sz val="11"/>
            <rFont val="Calibri"/>
          </rPr>
          <t>The SLES for vRealize must manage excess capacity, bandwidth, or other redundancy to limit the effects of information flooding types of Denial of Service (DoS) attacks.</t>
        </r>
      </text>
    </comment>
    <comment ref="K121" authorId="0" shapeId="0" xr:uid="{00000000-0006-0000-0400-0000DF000000}">
      <text>
        <r>
          <rPr>
            <sz val="11"/>
            <rFont val="Calibri"/>
          </rPr>
          <t>The SLES for vRealize must manage excess capacity, bandwidth, or other redundancy to limit the effects of information flooding types of Denial of Service (DoS) attacks.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The SLES for vRealize must enforce the limit of three consecutive invalid logon attempts by a user during a 15-minute time period.</t>
        </r>
      </text>
    </comment>
    <comment ref="I2" authorId="0" shapeId="0" xr:uid="{00000000-0006-0000-0500-000005000000}">
      <text>
        <r>
          <rPr>
            <sz val="11"/>
            <rFont val="Calibri"/>
          </rPr>
          <t>The SLES for vRealize must automatically lock an account until the locked account is released by an administrator when three unsuccessful logon attempts in 15 minutes occur.</t>
        </r>
      </text>
    </comment>
    <comment ref="J2" authorId="0" shapeId="0" xr:uid="{00000000-0006-0000-0500-000002000000}">
      <text>
        <r>
          <rPr>
            <sz val="11"/>
            <rFont val="Calibri"/>
          </rPr>
          <t>The SLES for vRealize must enforce a delay of at least 4 seconds between logon prompts following a failed logon attempt.</t>
        </r>
      </text>
    </comment>
    <comment ref="K2" authorId="0" shapeId="0" xr:uid="{00000000-0006-0000-0500-000003000000}">
      <text>
        <r>
          <rPr>
            <sz val="11"/>
            <rFont val="Calibri"/>
          </rPr>
          <t>The SLES for vRealize must enforce a delay of at least 4 seconds between logon prompts following a failed logon attempt.</t>
        </r>
      </text>
    </comment>
    <comment ref="L2" authorId="0" shapeId="0" xr:uid="{00000000-0006-0000-0500-000004000000}">
      <text>
        <r>
          <rPr>
            <sz val="11"/>
            <rFont val="Calibri"/>
          </rPr>
          <t>The SLES for vRealize must enforce a delay of at least 4 seconds between logon prompts following a failed logon attempt.</t>
        </r>
      </text>
    </comment>
    <comment ref="H3" authorId="0" shapeId="0" xr:uid="{00000000-0006-0000-0500-000006000000}">
      <text>
        <r>
          <rPr>
            <sz val="11"/>
            <rFont val="Calibri"/>
          </rPr>
          <t>The vRealize Operations server must use an enterprise user management system to uniquely identify and authenticate users (or processes acting on behalf of organizational users).</t>
        </r>
      </text>
    </comment>
    <comment ref="I3" authorId="0" shapeId="0" xr:uid="{00000000-0006-0000-0500-00000A000000}">
      <text>
        <r>
          <rPr>
            <sz val="11"/>
            <rFont val="Calibri"/>
          </rPr>
          <t>The SLES for vRealize must use mechanisms meeting the requirements of applicable federal laws, Executive orders, directives, policies, regulations, standards, and guidance for authentication to a cryptographic module.</t>
        </r>
      </text>
    </comment>
    <comment ref="J3" authorId="0" shapeId="0" xr:uid="{00000000-0006-0000-0500-00000B000000}">
      <text>
        <r>
          <rPr>
            <sz val="11"/>
            <rFont val="Calibri"/>
          </rPr>
          <t>The SLES for vRealize must uniquely identify and must authenticate non-organizational users (or processes acting on behalf of non-organizational users).</t>
        </r>
      </text>
    </comment>
    <comment ref="K3" authorId="0" shapeId="0" xr:uid="{00000000-0006-0000-0500-00000C000000}">
      <text>
        <r>
          <rPr>
            <sz val="11"/>
            <rFont val="Calibri"/>
          </rPr>
          <t>The SLES for vRealize must uniquely identify and must authenticate non-organizational users (or processes acting on behalf of non-organizational users).</t>
        </r>
      </text>
    </comment>
    <comment ref="L3" authorId="0" shapeId="0" xr:uid="{00000000-0006-0000-0500-00000D000000}">
      <text>
        <r>
          <rPr>
            <sz val="11"/>
            <rFont val="Calibri"/>
          </rPr>
          <t>tc Server UI must not use the tomcat-users XML database for user management.</t>
        </r>
      </text>
    </comment>
    <comment ref="M3" authorId="0" shapeId="0" xr:uid="{00000000-0006-0000-0500-000007000000}">
      <text>
        <r>
          <rPr>
            <sz val="11"/>
            <rFont val="Calibri"/>
          </rPr>
          <t>tc Server CaSa must not use the tomcat-users XML database for user management.</t>
        </r>
      </text>
    </comment>
    <comment ref="N3" authorId="0" shapeId="0" xr:uid="{00000000-0006-0000-0500-000008000000}">
      <text>
        <r>
          <rPr>
            <sz val="11"/>
            <rFont val="Calibri"/>
          </rPr>
          <t>tc Server API must not use the tomcat-users XML database for user management.</t>
        </r>
      </text>
    </comment>
    <comment ref="O3" authorId="0" shapeId="0" xr:uid="{00000000-0006-0000-0500-000009000000}">
      <text>
        <r>
          <rPr>
            <sz val="11"/>
            <rFont val="Calibri"/>
          </rPr>
          <t>tc Server ALL must be configured to the correct user authentication source.</t>
        </r>
      </text>
    </comment>
    <comment ref="H7" authorId="0" shapeId="0" xr:uid="{00000000-0006-0000-0500-00000E000000}">
      <text>
        <r>
          <rPr>
            <sz val="11"/>
            <rFont val="Calibri"/>
          </rPr>
          <t>The vROps PostgreSQL DB must provide audit record generation for DoD-defined auditable events within all DBMS/database components.</t>
        </r>
      </text>
    </comment>
    <comment ref="I7" authorId="0" shapeId="0" xr:uid="{00000000-0006-0000-0500-00002F000000}">
      <text>
        <r>
          <rPr>
            <sz val="11"/>
            <rFont val="Calibri"/>
          </rPr>
          <t>The vROps PostgreSQL DB must be able to generate audit records when privileges/permissions are retrieved.</t>
        </r>
      </text>
    </comment>
    <comment ref="J7" authorId="0" shapeId="0" xr:uid="{00000000-0006-0000-0500-000030000000}">
      <text>
        <r>
          <rPr>
            <sz val="11"/>
            <rFont val="Calibri"/>
          </rPr>
          <t>The vROps PostgreSQL DB must initiate session auditing upon startup.</t>
        </r>
      </text>
    </comment>
    <comment ref="K7" authorId="0" shapeId="0" xr:uid="{00000000-0006-0000-0500-000031000000}">
      <text>
        <r>
          <rPr>
            <sz val="11"/>
            <rFont val="Calibri"/>
          </rPr>
          <t>The vROps PostgreSQL DB must provide authorized users to capture, record, and log all content related to a user session.</t>
        </r>
      </text>
    </comment>
    <comment ref="L7" authorId="0" shapeId="0" xr:uid="{00000000-0006-0000-0500-000032000000}">
      <text>
        <r>
          <rPr>
            <sz val="11"/>
            <rFont val="Calibri"/>
          </rPr>
          <t>The vROps PostgreSQL DB must produce audit records containing sufficient information to establish what type of events occurred.</t>
        </r>
      </text>
    </comment>
    <comment ref="M7" authorId="0" shapeId="0" xr:uid="{00000000-0006-0000-0500-000033000000}">
      <text>
        <r>
          <rPr>
            <sz val="11"/>
            <rFont val="Calibri"/>
          </rPr>
          <t>The vROps PostgreSQL DB must produce audit records containing sufficient information to establish where the events occurred.</t>
        </r>
      </text>
    </comment>
    <comment ref="N7" authorId="0" shapeId="0" xr:uid="{00000000-0006-0000-0500-000034000000}">
      <text>
        <r>
          <rPr>
            <sz val="11"/>
            <rFont val="Calibri"/>
          </rPr>
          <t>The vROps PostgreSQL DB must produce audit records containing sufficient information to establish the sources (origins) of the events.</t>
        </r>
      </text>
    </comment>
    <comment ref="O7" authorId="0" shapeId="0" xr:uid="{00000000-0006-0000-0500-000035000000}">
      <text>
        <r>
          <rPr>
            <sz val="11"/>
            <rFont val="Calibri"/>
          </rPr>
          <t>The vROps PostgreSQL DB must produce audit records containing sufficient information to establish the outcome (success or failure) of the events.</t>
        </r>
      </text>
    </comment>
    <comment ref="P7" authorId="0" shapeId="0" xr:uid="{00000000-0006-0000-0500-00000F000000}">
      <text>
        <r>
          <rPr>
            <sz val="11"/>
            <rFont val="Calibri"/>
          </rPr>
          <t>The vROps PostgreSQL DB must produce audit records containing sufficient information to establish the identity of any user/subject or process associated with the event.</t>
        </r>
      </text>
    </comment>
    <comment ref="Q7" authorId="0" shapeId="0" xr:uid="{00000000-0006-0000-0500-000010000000}">
      <text>
        <r>
          <rPr>
            <sz val="11"/>
            <rFont val="Calibri"/>
          </rPr>
          <t>The vROps PostgreSQL DB must include additional, more detailed, organization-defined information in the audit records for audit events identified by type, location, or subject.</t>
        </r>
      </text>
    </comment>
    <comment ref="R7" authorId="0" shapeId="0" xr:uid="{00000000-0006-0000-0500-000011000000}">
      <text>
        <r>
          <rPr>
            <sz val="11"/>
            <rFont val="Calibri"/>
          </rPr>
          <t>The vROps PostgreSQL DB must be configurable to overwrite audit log records, oldest first (First-In-First-Out - FIFO), in the event of unavailability of space for more audit log records.</t>
        </r>
      </text>
    </comment>
    <comment ref="S7" authorId="0" shapeId="0" xr:uid="{00000000-0006-0000-0500-000012000000}">
      <text>
        <r>
          <rPr>
            <sz val="11"/>
            <rFont val="Calibri"/>
          </rPr>
          <t>The audit information produced by the vROps PostgreSQL DB must be protected from unauthorized deletion.</t>
        </r>
      </text>
    </comment>
    <comment ref="T7" authorId="0" shapeId="0" xr:uid="{00000000-0006-0000-0500-000013000000}">
      <text>
        <r>
          <rPr>
            <sz val="11"/>
            <rFont val="Calibri"/>
          </rPr>
          <t>The vROps PostgreSQL DB must be configured to prohibit or restrict the use of organization-defined functions, ports, protocols, and/or services, as defined in the PPSM CAL and vulnerability assessments.</t>
        </r>
      </text>
    </comment>
    <comment ref="U7" authorId="0" shapeId="0" xr:uid="{00000000-0006-0000-0500-000014000000}">
      <text>
        <r>
          <rPr>
            <sz val="11"/>
            <rFont val="Calibri"/>
          </rPr>
          <t>If passwords are used for authentication, the vROps PostgreSQL DB must store only hashed, salted representations of passwords.</t>
        </r>
      </text>
    </comment>
    <comment ref="V7" authorId="0" shapeId="0" xr:uid="{00000000-0006-0000-0500-000015000000}">
      <text>
        <r>
          <rPr>
            <sz val="11"/>
            <rFont val="Calibri"/>
          </rPr>
          <t>The vROps PostgreSQL DB must utilize centralized management of the content captured in audit records generated by all components of the DBMS.</t>
        </r>
      </text>
    </comment>
    <comment ref="W7" authorId="0" shapeId="0" xr:uid="{00000000-0006-0000-0500-000016000000}">
      <text>
        <r>
          <rPr>
            <sz val="11"/>
            <rFont val="Calibri"/>
          </rPr>
          <t>The vROps PostgreSQL DB must provide centralized configuration of the content to be captured in audit records generated by all components of the DBMS.</t>
        </r>
      </text>
    </comment>
    <comment ref="X7" authorId="0" shapeId="0" xr:uid="{00000000-0006-0000-0500-000017000000}">
      <text>
        <r>
          <rPr>
            <sz val="11"/>
            <rFont val="Calibri"/>
          </rPr>
          <t>The vROps PostgreSQL DB must be able to generate audit records when security objects are accessed.</t>
        </r>
      </text>
    </comment>
    <comment ref="Y7" authorId="0" shapeId="0" xr:uid="{00000000-0006-0000-0500-000018000000}">
      <text>
        <r>
          <rPr>
            <sz val="11"/>
            <rFont val="Calibri"/>
          </rPr>
          <t>The vROps PostgreSQL DB must generate audit records when unsuccessful attempts to access security objects occur.</t>
        </r>
      </text>
    </comment>
    <comment ref="Z7" authorId="0" shapeId="0" xr:uid="{00000000-0006-0000-0500-000019000000}">
      <text>
        <r>
          <rPr>
            <sz val="11"/>
            <rFont val="Calibri"/>
          </rPr>
          <t>The vROps PostgreSQL DB must generate audit records when privileges/permissions are added.</t>
        </r>
      </text>
    </comment>
    <comment ref="AA7" authorId="0" shapeId="0" xr:uid="{00000000-0006-0000-0500-00001A000000}">
      <text>
        <r>
          <rPr>
            <sz val="11"/>
            <rFont val="Calibri"/>
          </rPr>
          <t>The vROps PostgreSQL DB must generate audit records when unsuccessful attempts to add privileges/permissions occur.</t>
        </r>
      </text>
    </comment>
    <comment ref="AB7" authorId="0" shapeId="0" xr:uid="{00000000-0006-0000-0500-00001B000000}">
      <text>
        <r>
          <rPr>
            <sz val="11"/>
            <rFont val="Calibri"/>
          </rPr>
          <t>The vROps PostgreSQL DB must generate audit records when privileges/permissions are modified.</t>
        </r>
      </text>
    </comment>
    <comment ref="AC7" authorId="0" shapeId="0" xr:uid="{00000000-0006-0000-0500-00001C000000}">
      <text>
        <r>
          <rPr>
            <sz val="11"/>
            <rFont val="Calibri"/>
          </rPr>
          <t>The vROps PostgreSQL DB must generate audit records when unsuccessful attempts to modify privileges/permissions occur.</t>
        </r>
      </text>
    </comment>
    <comment ref="AD7" authorId="0" shapeId="0" xr:uid="{00000000-0006-0000-0500-00001D000000}">
      <text>
        <r>
          <rPr>
            <sz val="11"/>
            <rFont val="Calibri"/>
          </rPr>
          <t>The vROps PostgreSQL DB must generate audit records when security objects are modified.</t>
        </r>
      </text>
    </comment>
    <comment ref="AE7" authorId="0" shapeId="0" xr:uid="{00000000-0006-0000-0500-00001E000000}">
      <text>
        <r>
          <rPr>
            <sz val="11"/>
            <rFont val="Calibri"/>
          </rPr>
          <t>The vROps PostgreSQL DB must generate audit records when unsuccessful attempts to modify security objects occur.</t>
        </r>
      </text>
    </comment>
    <comment ref="AF7" authorId="0" shapeId="0" xr:uid="{00000000-0006-0000-0500-00001F000000}">
      <text>
        <r>
          <rPr>
            <sz val="11"/>
            <rFont val="Calibri"/>
          </rPr>
          <t>The vROps PostgreSQL DB must generate audit records when privileges/permissions are deleted.</t>
        </r>
      </text>
    </comment>
    <comment ref="AG7" authorId="0" shapeId="0" xr:uid="{00000000-0006-0000-0500-000020000000}">
      <text>
        <r>
          <rPr>
            <sz val="11"/>
            <rFont val="Calibri"/>
          </rPr>
          <t>The vROps PostgreSQL DB must generate audit records when unsuccessful attempts to delete privileges/permissions occur.</t>
        </r>
      </text>
    </comment>
    <comment ref="AH7" authorId="0" shapeId="0" xr:uid="{00000000-0006-0000-0500-000021000000}">
      <text>
        <r>
          <rPr>
            <sz val="11"/>
            <rFont val="Calibri"/>
          </rPr>
          <t>The vROps PostgreSQL DB must generate audit records when security objects are deleted.</t>
        </r>
      </text>
    </comment>
    <comment ref="AI7" authorId="0" shapeId="0" xr:uid="{00000000-0006-0000-0500-000022000000}">
      <text>
        <r>
          <rPr>
            <sz val="11"/>
            <rFont val="Calibri"/>
          </rPr>
          <t>The vROps PostgreSQL DB must generate audit records when unsuccessful attempts to delete security objects occur.</t>
        </r>
      </text>
    </comment>
    <comment ref="AJ7" authorId="0" shapeId="0" xr:uid="{00000000-0006-0000-0500-000023000000}">
      <text>
        <r>
          <rPr>
            <sz val="11"/>
            <rFont val="Calibri"/>
          </rPr>
          <t>The vROps PostgreSQL DB must generate audit records when categories of information (e.g., classification levels/security levels) are deleted.</t>
        </r>
      </text>
    </comment>
    <comment ref="AK7" authorId="0" shapeId="0" xr:uid="{00000000-0006-0000-0500-000024000000}">
      <text>
        <r>
          <rPr>
            <sz val="11"/>
            <rFont val="Calibri"/>
          </rPr>
          <t>The vROps PostgreSQL DB must generate audit records when successful logons or connections occur.</t>
        </r>
      </text>
    </comment>
    <comment ref="AL7" authorId="0" shapeId="0" xr:uid="{00000000-0006-0000-0500-000025000000}">
      <text>
        <r>
          <rPr>
            <sz val="11"/>
            <rFont val="Calibri"/>
          </rPr>
          <t>The vROps PostgreSQL DB must generate audit records when unsuccessful logons or connection attempts occur.</t>
        </r>
      </text>
    </comment>
    <comment ref="AM7" authorId="0" shapeId="0" xr:uid="{00000000-0006-0000-0500-000026000000}">
      <text>
        <r>
          <rPr>
            <sz val="11"/>
            <rFont val="Calibri"/>
          </rPr>
          <t>The vROps PostgreSQL DB must generate audit records for all privileged activities or other system-level access.</t>
        </r>
      </text>
    </comment>
    <comment ref="AN7" authorId="0" shapeId="0" xr:uid="{00000000-0006-0000-0500-000027000000}">
      <text>
        <r>
          <rPr>
            <sz val="11"/>
            <rFont val="Calibri"/>
          </rPr>
          <t>The vROps PostgreSQL DB must generate audit records when unsuccessful attempts to execute privileged activities or other system-level access occur.</t>
        </r>
      </text>
    </comment>
    <comment ref="AO7" authorId="0" shapeId="0" xr:uid="{00000000-0006-0000-0500-000028000000}">
      <text>
        <r>
          <rPr>
            <sz val="11"/>
            <rFont val="Calibri"/>
          </rPr>
          <t>The vROps PostgreSQL DB must generate audit records showing starting and ending time for user access to the database(s).</t>
        </r>
      </text>
    </comment>
    <comment ref="AP7" authorId="0" shapeId="0" xr:uid="{00000000-0006-0000-0500-000029000000}">
      <text>
        <r>
          <rPr>
            <sz val="11"/>
            <rFont val="Calibri"/>
          </rPr>
          <t>The vROps PostgreSQL DB must generate audit records when concurrent logons/connections by the same user from different workstations occur.</t>
        </r>
      </text>
    </comment>
    <comment ref="AQ7" authorId="0" shapeId="0" xr:uid="{00000000-0006-0000-0500-00002A000000}">
      <text>
        <r>
          <rPr>
            <sz val="11"/>
            <rFont val="Calibri"/>
          </rPr>
          <t>The vROps PostgreSQL DB must be able to generate audit records when successful accesses to objects occur.</t>
        </r>
      </text>
    </comment>
    <comment ref="AR7" authorId="0" shapeId="0" xr:uid="{00000000-0006-0000-0500-00002B000000}">
      <text>
        <r>
          <rPr>
            <sz val="11"/>
            <rFont val="Calibri"/>
          </rPr>
          <t>The vROps PostgreSQL DB must generate audit records when unsuccessful accesses to objects occur.</t>
        </r>
      </text>
    </comment>
    <comment ref="AS7" authorId="0" shapeId="0" xr:uid="{00000000-0006-0000-0500-00002C000000}">
      <text>
        <r>
          <rPr>
            <sz val="11"/>
            <rFont val="Calibri"/>
          </rPr>
          <t>The vROps PostgreSQL DB must generate audit records for all direct access to the database(s).</t>
        </r>
      </text>
    </comment>
    <comment ref="AT7" authorId="0" shapeId="0" xr:uid="{00000000-0006-0000-0500-00002D000000}">
      <text>
        <r>
          <rPr>
            <sz val="11"/>
            <rFont val="Calibri"/>
          </rPr>
          <t>The vROps PostgreSQL DB must off-load audit data to a separate log management facility; this must be continuous and in near real time for systems with a network connection to the storage facility and weekly or more often for stand-alone systems.</t>
        </r>
      </text>
    </comment>
    <comment ref="AU7" authorId="0" shapeId="0" xr:uid="{00000000-0006-0000-0500-00002E000000}">
      <text>
        <r>
          <rPr>
            <sz val="11"/>
            <rFont val="Calibri"/>
          </rPr>
          <t>The SLES for vRealize must audit all account creations.</t>
        </r>
      </text>
    </comment>
    <comment ref="H10" authorId="0" shapeId="0" xr:uid="{00000000-0006-0000-0500-000036000000}">
      <text>
        <r>
          <rPr>
            <sz val="11"/>
            <rFont val="Calibri"/>
          </rPr>
          <t>The RPM package management tool must cryptographically verify the authenticity of all software packages during installation.</t>
        </r>
      </text>
    </comment>
    <comment ref="I10" authorId="0" shapeId="0" xr:uid="{00000000-0006-0000-0500-000037000000}">
      <text>
        <r>
          <rPr>
            <sz val="11"/>
            <rFont val="Calibri"/>
          </rPr>
          <t>tc Server ALL server files must be verified for their integrity (e.g., checksums and hashes) before becoming part of the production web server.</t>
        </r>
      </text>
    </comment>
    <comment ref="J10" authorId="0" shapeId="0" xr:uid="{00000000-0006-0000-0500-000038000000}">
      <text>
        <r>
          <rPr>
            <sz val="11"/>
            <rFont val="Calibri"/>
          </rPr>
          <t>tc Server ALL expansion modules must be fully reviewed, tested, and signed before they can exist on a production web server.</t>
        </r>
      </text>
    </comment>
    <comment ref="H14" authorId="0" shapeId="0" xr:uid="{00000000-0006-0000-0500-000039000000}">
      <text>
        <r>
          <rPr>
            <sz val="11"/>
            <rFont val="Calibri"/>
          </rPr>
          <t>Default demonstration and sample databases, database objects, and applications must be removed.</t>
        </r>
      </text>
    </comment>
    <comment ref="I14" authorId="0" shapeId="0" xr:uid="{00000000-0006-0000-0500-00003A000000}">
      <text>
        <r>
          <rPr>
            <sz val="11"/>
            <rFont val="Calibri"/>
          </rPr>
          <t>The vROps PostgreSQL DB must disable network functions, ports, protocols, and services deemed by the organization to be nonsecure, in accord with the Ports, Protocols, and Services Management (PPSM) guidance.</t>
        </r>
      </text>
    </comment>
    <comment ref="J14" authorId="0" shapeId="0" xr:uid="{00000000-0006-0000-0500-00003B000000}">
      <text>
        <r>
          <rPr>
            <sz val="11"/>
            <rFont val="Calibri"/>
          </rPr>
          <t>The Bluetooth protocol handler must be disabled or not installed.</t>
        </r>
      </text>
    </comment>
    <comment ref="K14" authorId="0" shapeId="0" xr:uid="{00000000-0006-0000-0500-00003C000000}">
      <text>
        <r>
          <rPr>
            <sz val="11"/>
            <rFont val="Calibri"/>
          </rPr>
          <t>The SLES for vRealize must have USB Mass Storage disabled unless needed.</t>
        </r>
      </text>
    </comment>
    <comment ref="L14" authorId="0" shapeId="0" xr:uid="{00000000-0006-0000-0500-00003D000000}">
      <text>
        <r>
          <rPr>
            <sz val="11"/>
            <rFont val="Calibri"/>
          </rPr>
          <t>The SLES for vRealize must have USB disabled unless needed.</t>
        </r>
      </text>
    </comment>
    <comment ref="M14" authorId="0" shapeId="0" xr:uid="{00000000-0006-0000-0500-00003E000000}">
      <text>
        <r>
          <rPr>
            <sz val="11"/>
            <rFont val="Calibri"/>
          </rPr>
          <t>The telnet-server package must not be installed.</t>
        </r>
      </text>
    </comment>
    <comment ref="N14" authorId="0" shapeId="0" xr:uid="{00000000-0006-0000-0500-00003F000000}">
      <text>
        <r>
          <rPr>
            <sz val="11"/>
            <rFont val="Calibri"/>
          </rPr>
          <t>The rsh-server package must not be installed.</t>
        </r>
      </text>
    </comment>
    <comment ref="O14" authorId="0" shapeId="0" xr:uid="{00000000-0006-0000-0500-000040000000}">
      <text>
        <r>
          <rPr>
            <sz val="11"/>
            <rFont val="Calibri"/>
          </rPr>
          <t>The ypserv package must not be installed.</t>
        </r>
      </text>
    </comment>
    <comment ref="P14" authorId="0" shapeId="0" xr:uid="{00000000-0006-0000-0500-000041000000}">
      <text>
        <r>
          <rPr>
            <sz val="11"/>
            <rFont val="Calibri"/>
          </rPr>
          <t>The yast2-tftp-server package must not be installed.</t>
        </r>
      </text>
    </comment>
    <comment ref="Q14" authorId="0" shapeId="0" xr:uid="{00000000-0006-0000-0500-000042000000}">
      <text>
        <r>
          <rPr>
            <sz val="11"/>
            <rFont val="Calibri"/>
          </rPr>
          <t>The Reliable Datagram Sockets (RDS) protocol must be disabled or not installed unless required.</t>
        </r>
      </text>
    </comment>
    <comment ref="R14" authorId="0" shapeId="0" xr:uid="{00000000-0006-0000-0500-000043000000}">
      <text>
        <r>
          <rPr>
            <sz val="11"/>
            <rFont val="Calibri"/>
          </rPr>
          <t>The Transparent Inter-Process Communication (TIPC) must be disabled or not installed.</t>
        </r>
      </text>
    </comment>
    <comment ref="S14" authorId="0" shapeId="0" xr:uid="{00000000-0006-0000-0500-000044000000}">
      <text>
        <r>
          <rPr>
            <sz val="11"/>
            <rFont val="Calibri"/>
          </rPr>
          <t>The xinetd service must be disabled if no network services utilizing it are enabled.</t>
        </r>
      </text>
    </comment>
    <comment ref="T14" authorId="0" shapeId="0" xr:uid="{00000000-0006-0000-0500-000045000000}">
      <text>
        <r>
          <rPr>
            <sz val="11"/>
            <rFont val="Calibri"/>
          </rPr>
          <t>The ypbind service must not be running if no network services utilizing it are enabled.</t>
        </r>
      </text>
    </comment>
    <comment ref="U14" authorId="0" shapeId="0" xr:uid="{00000000-0006-0000-0500-000046000000}">
      <text>
        <r>
          <rPr>
            <sz val="11"/>
            <rFont val="Calibri"/>
          </rPr>
          <t>Mail relaying must be restricted.</t>
        </r>
      </text>
    </comment>
    <comment ref="V14" authorId="0" shapeId="0" xr:uid="{00000000-0006-0000-0500-000047000000}">
      <text>
        <r>
          <rPr>
            <sz val="11"/>
            <rFont val="Calibri"/>
          </rPr>
          <t>The SMTP service HELP command must not be enabled.</t>
        </r>
      </text>
    </comment>
    <comment ref="W14" authorId="0" shapeId="0" xr:uid="{00000000-0006-0000-0500-000048000000}">
      <text>
        <r>
          <rPr>
            <sz val="11"/>
            <rFont val="Calibri"/>
          </rPr>
          <t>The SMTP services SMTP greeting must not provide version information.</t>
        </r>
      </text>
    </comment>
    <comment ref="X14" authorId="0" shapeId="0" xr:uid="{00000000-0006-0000-0500-000049000000}">
      <text>
        <r>
          <rPr>
            <sz val="11"/>
            <rFont val="Calibri"/>
          </rPr>
          <t>The SMTP service must not use .forward files.</t>
        </r>
      </text>
    </comment>
    <comment ref="Y14" authorId="0" shapeId="0" xr:uid="{00000000-0006-0000-0500-00004A000000}">
      <text>
        <r>
          <rPr>
            <sz val="11"/>
            <rFont val="Calibri"/>
          </rPr>
          <t>The SMTP service must not have the EXPN feature active.</t>
        </r>
      </text>
    </comment>
    <comment ref="Z14" authorId="0" shapeId="0" xr:uid="{00000000-0006-0000-0500-00004B000000}">
      <text>
        <r>
          <rPr>
            <sz val="11"/>
            <rFont val="Calibri"/>
          </rPr>
          <t>The SMTP service must not have the VRFY feature active.</t>
        </r>
      </text>
    </comment>
    <comment ref="AA14" authorId="0" shapeId="0" xr:uid="{00000000-0006-0000-0500-00004C000000}">
      <text>
        <r>
          <rPr>
            <sz val="11"/>
            <rFont val="Calibri"/>
          </rPr>
          <t>The Lightweight User Datagram Protocol (UDP-Lite) must be disabled unless required.</t>
        </r>
      </text>
    </comment>
    <comment ref="AB14" authorId="0" shapeId="0" xr:uid="{00000000-0006-0000-0500-00004D000000}">
      <text>
        <r>
          <rPr>
            <sz val="11"/>
            <rFont val="Calibri"/>
          </rPr>
          <t>The Internetwork Packet Exchange (IPX) protocol must be disabled or not installed.</t>
        </r>
      </text>
    </comment>
    <comment ref="AC14" authorId="0" shapeId="0" xr:uid="{00000000-0006-0000-0500-00004E000000}">
      <text>
        <r>
          <rPr>
            <sz val="11"/>
            <rFont val="Calibri"/>
          </rPr>
          <t>The AppleTalk protocol must be disabled or not installed.</t>
        </r>
      </text>
    </comment>
    <comment ref="AD14" authorId="0" shapeId="0" xr:uid="{00000000-0006-0000-0500-00004F000000}">
      <text>
        <r>
          <rPr>
            <sz val="11"/>
            <rFont val="Calibri"/>
          </rPr>
          <t>The DECnet protocol must be disabled or not installed.</t>
        </r>
      </text>
    </comment>
    <comment ref="AE14" authorId="0" shapeId="0" xr:uid="{00000000-0006-0000-0500-000050000000}">
      <text>
        <r>
          <rPr>
            <sz val="11"/>
            <rFont val="Calibri"/>
          </rPr>
          <t>The DHCP client must be disabled if not needed.</t>
        </r>
      </text>
    </comment>
    <comment ref="AF14" authorId="0" shapeId="0" xr:uid="{00000000-0006-0000-0500-000051000000}">
      <text>
        <r>
          <rPr>
            <sz val="11"/>
            <rFont val="Calibri"/>
          </rPr>
          <t>The SLES for vRealize must have IEEE 1394 (Firewire) disabled unless needed.</t>
        </r>
      </text>
    </comment>
    <comment ref="AG14" authorId="0" shapeId="0" xr:uid="{00000000-0006-0000-0500-000052000000}">
      <text>
        <r>
          <rPr>
            <sz val="11"/>
            <rFont val="Calibri"/>
          </rPr>
          <t>tc Server ALL must only contain services and functions necessary for operation.</t>
        </r>
      </text>
    </comment>
    <comment ref="AH14" authorId="0" shapeId="0" xr:uid="{00000000-0006-0000-0500-000053000000}">
      <text>
        <r>
          <rPr>
            <sz val="11"/>
            <rFont val="Calibri"/>
          </rPr>
          <t>tc Server ALL must exclude documentation, sample code, example applications, and tutorials.</t>
        </r>
      </text>
    </comment>
    <comment ref="AI14" authorId="0" shapeId="0" xr:uid="{00000000-0006-0000-0500-000054000000}">
      <text>
        <r>
          <rPr>
            <sz val="11"/>
            <rFont val="Calibri"/>
          </rPr>
          <t>tc Server ALL must exclude installation of utility programs, services, plug-ins, and modules not necessary for operation.</t>
        </r>
      </text>
    </comment>
    <comment ref="AJ14" authorId="0" shapeId="0" xr:uid="{00000000-0006-0000-0500-000055000000}">
      <text>
        <r>
          <rPr>
            <sz val="11"/>
            <rFont val="Calibri"/>
          </rPr>
          <t>tc Server ALL must have Multipurpose Internet Mail Extensions (MIME) that invoke OS shell programs disabled.</t>
        </r>
      </text>
    </comment>
    <comment ref="AK14" authorId="0" shapeId="0" xr:uid="{00000000-0006-0000-0500-000056000000}">
      <text>
        <r>
          <rPr>
            <sz val="11"/>
            <rFont val="Calibri"/>
          </rPr>
          <t>tc Server ALL must have all mappings to unused and vulnerable scripts to be removed.</t>
        </r>
      </text>
    </comment>
    <comment ref="AL14" authorId="0" shapeId="0" xr:uid="{00000000-0006-0000-0500-000057000000}">
      <text>
        <r>
          <rPr>
            <sz val="11"/>
            <rFont val="Calibri"/>
          </rPr>
          <t>tc Server ALL must not have the Web Distributed Authoring (WebDAV) servlet installed.</t>
        </r>
      </text>
    </comment>
    <comment ref="AM14" authorId="0" shapeId="0" xr:uid="{00000000-0006-0000-0500-000058000000}">
      <text>
        <r>
          <rPr>
            <sz val="11"/>
            <rFont val="Calibri"/>
          </rPr>
          <t>tc Server UI must have the allowTrace parameter set to false.</t>
        </r>
      </text>
    </comment>
    <comment ref="AN14" authorId="0" shapeId="0" xr:uid="{00000000-0006-0000-0500-000059000000}">
      <text>
        <r>
          <rPr>
            <sz val="11"/>
            <rFont val="Calibri"/>
          </rPr>
          <t>tc Server CaSa must have the allowTrace parameter set to false.</t>
        </r>
      </text>
    </comment>
    <comment ref="AO14" authorId="0" shapeId="0" xr:uid="{00000000-0006-0000-0500-00005A000000}">
      <text>
        <r>
          <rPr>
            <sz val="11"/>
            <rFont val="Calibri"/>
          </rPr>
          <t>tc Server API must have the allowTrace parameter set to false.</t>
        </r>
      </text>
    </comment>
    <comment ref="AP14" authorId="0" shapeId="0" xr:uid="{00000000-0006-0000-0500-00005B000000}">
      <text>
        <r>
          <rPr>
            <sz val="11"/>
            <rFont val="Calibri"/>
          </rPr>
          <t>tc Server UI must have the debug option turned off.</t>
        </r>
      </text>
    </comment>
    <comment ref="AQ14" authorId="0" shapeId="0" xr:uid="{00000000-0006-0000-0500-00005C000000}">
      <text>
        <r>
          <rPr>
            <sz val="11"/>
            <rFont val="Calibri"/>
          </rPr>
          <t>tc Server CaSa must have the debug option turned off.</t>
        </r>
      </text>
    </comment>
    <comment ref="AR14" authorId="0" shapeId="0" xr:uid="{00000000-0006-0000-0500-00005D000000}">
      <text>
        <r>
          <rPr>
            <sz val="11"/>
            <rFont val="Calibri"/>
          </rPr>
          <t>tc Server API must have the debug option turned off.</t>
        </r>
      </text>
    </comment>
    <comment ref="AS14" authorId="0" shapeId="0" xr:uid="{00000000-0006-0000-0500-00005E000000}">
      <text>
        <r>
          <rPr>
            <sz val="11"/>
            <rFont val="Calibri"/>
          </rPr>
          <t>tc Server UI must disable the shutdown port.</t>
        </r>
      </text>
    </comment>
    <comment ref="AT14" authorId="0" shapeId="0" xr:uid="{00000000-0006-0000-0500-00005F000000}">
      <text>
        <r>
          <rPr>
            <sz val="11"/>
            <rFont val="Calibri"/>
          </rPr>
          <t>tc Server CaSa must disable the shutdown port.</t>
        </r>
      </text>
    </comment>
    <comment ref="AU14" authorId="0" shapeId="0" xr:uid="{00000000-0006-0000-0500-000060000000}">
      <text>
        <r>
          <rPr>
            <sz val="11"/>
            <rFont val="Calibri"/>
          </rPr>
          <t>tc Server API must disable the shutdown port.</t>
        </r>
      </text>
    </comment>
    <comment ref="H16" authorId="0" shapeId="0" xr:uid="{00000000-0006-0000-0500-000061000000}">
      <text>
        <r>
          <rPr>
            <sz val="11"/>
            <rFont val="Calibri"/>
          </rPr>
          <t>The vRealize Operations server must only allow the use of DoD PKI-established certificate authorities for verification of the establishment of protected sessions.</t>
        </r>
      </text>
    </comment>
    <comment ref="I16" authorId="0" shapeId="0" xr:uid="{00000000-0006-0000-0500-000062000000}">
      <text>
        <r>
          <rPr>
            <sz val="11"/>
            <rFont val="Calibri"/>
          </rPr>
          <t>The vROps PostgreSQL DB must use NIST FIPS 140-2 validated cryptographic modules for cryptographic operations.</t>
        </r>
      </text>
    </comment>
    <comment ref="J16" authorId="0" shapeId="0" xr:uid="{00000000-0006-0000-0500-000063000000}">
      <text>
        <r>
          <rPr>
            <sz val="11"/>
            <rFont val="Calibri"/>
          </rPr>
          <t>The vROps PostgreSQL DB must implement NIST FIPS 140-2 validated cryptographic modules to provision digital signatures.</t>
        </r>
      </text>
    </comment>
    <comment ref="K16" authorId="0" shapeId="0" xr:uid="{00000000-0006-0000-0500-000064000000}">
      <text>
        <r>
          <rPr>
            <sz val="11"/>
            <rFont val="Calibri"/>
          </rPr>
          <t>The vROps PostgreSQL DB must implement NIST FIPS 140-2 validated cryptographic modules to generate and validate cryptographic hashes.</t>
        </r>
      </text>
    </comment>
    <comment ref="L16" authorId="0" shapeId="0" xr:uid="{00000000-0006-0000-0500-000065000000}">
      <text>
        <r>
          <rPr>
            <sz val="11"/>
            <rFont val="Calibri"/>
          </rPr>
          <t>The vROps PostgreSQL DB must implement NIST FIPS 140-2 validated cryptographic modules to protect unclassified information requiring confidentiality and cryptographic protection, in accordance with the data owners requirements.</t>
        </r>
      </text>
    </comment>
    <comment ref="M16" authorId="0" shapeId="0" xr:uid="{00000000-0006-0000-0500-000066000000}">
      <text>
        <r>
          <rPr>
            <sz val="11"/>
            <rFont val="Calibri"/>
          </rPr>
          <t>The SLES for vRealize must implement DoD-approved encryption to protect the confidentiality of remote access sessions - SSH Daemon.</t>
        </r>
      </text>
    </comment>
    <comment ref="N16" authorId="0" shapeId="0" xr:uid="{00000000-0006-0000-0500-000067000000}">
      <text>
        <r>
          <rPr>
            <sz val="11"/>
            <rFont val="Calibri"/>
          </rPr>
          <t>The SLES for vRealize must implement DoD-approved encryption to protect the confidentiality of remote access sessions - SSH Client.</t>
        </r>
      </text>
    </comment>
    <comment ref="O16" authorId="0" shapeId="0" xr:uid="{00000000-0006-0000-0500-000068000000}">
      <text>
        <r>
          <rPr>
            <sz val="11"/>
            <rFont val="Calibri"/>
          </rPr>
          <t>The SLES for vRealize must use cryptographic mechanisms to protect the integrity of audit tools.</t>
        </r>
      </text>
    </comment>
    <comment ref="P16" authorId="0" shapeId="0" xr:uid="{00000000-0006-0000-0500-000069000000}">
      <text>
        <r>
          <rPr>
            <sz val="11"/>
            <rFont val="Calibri"/>
          </rPr>
          <t>The SLES for vRealize must implement cryptographic mechanisms to protect the integrity of nonlocal maintenance and diagnostic communications, when used for nonlocal maintenance sessions.</t>
        </r>
      </text>
    </comment>
    <comment ref="Q16" authorId="0" shapeId="0" xr:uid="{00000000-0006-0000-0500-00006A000000}">
      <text>
        <r>
          <rPr>
            <sz val="11"/>
            <rFont val="Calibri"/>
          </rPr>
          <t>The SLES for vRealize must implement cryptographic mechanisms to protect the confidentiality of nonlocal maintenance and diagnostic communications, when used for nonlocal maintenance sessions.</t>
        </r>
      </text>
    </comment>
    <comment ref="R16" authorId="0" shapeId="0" xr:uid="{00000000-0006-0000-0500-00006B000000}">
      <text>
        <r>
          <rPr>
            <sz val="11"/>
            <rFont val="Calibri"/>
          </rPr>
          <t>The SLES for vRealize must implement NSA-approved cryptography to protect classified information in accordance with applicable federal laws, Executive Orders, directives, policies, regulations, and standards.</t>
        </r>
      </text>
    </comment>
    <comment ref="S16" authorId="0" shapeId="0" xr:uid="{00000000-0006-0000-0500-00006C000000}">
      <text>
        <r>
          <rPr>
            <sz val="11"/>
            <rFont val="Calibri"/>
          </rPr>
          <t>The SLES for vRealize must protect the confidentiality and integrity of transmitted information.</t>
        </r>
      </text>
    </comment>
    <comment ref="T16" authorId="0" shapeId="0" xr:uid="{00000000-0006-0000-0500-00006D000000}">
      <text>
        <r>
          <rPr>
            <sz val="11"/>
            <rFont val="Calibri"/>
          </rPr>
          <t>The SLES for vRealize must implement NIST FIPS-validated cryptography for the following: to provision digital signatures, to generate cryptographic hashes, and to protect unclassified information requiring confidentiality and cryptographic protection in accordance with applicable federal laws, Executive Orders, directives, policies, regulations, and standards.</t>
        </r>
      </text>
    </comment>
    <comment ref="U16" authorId="0" shapeId="0" xr:uid="{00000000-0006-0000-0500-00006E000000}">
      <text>
        <r>
          <rPr>
            <sz val="11"/>
            <rFont val="Calibri"/>
          </rPr>
          <t>tc Server UI must be configured with FIPS 140-2 compliant ciphers for HTTPS connections.</t>
        </r>
      </text>
    </comment>
    <comment ref="V16" authorId="0" shapeId="0" xr:uid="{00000000-0006-0000-0500-00006F000000}">
      <text>
        <r>
          <rPr>
            <sz val="11"/>
            <rFont val="Calibri"/>
          </rPr>
          <t>tc Server CaSa must be configured with FIPS 140-2 compliant ciphers for HTTPS connections.</t>
        </r>
      </text>
    </comment>
    <comment ref="W16" authorId="0" shapeId="0" xr:uid="{00000000-0006-0000-0500-000070000000}">
      <text>
        <r>
          <rPr>
            <sz val="11"/>
            <rFont val="Calibri"/>
          </rPr>
          <t>tc Server API must be configured with FIPS 140-2 compliant ciphers for HTTPS connections.</t>
        </r>
      </text>
    </comment>
    <comment ref="X16" authorId="0" shapeId="0" xr:uid="{00000000-0006-0000-0500-000071000000}">
      <text>
        <r>
          <rPr>
            <sz val="11"/>
            <rFont val="Calibri"/>
          </rPr>
          <t>tc Server UI must use cryptography to protect the integrity of remote sessions.</t>
        </r>
      </text>
    </comment>
    <comment ref="Y16" authorId="0" shapeId="0" xr:uid="{00000000-0006-0000-0500-000072000000}">
      <text>
        <r>
          <rPr>
            <sz val="11"/>
            <rFont val="Calibri"/>
          </rPr>
          <t>tc Server CaSa must use cryptography to protect the integrity of remote sessions.</t>
        </r>
      </text>
    </comment>
    <comment ref="Z16" authorId="0" shapeId="0" xr:uid="{00000000-0006-0000-0500-000073000000}">
      <text>
        <r>
          <rPr>
            <sz val="11"/>
            <rFont val="Calibri"/>
          </rPr>
          <t>tc Server API must use cryptography to protect the integrity of remote sessions.</t>
        </r>
      </text>
    </comment>
    <comment ref="AA16" authorId="0" shapeId="0" xr:uid="{00000000-0006-0000-0500-000074000000}">
      <text>
        <r>
          <rPr>
            <sz val="11"/>
            <rFont val="Calibri"/>
          </rPr>
          <t>tc Server UI must encrypt passwords during transmission.</t>
        </r>
      </text>
    </comment>
    <comment ref="AB16" authorId="0" shapeId="0" xr:uid="{00000000-0006-0000-0500-000075000000}">
      <text>
        <r>
          <rPr>
            <sz val="11"/>
            <rFont val="Calibri"/>
          </rPr>
          <t>tc Server CaSa must encrypt passwords during transmission.</t>
        </r>
      </text>
    </comment>
    <comment ref="AC16" authorId="0" shapeId="0" xr:uid="{00000000-0006-0000-0500-000076000000}">
      <text>
        <r>
          <rPr>
            <sz val="11"/>
            <rFont val="Calibri"/>
          </rPr>
          <t>tc Server API must encrypt passwords during transmission.</t>
        </r>
      </text>
    </comment>
    <comment ref="AD16" authorId="0" shapeId="0" xr:uid="{00000000-0006-0000-0500-000077000000}">
      <text>
        <r>
          <rPr>
            <sz val="11"/>
            <rFont val="Calibri"/>
          </rPr>
          <t>tc Server ALL must validate client certificates, to include all intermediary CAs, to ensure the client-presented certificates are valid and that the entire trust chain is valid.  If PKI is not being used, this check is Not Applicable.</t>
        </r>
      </text>
    </comment>
    <comment ref="AE16" authorId="0" shapeId="0" xr:uid="{00000000-0006-0000-0500-000078000000}">
      <text>
        <r>
          <rPr>
            <sz val="11"/>
            <rFont val="Calibri"/>
          </rPr>
          <t>tc Server UI must use cryptographic modules that meet the requirements of applicable federal laws, Executive Orders, directives, policies, regulations, standards, and guidance when authenticating users and processes.</t>
        </r>
      </text>
    </comment>
    <comment ref="AF16" authorId="0" shapeId="0" xr:uid="{00000000-0006-0000-0500-000079000000}">
      <text>
        <r>
          <rPr>
            <sz val="11"/>
            <rFont val="Calibri"/>
          </rPr>
          <t>tc Server CaSa must use cryptographic modules that meet the requirements of applicable federal laws, Executive Orders, directives, policies, regulations, standards, and guidance when authenticating users and processes.</t>
        </r>
      </text>
    </comment>
    <comment ref="AG16" authorId="0" shapeId="0" xr:uid="{00000000-0006-0000-0500-00007A000000}">
      <text>
        <r>
          <rPr>
            <sz val="11"/>
            <rFont val="Calibri"/>
          </rPr>
          <t>tc Server API must use cryptographic modules that meet the requirements of applicable federal laws, Executive Orders, directives, policies, regulations, standards, and guidance when authenticating users and processes.</t>
        </r>
      </text>
    </comment>
    <comment ref="AH16" authorId="0" shapeId="0" xr:uid="{00000000-0006-0000-0500-00007B000000}">
      <text>
        <r>
          <rPr>
            <sz val="11"/>
            <rFont val="Calibri"/>
          </rPr>
          <t>tc Server UI must be configured to use the https scheme.</t>
        </r>
      </text>
    </comment>
    <comment ref="AI16" authorId="0" shapeId="0" xr:uid="{00000000-0006-0000-0500-00007C000000}">
      <text>
        <r>
          <rPr>
            <sz val="11"/>
            <rFont val="Calibri"/>
          </rPr>
          <t>tc Server CaSa must be configured to use the https scheme.</t>
        </r>
      </text>
    </comment>
    <comment ref="AJ16" authorId="0" shapeId="0" xr:uid="{00000000-0006-0000-0500-00007D000000}">
      <text>
        <r>
          <rPr>
            <sz val="11"/>
            <rFont val="Calibri"/>
          </rPr>
          <t>tc Server API must be configured to use the https scheme.</t>
        </r>
      </text>
    </comment>
    <comment ref="AK16" authorId="0" shapeId="0" xr:uid="{00000000-0006-0000-0500-00007E000000}">
      <text>
        <r>
          <rPr>
            <sz val="11"/>
            <rFont val="Calibri"/>
          </rPr>
          <t>tc Server UI must use NSA Suite A cryptography when encrypting data that must be compartmentalized.</t>
        </r>
      </text>
    </comment>
    <comment ref="AL16" authorId="0" shapeId="0" xr:uid="{00000000-0006-0000-0500-00007F000000}">
      <text>
        <r>
          <rPr>
            <sz val="11"/>
            <rFont val="Calibri"/>
          </rPr>
          <t>tc Server CaSa must use NSA Suite A cryptography when encrypting data that must be compartmentalized.</t>
        </r>
      </text>
    </comment>
    <comment ref="AM16" authorId="0" shapeId="0" xr:uid="{00000000-0006-0000-0500-000080000000}">
      <text>
        <r>
          <rPr>
            <sz val="11"/>
            <rFont val="Calibri"/>
          </rPr>
          <t>tc Server API must use NSA Suite A cryptography when encrypting data that must be compartmentalized.</t>
        </r>
      </text>
    </comment>
    <comment ref="AN16" authorId="0" shapeId="0" xr:uid="{00000000-0006-0000-0500-000081000000}">
      <text>
        <r>
          <rPr>
            <sz val="11"/>
            <rFont val="Calibri"/>
          </rPr>
          <t>tc Server UI must employ cryptographic mechanisms (TLS/DTLS/SSL) preventing the unauthorized disclosure of information during transmission.</t>
        </r>
      </text>
    </comment>
    <comment ref="AO16" authorId="0" shapeId="0" xr:uid="{00000000-0006-0000-0500-000082000000}">
      <text>
        <r>
          <rPr>
            <sz val="11"/>
            <rFont val="Calibri"/>
          </rPr>
          <t>tc Server CaSa must employ cryptographic mechanisms (TLS/DTLS/SSL) preventing the unauthorized disclosure of information during transmission.</t>
        </r>
      </text>
    </comment>
    <comment ref="AP16" authorId="0" shapeId="0" xr:uid="{00000000-0006-0000-0500-000083000000}">
      <text>
        <r>
          <rPr>
            <sz val="11"/>
            <rFont val="Calibri"/>
          </rPr>
          <t>tc Server API must employ cryptographic mechanisms (TLS/DTLS/SSL) preventing the unauthorized disclosure of information during transmission.</t>
        </r>
      </text>
    </comment>
    <comment ref="AQ16" authorId="0" shapeId="0" xr:uid="{00000000-0006-0000-0500-000084000000}">
      <text>
        <r>
          <rPr>
            <sz val="11"/>
            <rFont val="Calibri"/>
          </rPr>
          <t>tc Server UI must set sslEnabledProtocols to an approved Transport Layer Security (TLS) version.</t>
        </r>
      </text>
    </comment>
    <comment ref="AR16" authorId="0" shapeId="0" xr:uid="{00000000-0006-0000-0500-000085000000}">
      <text>
        <r>
          <rPr>
            <sz val="11"/>
            <rFont val="Calibri"/>
          </rPr>
          <t>tc Server CaSa must set sslEnabledProtocols to an approved Transport Layer Security (TLS) version.</t>
        </r>
      </text>
    </comment>
    <comment ref="AS16" authorId="0" shapeId="0" xr:uid="{00000000-0006-0000-0500-000086000000}">
      <text>
        <r>
          <rPr>
            <sz val="11"/>
            <rFont val="Calibri"/>
          </rPr>
          <t>tc Server API must set sslEnabledProtocols to an approved Transport Layer Security (TLS) version.</t>
        </r>
      </text>
    </comment>
    <comment ref="AT16" authorId="0" shapeId="0" xr:uid="{00000000-0006-0000-0500-000087000000}">
      <text>
        <r>
          <rPr>
            <sz val="11"/>
            <rFont val="Calibri"/>
          </rPr>
          <t>tc Server UI must remove all export ciphers to protect the confidentiality and integrity of transmitted information.</t>
        </r>
      </text>
    </comment>
    <comment ref="AU16" authorId="0" shapeId="0" xr:uid="{00000000-0006-0000-0500-000088000000}">
      <text>
        <r>
          <rPr>
            <sz val="11"/>
            <rFont val="Calibri"/>
          </rPr>
          <t>tc Server CaSa must remove all export ciphers to protect the confidentiality and integrity of transmitted information.</t>
        </r>
      </text>
    </comment>
    <comment ref="H19" authorId="0" shapeId="0" xr:uid="{00000000-0006-0000-0500-000089000000}">
      <text>
        <r>
          <rPr>
            <sz val="11"/>
            <rFont val="Calibri"/>
          </rPr>
          <t>The SLES for vRealize must implement non-executable data to protect its memory from unauthorized code execution.</t>
        </r>
      </text>
    </comment>
    <comment ref="I19" authorId="0" shapeId="0" xr:uid="{00000000-0006-0000-0500-00008A000000}">
      <text>
        <r>
          <rPr>
            <sz val="11"/>
            <rFont val="Calibri"/>
          </rPr>
          <t>The SLES for vRealize must implement address space layout randomization to protect its memory from unauthorized code execution.</t>
        </r>
      </text>
    </comment>
    <comment ref="H24" authorId="0" shapeId="0" xr:uid="{00000000-0006-0000-0500-00008B000000}">
      <text>
        <r>
          <rPr>
            <sz val="11"/>
            <rFont val="Calibri"/>
          </rPr>
          <t>The SLES for vRealize must employ strong authenticators in the establishment of nonlocal maintenance and diagnostic sessions.</t>
        </r>
      </text>
    </comment>
    <comment ref="H27" authorId="0" shapeId="0" xr:uid="{00000000-0006-0000-0500-00008C000000}">
      <text>
        <r>
          <rPr>
            <sz val="11"/>
            <rFont val="Calibri"/>
          </rPr>
          <t>The vRealize Operations server must be configured to perform complete application deployments.</t>
        </r>
      </text>
    </comment>
    <comment ref="I27" authorId="0" shapeId="0" xr:uid="{00000000-0006-0000-0500-00008D000000}">
      <text>
        <r>
          <rPr>
            <sz val="11"/>
            <rFont val="Calibri"/>
          </rPr>
          <t>The vRealize Operations appliance must be configured in accordance with the security configuration settings based on DoD security configuration or implementation guidance, including STIGs, NSA configuration guides, CTOs, and DTMs.</t>
        </r>
      </text>
    </comment>
    <comment ref="J27" authorId="0" shapeId="0" xr:uid="{00000000-0006-0000-0500-00008E000000}">
      <text>
        <r>
          <rPr>
            <sz val="11"/>
            <rFont val="Calibri"/>
          </rPr>
          <t>The vROps PostgreSQL DB must isolate security functions from non-security functions.</t>
        </r>
      </text>
    </comment>
    <comment ref="K27" authorId="0" shapeId="0" xr:uid="{00000000-0006-0000-0500-00008F000000}">
      <text>
        <r>
          <rPr>
            <sz val="11"/>
            <rFont val="Calibri"/>
          </rPr>
          <t>The vROps PostgreSQL DB must reveal detailed error messages only to the ISSO, ISSM, SA and DBA.</t>
        </r>
      </text>
    </comment>
    <comment ref="L27" authorId="0" shapeId="0" xr:uid="{00000000-0006-0000-0500-000090000000}">
      <text>
        <r>
          <rPr>
            <sz val="11"/>
            <rFont val="Calibri"/>
          </rPr>
          <t>The vROps PostgreSQL DB must be configured in accordance with the security configuration settings based on DoD security configuration and implementation guidance, including STIGs, NSA configuration guides, CTOs, DTMs, and IAVMs.</t>
        </r>
      </text>
    </comment>
    <comment ref="M27" authorId="0" shapeId="0" xr:uid="{00000000-0006-0000-0500-000091000000}">
      <text>
        <r>
          <rPr>
            <sz val="11"/>
            <rFont val="Calibri"/>
          </rPr>
          <t>Bootloader authentication must be enabled to prevent users without privilege to gain access restricted file system resources.</t>
        </r>
      </text>
    </comment>
    <comment ref="N27" authorId="0" shapeId="0" xr:uid="{00000000-0006-0000-0500-000092000000}">
      <text>
        <r>
          <rPr>
            <sz val="11"/>
            <rFont val="Calibri"/>
          </rPr>
          <t>The SLES for vRealize must not use UDP for NIS/NIS+.</t>
        </r>
      </text>
    </comment>
    <comment ref="O27" authorId="0" shapeId="0" xr:uid="{00000000-0006-0000-0500-000093000000}">
      <text>
        <r>
          <rPr>
            <sz val="11"/>
            <rFont val="Calibri"/>
          </rPr>
          <t>NIS maps must be protected through hard-to-guess domain names.</t>
        </r>
      </text>
    </comment>
    <comment ref="P27" authorId="0" shapeId="0" xr:uid="{00000000-0006-0000-0500-000094000000}">
      <text>
        <r>
          <rPr>
            <sz val="11"/>
            <rFont val="Calibri"/>
          </rPr>
          <t>Proxy Neighbor Discovery Protocol (NDP) must not be enabled on SLES for vRealize.</t>
        </r>
      </text>
    </comment>
    <comment ref="Q27" authorId="0" shapeId="0" xr:uid="{00000000-0006-0000-0500-000095000000}">
      <text>
        <r>
          <rPr>
            <sz val="11"/>
            <rFont val="Calibri"/>
          </rPr>
          <t>The SLES for vRealize must not have 6to4 enabled.</t>
        </r>
      </text>
    </comment>
    <comment ref="R27" authorId="0" shapeId="0" xr:uid="{00000000-0006-0000-0500-000096000000}">
      <text>
        <r>
          <rPr>
            <sz val="11"/>
            <rFont val="Calibri"/>
          </rPr>
          <t>The SLES for vRealize must not have Teredo enabled.</t>
        </r>
      </text>
    </comment>
    <comment ref="S27" authorId="0" shapeId="0" xr:uid="{00000000-0006-0000-0500-000097000000}">
      <text>
        <r>
          <rPr>
            <sz val="11"/>
            <rFont val="Calibri"/>
          </rPr>
          <t>The SLES for vRealize must enforce SSHv2 for network access to privileged accounts.</t>
        </r>
      </text>
    </comment>
    <comment ref="T27" authorId="0" shapeId="0" xr:uid="{00000000-0006-0000-0500-000098000000}">
      <text>
        <r>
          <rPr>
            <sz val="11"/>
            <rFont val="Calibri"/>
          </rPr>
          <t>The SLES for vRealize must enforce SSHv2 for network access to non-privileged accounts.</t>
        </r>
      </text>
    </comment>
    <comment ref="U27" authorId="0" shapeId="0" xr:uid="{00000000-0006-0000-0500-000099000000}">
      <text>
        <r>
          <rPr>
            <sz val="11"/>
            <rFont val="Calibri"/>
          </rPr>
          <t>The SLES for vRealize must reveal error messages only to authorized users.</t>
        </r>
      </text>
    </comment>
    <comment ref="V27" authorId="0" shapeId="0" xr:uid="{00000000-0006-0000-0500-00009A000000}">
      <text>
        <r>
          <rPr>
            <sz val="11"/>
            <rFont val="Calibri"/>
          </rPr>
          <t>The SLES for vRealize must reveal error messages only to authorized users.</t>
        </r>
      </text>
    </comment>
    <comment ref="W27" authorId="0" shapeId="0" xr:uid="{00000000-0006-0000-0500-00009B000000}">
      <text>
        <r>
          <rPr>
            <sz val="11"/>
            <rFont val="Calibri"/>
          </rPr>
          <t>The SLES for vRealize must reveal error messages only to authorized users.</t>
        </r>
      </text>
    </comment>
    <comment ref="X27" authorId="0" shapeId="0" xr:uid="{00000000-0006-0000-0500-00009C000000}">
      <text>
        <r>
          <rPr>
            <sz val="11"/>
            <rFont val="Calibri"/>
          </rPr>
          <t>The SLES for vRealize must control remote access methods.</t>
        </r>
      </text>
    </comment>
    <comment ref="Y27" authorId="0" shapeId="0" xr:uid="{00000000-0006-0000-0500-00009D000000}">
      <text>
        <r>
          <rPr>
            <sz val="11"/>
            <rFont val="Calibri"/>
          </rPr>
          <t>The SLES for vRealize must be configured in accordance with the security configuration settings based on DoD security configuration or implementation guidance, including STIGs, NSA configuration guides, CTOs, and DTMs.</t>
        </r>
      </text>
    </comment>
    <comment ref="Z27" authorId="0" shapeId="0" xr:uid="{00000000-0006-0000-0500-00009E000000}">
      <text>
        <r>
          <rPr>
            <sz val="11"/>
            <rFont val="Calibri"/>
          </rPr>
          <t>tc Server UI must perform server-side session management.</t>
        </r>
      </text>
    </comment>
    <comment ref="AA27" authorId="0" shapeId="0" xr:uid="{00000000-0006-0000-0500-00009F000000}">
      <text>
        <r>
          <rPr>
            <sz val="11"/>
            <rFont val="Calibri"/>
          </rPr>
          <t>tc Server CaSa must perform server-side session management.</t>
        </r>
      </text>
    </comment>
    <comment ref="AB27" authorId="0" shapeId="0" xr:uid="{00000000-0006-0000-0500-0000A0000000}">
      <text>
        <r>
          <rPr>
            <sz val="11"/>
            <rFont val="Calibri"/>
          </rPr>
          <t>tc Server API must perform server-side session management.</t>
        </r>
      </text>
    </comment>
    <comment ref="AC27" authorId="0" shapeId="0" xr:uid="{00000000-0006-0000-0500-0000A1000000}">
      <text>
        <r>
          <rPr>
            <sz val="11"/>
            <rFont val="Calibri"/>
          </rPr>
          <t>tc Server UI must have mappings set for Java Servlet Pages.</t>
        </r>
      </text>
    </comment>
    <comment ref="AD27" authorId="0" shapeId="0" xr:uid="{00000000-0006-0000-0500-0000A2000000}">
      <text>
        <r>
          <rPr>
            <sz val="11"/>
            <rFont val="Calibri"/>
          </rPr>
          <t>tc Server CaSa must have mappings set for Java Servlet Pages.</t>
        </r>
      </text>
    </comment>
    <comment ref="AE27" authorId="0" shapeId="0" xr:uid="{00000000-0006-0000-0500-0000A3000000}">
      <text>
        <r>
          <rPr>
            <sz val="11"/>
            <rFont val="Calibri"/>
          </rPr>
          <t>tc Server API must have mappings set for Java Servlet Pages.</t>
        </r>
      </text>
    </comment>
    <comment ref="AF27" authorId="0" shapeId="0" xr:uid="{00000000-0006-0000-0500-0000A4000000}">
      <text>
        <r>
          <rPr>
            <sz val="11"/>
            <rFont val="Calibri"/>
          </rPr>
          <t>tc Server UI must not have any symbolic links in the web content directory tree.</t>
        </r>
      </text>
    </comment>
    <comment ref="AG27" authorId="0" shapeId="0" xr:uid="{00000000-0006-0000-0500-0000A5000000}">
      <text>
        <r>
          <rPr>
            <sz val="11"/>
            <rFont val="Calibri"/>
          </rPr>
          <t>tc Server CaSa must not have any symbolic links in the web content directory tree.</t>
        </r>
      </text>
    </comment>
    <comment ref="AH27" authorId="0" shapeId="0" xr:uid="{00000000-0006-0000-0500-0000A6000000}">
      <text>
        <r>
          <rPr>
            <sz val="11"/>
            <rFont val="Calibri"/>
          </rPr>
          <t>tc Server API must not have any symbolic links in the web content directory tree.</t>
        </r>
      </text>
    </comment>
    <comment ref="AI27" authorId="0" shapeId="0" xr:uid="{00000000-0006-0000-0500-0000A7000000}">
      <text>
        <r>
          <rPr>
            <sz val="11"/>
            <rFont val="Calibri"/>
          </rPr>
          <t>tc Server UI must be configured to use a specified IP address and port.</t>
        </r>
      </text>
    </comment>
    <comment ref="AJ27" authorId="0" shapeId="0" xr:uid="{00000000-0006-0000-0500-0000A8000000}">
      <text>
        <r>
          <rPr>
            <sz val="11"/>
            <rFont val="Calibri"/>
          </rPr>
          <t>tc Server CaSa must be configured to use a specified IP address and port.</t>
        </r>
      </text>
    </comment>
    <comment ref="AK27" authorId="0" shapeId="0" xr:uid="{00000000-0006-0000-0500-0000A9000000}">
      <text>
        <r>
          <rPr>
            <sz val="11"/>
            <rFont val="Calibri"/>
          </rPr>
          <t>tc Server API must be configured to use a specified IP address and port.</t>
        </r>
      </text>
    </comment>
    <comment ref="AL27" authorId="0" shapeId="0" xr:uid="{00000000-0006-0000-0500-0000AA000000}">
      <text>
        <r>
          <rPr>
            <sz val="11"/>
            <rFont val="Calibri"/>
          </rPr>
          <t>tc Server ALL baseline must be documented and maintained.</t>
        </r>
      </text>
    </comment>
    <comment ref="AM27" authorId="0" shapeId="0" xr:uid="{00000000-0006-0000-0500-0000AB000000}">
      <text>
        <r>
          <rPr>
            <sz val="11"/>
            <rFont val="Calibri"/>
          </rPr>
          <t>tc Server UI document directory must be in a separate partition from the web servers system files.</t>
        </r>
      </text>
    </comment>
    <comment ref="AN27" authorId="0" shapeId="0" xr:uid="{00000000-0006-0000-0500-0000AC000000}">
      <text>
        <r>
          <rPr>
            <sz val="11"/>
            <rFont val="Calibri"/>
          </rPr>
          <t>tc Server CaSa document directory must be in a separate partition from the web servers system files.</t>
        </r>
      </text>
    </comment>
    <comment ref="AO27" authorId="0" shapeId="0" xr:uid="{00000000-0006-0000-0500-0000AD000000}">
      <text>
        <r>
          <rPr>
            <sz val="11"/>
            <rFont val="Calibri"/>
          </rPr>
          <t>tc Server API document directory must be in a separate partition from the web servers system files.</t>
        </r>
      </text>
    </comment>
    <comment ref="AP27" authorId="0" shapeId="0" xr:uid="{00000000-0006-0000-0500-0000AE000000}">
      <text>
        <r>
          <rPr>
            <sz val="11"/>
            <rFont val="Calibri"/>
          </rPr>
          <t>tc Server UI must set URIEncoding to UTF-8.</t>
        </r>
      </text>
    </comment>
    <comment ref="AQ27" authorId="0" shapeId="0" xr:uid="{00000000-0006-0000-0500-0000AF000000}">
      <text>
        <r>
          <rPr>
            <sz val="11"/>
            <rFont val="Calibri"/>
          </rPr>
          <t>tc Server CaSa must set URIEncoding to UTF-8.</t>
        </r>
      </text>
    </comment>
    <comment ref="AR27" authorId="0" shapeId="0" xr:uid="{00000000-0006-0000-0500-0000B0000000}">
      <text>
        <r>
          <rPr>
            <sz val="11"/>
            <rFont val="Calibri"/>
          </rPr>
          <t>tc Server API must set URIEncoding to UTF-8.</t>
        </r>
      </text>
    </comment>
    <comment ref="AS27" authorId="0" shapeId="0" xr:uid="{00000000-0006-0000-0500-0000B1000000}">
      <text>
        <r>
          <rPr>
            <sz val="11"/>
            <rFont val="Calibri"/>
          </rPr>
          <t>tc Server UI must use the setCharacterEncodingFilter filter.</t>
        </r>
      </text>
    </comment>
    <comment ref="AT27" authorId="0" shapeId="0" xr:uid="{00000000-0006-0000-0500-0000B2000000}">
      <text>
        <r>
          <rPr>
            <sz val="11"/>
            <rFont val="Calibri"/>
          </rPr>
          <t>tc Server CaSa must use the setCharacterEncodingFilter filter.</t>
        </r>
      </text>
    </comment>
    <comment ref="AU27" authorId="0" shapeId="0" xr:uid="{00000000-0006-0000-0500-0000B3000000}">
      <text>
        <r>
          <rPr>
            <sz val="11"/>
            <rFont val="Calibri"/>
          </rPr>
          <t>tc Server API must use the setCharacterEncodingFilter filter.</t>
        </r>
      </text>
    </comment>
    <comment ref="H29" authorId="0" shapeId="0" xr:uid="{00000000-0006-0000-0500-0000B4000000}">
      <text>
        <r>
          <rPr>
            <sz val="11"/>
            <rFont val="Calibri"/>
          </rPr>
          <t>If passwords are used for authentication, the vROps PostgreSQL DB must transmit only encrypted representations of passwords.</t>
        </r>
      </text>
    </comment>
    <comment ref="I29" authorId="0" shapeId="0" xr:uid="{00000000-0006-0000-0500-0000B5000000}">
      <text>
        <r>
          <rPr>
            <sz val="11"/>
            <rFont val="Calibri"/>
          </rPr>
          <t>The SLES for vRealize must enforce password complexity by requiring that at least one upper-case character be used.</t>
        </r>
      </text>
    </comment>
    <comment ref="J29" authorId="0" shapeId="0" xr:uid="{00000000-0006-0000-0500-0000B6000000}">
      <text>
        <r>
          <rPr>
            <sz val="11"/>
            <rFont val="Calibri"/>
          </rPr>
          <t>Global settings defined in common- {account,auth,password,session} must be applied in the pam.d definition files.</t>
        </r>
      </text>
    </comment>
    <comment ref="K29" authorId="0" shapeId="0" xr:uid="{00000000-0006-0000-0500-0000B7000000}">
      <text>
        <r>
          <rPr>
            <sz val="11"/>
            <rFont val="Calibri"/>
          </rPr>
          <t>The SLES for vRealize must enforce password complexity by requiring that at least one lower-case character be used.</t>
        </r>
      </text>
    </comment>
    <comment ref="L29" authorId="0" shapeId="0" xr:uid="{00000000-0006-0000-0500-0000B8000000}">
      <text>
        <r>
          <rPr>
            <sz val="11"/>
            <rFont val="Calibri"/>
          </rPr>
          <t>The SLES for vRealize must enforce password complexity by requiring that at least one numeric character be used.</t>
        </r>
      </text>
    </comment>
    <comment ref="M29" authorId="0" shapeId="0" xr:uid="{00000000-0006-0000-0500-0000B9000000}">
      <text>
        <r>
          <rPr>
            <sz val="11"/>
            <rFont val="Calibri"/>
          </rPr>
          <t>The SLES for vRealize must require the change of at least eight of the total number of characters when passwords are changed.</t>
        </r>
      </text>
    </comment>
    <comment ref="N29" authorId="0" shapeId="0" xr:uid="{00000000-0006-0000-0500-0000BA000000}">
      <text>
        <r>
          <rPr>
            <sz val="11"/>
            <rFont val="Calibri"/>
          </rPr>
          <t>The SLES for vRealize must store only encrypted representations of passwords.</t>
        </r>
      </text>
    </comment>
    <comment ref="O29" authorId="0" shapeId="0" xr:uid="{00000000-0006-0000-0500-0000BB000000}">
      <text>
        <r>
          <rPr>
            <sz val="11"/>
            <rFont val="Calibri"/>
          </rPr>
          <t>SLES for vRealize must enforce 24 hours/1 day as the minimum password lifetime.</t>
        </r>
      </text>
    </comment>
    <comment ref="P29" authorId="0" shapeId="0" xr:uid="{00000000-0006-0000-0500-0000BC000000}">
      <text>
        <r>
          <rPr>
            <sz val="11"/>
            <rFont val="Calibri"/>
          </rPr>
          <t>Users must not be able to change passwords more than once every 24 hours.</t>
        </r>
      </text>
    </comment>
    <comment ref="Q29" authorId="0" shapeId="0" xr:uid="{00000000-0006-0000-0500-0000BD000000}">
      <text>
        <r>
          <rPr>
            <sz val="11"/>
            <rFont val="Calibri"/>
          </rPr>
          <t>SLES for vRealize must enforce a 60-day maximum password lifetime restriction.</t>
        </r>
      </text>
    </comment>
    <comment ref="R29" authorId="0" shapeId="0" xr:uid="{00000000-0006-0000-0500-0000BE000000}">
      <text>
        <r>
          <rPr>
            <sz val="11"/>
            <rFont val="Calibri"/>
          </rPr>
          <t>User passwords must be changed at least every 60 days.</t>
        </r>
      </text>
    </comment>
    <comment ref="S29" authorId="0" shapeId="0" xr:uid="{00000000-0006-0000-0500-0000BF000000}">
      <text>
        <r>
          <rPr>
            <sz val="11"/>
            <rFont val="Calibri"/>
          </rPr>
          <t>The SLES for vRealize must prohibit password reuse for a minimum of five generations.</t>
        </r>
      </text>
    </comment>
    <comment ref="T29" authorId="0" shapeId="0" xr:uid="{00000000-0006-0000-0500-0000C0000000}">
      <text>
        <r>
          <rPr>
            <sz val="11"/>
            <rFont val="Calibri"/>
          </rPr>
          <t>The SLES for vRealize must prohibit password reuse for a minimum of five generations. Ensure the old passwords are being stored.</t>
        </r>
      </text>
    </comment>
    <comment ref="U29" authorId="0" shapeId="0" xr:uid="{00000000-0006-0000-0500-0000C1000000}">
      <text>
        <r>
          <rPr>
            <sz val="11"/>
            <rFont val="Calibri"/>
          </rPr>
          <t>The SLES for vRealize must enforce a minimum 15-character password length.</t>
        </r>
      </text>
    </comment>
    <comment ref="V29" authorId="0" shapeId="0" xr:uid="{00000000-0006-0000-0500-0000C2000000}">
      <text>
        <r>
          <rPr>
            <sz val="11"/>
            <rFont val="Calibri"/>
          </rPr>
          <t>The SLES for vRealize must enforce password complexity by requiring that at least one special character be used.</t>
        </r>
      </text>
    </comment>
    <comment ref="W29" authorId="0" shapeId="0" xr:uid="{00000000-0006-0000-0500-0000C3000000}">
      <text>
        <r>
          <rPr>
            <sz val="11"/>
            <rFont val="Calibri"/>
          </rPr>
          <t>The SLES for vRealize must prevent the use of dictionary words for passwords.</t>
        </r>
      </text>
    </comment>
    <comment ref="X29" authorId="0" shapeId="0" xr:uid="{00000000-0006-0000-0500-0000C4000000}">
      <text>
        <r>
          <rPr>
            <sz val="11"/>
            <rFont val="Calibri"/>
          </rPr>
          <t>The SLES for vRealize must prevent the use of dictionary words for passwords.</t>
        </r>
      </text>
    </comment>
    <comment ref="Y29" authorId="0" shapeId="0" xr:uid="{00000000-0006-0000-0500-0000C5000000}">
      <text>
        <r>
          <rPr>
            <sz val="11"/>
            <rFont val="Calibri"/>
          </rPr>
          <t>The SLES for vRealize must prevent the use of dictionary words for passwords.</t>
        </r>
      </text>
    </comment>
    <comment ref="H31" authorId="0" shapeId="0" xr:uid="{00000000-0006-0000-0500-0000C6000000}">
      <text>
        <r>
          <rPr>
            <sz val="11"/>
            <rFont val="Calibri"/>
          </rPr>
          <t>The role(s)/group(s) used to modify database structure (including but not necessarily limited to tables, indexes, storage, etc.) and logic modules (stored procedures, functions, triggers, links to software external to the vROps PostgreSQL DB, etc.) must be restricted to authorized users.</t>
        </r>
      </text>
    </comment>
    <comment ref="I31" authorId="0" shapeId="0" xr:uid="{00000000-0006-0000-0500-0000C7000000}">
      <text>
        <r>
          <rPr>
            <sz val="11"/>
            <rFont val="Calibri"/>
          </rPr>
          <t>The vROps PostgreSQL DB must uniquely identify and authenticate organizational users (or processes acting on behalf of organizational users).</t>
        </r>
      </text>
    </comment>
    <comment ref="J31" authorId="0" shapeId="0" xr:uid="{00000000-0006-0000-0500-0000C8000000}">
      <text>
        <r>
          <rPr>
            <sz val="11"/>
            <rFont val="Calibri"/>
          </rPr>
          <t>The vROps PostgreSQL DB must enforce access restrictions associated with changes to the configuration of the DBMS or database(s).</t>
        </r>
      </text>
    </comment>
    <comment ref="K31" authorId="0" shapeId="0" xr:uid="{00000000-0006-0000-0500-0000C9000000}">
      <text>
        <r>
          <rPr>
            <sz val="11"/>
            <rFont val="Calibri"/>
          </rPr>
          <t>The SLES for vRealize must require root password authentication upon booting into single-user mode.</t>
        </r>
      </text>
    </comment>
    <comment ref="L31" authorId="0" shapeId="0" xr:uid="{00000000-0006-0000-0500-0000CA000000}">
      <text>
        <r>
          <rPr>
            <sz val="11"/>
            <rFont val="Calibri"/>
          </rPr>
          <t>The SLES for vRealize must prevent direct logon into the root account.</t>
        </r>
      </text>
    </comment>
    <comment ref="M31" authorId="0" shapeId="0" xr:uid="{00000000-0006-0000-0500-0000CB000000}">
      <text>
        <r>
          <rPr>
            <sz val="11"/>
            <rFont val="Calibri"/>
          </rPr>
          <t>tc Server ALL must only allow authenticated system administrators to have access to the keystore.</t>
        </r>
      </text>
    </comment>
    <comment ref="N31" authorId="0" shapeId="0" xr:uid="{00000000-0006-0000-0500-0000CC000000}">
      <text>
        <r>
          <rPr>
            <sz val="11"/>
            <rFont val="Calibri"/>
          </rPr>
          <t>tc Server ALL must only allow authenticated system administrators to have access to the truststore.</t>
        </r>
      </text>
    </comment>
    <comment ref="O31" authorId="0" shapeId="0" xr:uid="{00000000-0006-0000-0500-0000CD000000}">
      <text>
        <r>
          <rPr>
            <sz val="11"/>
            <rFont val="Calibri"/>
          </rPr>
          <t>tc Server UI accounts accessing the directory tree, the shell, or other operating system functions and utilities must be administrative accounts.</t>
        </r>
      </text>
    </comment>
    <comment ref="P31" authorId="0" shapeId="0" xr:uid="{00000000-0006-0000-0500-0000CE000000}">
      <text>
        <r>
          <rPr>
            <sz val="11"/>
            <rFont val="Calibri"/>
          </rPr>
          <t>tc Server CaSa accounts accessing the directory tree, the shell, or other operating system functions and utilities must be administrative accounts.</t>
        </r>
      </text>
    </comment>
    <comment ref="Q31" authorId="0" shapeId="0" xr:uid="{00000000-0006-0000-0500-0000CF000000}">
      <text>
        <r>
          <rPr>
            <sz val="11"/>
            <rFont val="Calibri"/>
          </rPr>
          <t>tc Server API accounts accessing the directory tree, the shell, or other operating system functions and utilities must be administrative accounts.</t>
        </r>
      </text>
    </comment>
    <comment ref="R31" authorId="0" shapeId="0" xr:uid="{00000000-0006-0000-0500-0000D0000000}">
      <text>
        <r>
          <rPr>
            <sz val="11"/>
            <rFont val="Calibri"/>
          </rPr>
          <t>tc Server UI web server application directories must not be accessible to anonymous user.</t>
        </r>
      </text>
    </comment>
    <comment ref="S31" authorId="0" shapeId="0" xr:uid="{00000000-0006-0000-0500-0000D1000000}">
      <text>
        <r>
          <rPr>
            <sz val="11"/>
            <rFont val="Calibri"/>
          </rPr>
          <t>tc Server CaSa web server application directories must not be accessible to anonymous user.</t>
        </r>
      </text>
    </comment>
    <comment ref="T31" authorId="0" shapeId="0" xr:uid="{00000000-0006-0000-0500-0000D2000000}">
      <text>
        <r>
          <rPr>
            <sz val="11"/>
            <rFont val="Calibri"/>
          </rPr>
          <t>tc Server API web server application directories must not be accessible to anonymous user.</t>
        </r>
      </text>
    </comment>
    <comment ref="H34" authorId="0" shapeId="0" xr:uid="{00000000-0006-0000-0500-0000D3000000}">
      <text>
        <r>
          <rPr>
            <sz val="11"/>
            <rFont val="Calibri"/>
          </rPr>
          <t>vROps PostgreSQL DB objects (including but not limited to tables, indexes, storage, stored procedures, functions, triggers, links to software external to the DBMS, etc.) must be owned by vROps PostgreSQL DB principals authorized for ownership.</t>
        </r>
      </text>
    </comment>
    <comment ref="I34" authorId="0" shapeId="0" xr:uid="{00000000-0006-0000-0500-0000D4000000}">
      <text>
        <r>
          <rPr>
            <sz val="11"/>
            <rFont val="Calibri"/>
          </rPr>
          <t>The role(s)/group(s) used to modify database structure (including but not necessarily limited to tables, indexes, storage, etc.) and logic modules (stored procedures, functions, triggers, links to software external to the vROps PostgreSQL DB, etc.) must be restricted to authorized users.</t>
        </r>
      </text>
    </comment>
    <comment ref="J34" authorId="0" shapeId="0" xr:uid="{00000000-0006-0000-0500-0000D5000000}">
      <text>
        <r>
          <rPr>
            <sz val="11"/>
            <rFont val="Calibri"/>
          </rPr>
          <t>vROps PostgreSQL DB contents must be protected from unauthorized and unintended information transfer by enforcement of a data-transfer policy.</t>
        </r>
      </text>
    </comment>
    <comment ref="K34" authorId="0" shapeId="0" xr:uid="{00000000-0006-0000-0500-0000D6000000}">
      <text>
        <r>
          <rPr>
            <sz val="11"/>
            <rFont val="Calibri"/>
          </rPr>
          <t>The vROps PostgreSQL DB must enforce access restrictions associated with changes to the configuration of the DBMS or database(s).</t>
        </r>
      </text>
    </comment>
    <comment ref="L34" authorId="0" shapeId="0" xr:uid="{00000000-0006-0000-0500-0000D7000000}">
      <text>
        <r>
          <rPr>
            <sz val="11"/>
            <rFont val="Calibri"/>
          </rPr>
          <t>The SLES for the vRealize boot loader configuration file(s) must have mode 0600 or less permissive.</t>
        </r>
      </text>
    </comment>
    <comment ref="M34" authorId="0" shapeId="0" xr:uid="{00000000-0006-0000-0500-0000D8000000}">
      <text>
        <r>
          <rPr>
            <sz val="11"/>
            <rFont val="Calibri"/>
          </rPr>
          <t>The SLES for the vRealize boot loader configuration files must be owned by root.</t>
        </r>
      </text>
    </comment>
    <comment ref="N34" authorId="0" shapeId="0" xr:uid="{00000000-0006-0000-0500-0000D9000000}">
      <text>
        <r>
          <rPr>
            <sz val="11"/>
            <rFont val="Calibri"/>
          </rPr>
          <t>The SLES for the vRealize boot loader configuration file(s) must be group-owned by root, bin, sys, or system.</t>
        </r>
      </text>
    </comment>
    <comment ref="O34" authorId="0" shapeId="0" xr:uid="{00000000-0006-0000-0500-0000DA000000}">
      <text>
        <r>
          <rPr>
            <sz val="11"/>
            <rFont val="Calibri"/>
          </rPr>
          <t>NIS/NIS+/yp files must be owned by root, sys, or bin.</t>
        </r>
      </text>
    </comment>
    <comment ref="P34" authorId="0" shapeId="0" xr:uid="{00000000-0006-0000-0500-0000DB000000}">
      <text>
        <r>
          <rPr>
            <sz val="11"/>
            <rFont val="Calibri"/>
          </rPr>
          <t>The NIS/NIS+/yp command files must have mode 0755 or less permissive.</t>
        </r>
      </text>
    </comment>
    <comment ref="Q34" authorId="0" shapeId="0" xr:uid="{00000000-0006-0000-0500-0000DC000000}">
      <text>
        <r>
          <rPr>
            <sz val="11"/>
            <rFont val="Calibri"/>
          </rPr>
          <t>The alias files must be owned by root.</t>
        </r>
      </text>
    </comment>
    <comment ref="R34" authorId="0" shapeId="0" xr:uid="{00000000-0006-0000-0500-0000DD000000}">
      <text>
        <r>
          <rPr>
            <sz val="11"/>
            <rFont val="Calibri"/>
          </rPr>
          <t>The alias files must be group-owned by root, or a system group.</t>
        </r>
      </text>
    </comment>
    <comment ref="S34" authorId="0" shapeId="0" xr:uid="{00000000-0006-0000-0500-0000DE000000}">
      <text>
        <r>
          <rPr>
            <sz val="11"/>
            <rFont val="Calibri"/>
          </rPr>
          <t>The alias files must have mode 0644 or less permissive.</t>
        </r>
      </text>
    </comment>
    <comment ref="T34" authorId="0" shapeId="0" xr:uid="{00000000-0006-0000-0500-0000DF000000}">
      <text>
        <r>
          <rPr>
            <sz val="11"/>
            <rFont val="Calibri"/>
          </rPr>
          <t>Files executed through a mail aliases file must be owned by root and must reside within a directory owned and writable only by root.</t>
        </r>
      </text>
    </comment>
    <comment ref="U34" authorId="0" shapeId="0" xr:uid="{00000000-0006-0000-0500-0000E0000000}">
      <text>
        <r>
          <rPr>
            <sz val="11"/>
            <rFont val="Calibri"/>
          </rPr>
          <t>Files executed through a mail aliases file must be group-owned by root, bin, sys, or system, and must reside within a directory group-owned by root, bin, sys, or system.</t>
        </r>
      </text>
    </comment>
    <comment ref="V34" authorId="0" shapeId="0" xr:uid="{00000000-0006-0000-0500-0000E1000000}">
      <text>
        <r>
          <rPr>
            <sz val="11"/>
            <rFont val="Calibri"/>
          </rPr>
          <t>Files executed through a mail aliases file must have mode 0755 or less permissive.</t>
        </r>
      </text>
    </comment>
    <comment ref="W34" authorId="0" shapeId="0" xr:uid="{00000000-0006-0000-0500-0000E2000000}">
      <text>
        <r>
          <rPr>
            <sz val="11"/>
            <rFont val="Calibri"/>
          </rPr>
          <t>The SMTP service log files must be owned by root.</t>
        </r>
      </text>
    </comment>
    <comment ref="X34" authorId="0" shapeId="0" xr:uid="{00000000-0006-0000-0500-0000E3000000}">
      <text>
        <r>
          <rPr>
            <sz val="11"/>
            <rFont val="Calibri"/>
          </rPr>
          <t>The SMTP service log file must have mode 0644 or less permissive.</t>
        </r>
      </text>
    </comment>
    <comment ref="Y34" authorId="0" shapeId="0" xr:uid="{00000000-0006-0000-0500-0000E4000000}">
      <text>
        <r>
          <rPr>
            <sz val="11"/>
            <rFont val="Calibri"/>
          </rPr>
          <t>The time synchronization configuration file (such as /etc/ntp.conf) must be owned by root.</t>
        </r>
      </text>
    </comment>
    <comment ref="Z34" authorId="0" shapeId="0" xr:uid="{00000000-0006-0000-0500-0000E5000000}">
      <text>
        <r>
          <rPr>
            <sz val="11"/>
            <rFont val="Calibri"/>
          </rPr>
          <t>The time synchronization configuration file (such as /etc/ntp.conf) must be group-owned by root, bin, sys, or system.</t>
        </r>
      </text>
    </comment>
    <comment ref="AA34" authorId="0" shapeId="0" xr:uid="{00000000-0006-0000-0500-0000E6000000}">
      <text>
        <r>
          <rPr>
            <sz val="11"/>
            <rFont val="Calibri"/>
          </rPr>
          <t>The time synchronization configuration file (such as /etc/ntp.conf) must have mode 0640 or less permissive.</t>
        </r>
      </text>
    </comment>
    <comment ref="AB34" authorId="0" shapeId="0" xr:uid="{00000000-0006-0000-0500-0000E7000000}">
      <text>
        <r>
          <rPr>
            <sz val="11"/>
            <rFont val="Calibri"/>
          </rPr>
          <t>The SLES for vRealize must define default permissions for all authenticated users in such a way that the user can only read and modify their own files.</t>
        </r>
      </text>
    </comment>
    <comment ref="H37" authorId="0" shapeId="0" xr:uid="{00000000-0006-0000-0500-0000E8000000}">
      <text>
        <r>
          <rPr>
            <sz val="11"/>
            <rFont val="Calibri"/>
          </rPr>
          <t>tc Server UI must be configured with a cross-site scripting (XSS) filter.</t>
        </r>
      </text>
    </comment>
    <comment ref="I37" authorId="0" shapeId="0" xr:uid="{00000000-0006-0000-0500-0000E9000000}">
      <text>
        <r>
          <rPr>
            <sz val="11"/>
            <rFont val="Calibri"/>
          </rPr>
          <t>tc Server CaSa must be configured with a cross-site scripting (XSS) filter.</t>
        </r>
      </text>
    </comment>
    <comment ref="J37" authorId="0" shapeId="0" xr:uid="{00000000-0006-0000-0500-0000EA000000}">
      <text>
        <r>
          <rPr>
            <sz val="11"/>
            <rFont val="Calibri"/>
          </rPr>
          <t>tc Server API must be configured with a cross-site scripting (XSS) filter.</t>
        </r>
      </text>
    </comment>
    <comment ref="K37" authorId="0" shapeId="0" xr:uid="{00000000-0006-0000-0500-0000EB000000}">
      <text>
        <r>
          <rPr>
            <sz val="11"/>
            <rFont val="Calibri"/>
          </rPr>
          <t>tc Server UI session IDs must be sent to the client using SSL/TLS.</t>
        </r>
      </text>
    </comment>
    <comment ref="L37" authorId="0" shapeId="0" xr:uid="{00000000-0006-0000-0500-0000EC000000}">
      <text>
        <r>
          <rPr>
            <sz val="11"/>
            <rFont val="Calibri"/>
          </rPr>
          <t>tc Server CaSa session IDs must be sent to the client using SSL/TLS.</t>
        </r>
      </text>
    </comment>
    <comment ref="M37" authorId="0" shapeId="0" xr:uid="{00000000-0006-0000-0500-0000ED000000}">
      <text>
        <r>
          <rPr>
            <sz val="11"/>
            <rFont val="Calibri"/>
          </rPr>
          <t>tc Server API session IDs must be sent to the client using SSL/TLS.</t>
        </r>
      </text>
    </comment>
    <comment ref="N37" authorId="0" shapeId="0" xr:uid="{00000000-0006-0000-0500-0000EE000000}">
      <text>
        <r>
          <rPr>
            <sz val="11"/>
            <rFont val="Calibri"/>
          </rPr>
          <t>tc Server UI must set the useHttpOnly parameter.</t>
        </r>
      </text>
    </comment>
    <comment ref="O37" authorId="0" shapeId="0" xr:uid="{00000000-0006-0000-0500-0000EF000000}">
      <text>
        <r>
          <rPr>
            <sz val="11"/>
            <rFont val="Calibri"/>
          </rPr>
          <t>tc Server CaSa must set the useHttpOnly parameter.</t>
        </r>
      </text>
    </comment>
    <comment ref="P37" authorId="0" shapeId="0" xr:uid="{00000000-0006-0000-0500-0000F0000000}">
      <text>
        <r>
          <rPr>
            <sz val="11"/>
            <rFont val="Calibri"/>
          </rPr>
          <t>tc Server API must set the useHttpOnly parameter.</t>
        </r>
      </text>
    </comment>
    <comment ref="Q37" authorId="0" shapeId="0" xr:uid="{00000000-0006-0000-0500-0000F1000000}">
      <text>
        <r>
          <rPr>
            <sz val="11"/>
            <rFont val="Calibri"/>
          </rPr>
          <t>tc Server UI must set the secure flag for cookies.</t>
        </r>
      </text>
    </comment>
    <comment ref="R37" authorId="0" shapeId="0" xr:uid="{00000000-0006-0000-0500-0000F2000000}">
      <text>
        <r>
          <rPr>
            <sz val="11"/>
            <rFont val="Calibri"/>
          </rPr>
          <t>tc Server CaSa must set the secure flag for cookies.</t>
        </r>
      </text>
    </comment>
    <comment ref="S37" authorId="0" shapeId="0" xr:uid="{00000000-0006-0000-0500-0000F3000000}">
      <text>
        <r>
          <rPr>
            <sz val="11"/>
            <rFont val="Calibri"/>
          </rPr>
          <t>tc Server API must set the secure flag for cookies.</t>
        </r>
      </text>
    </comment>
    <comment ref="H41" authorId="0" shapeId="0" xr:uid="{00000000-0006-0000-0500-0000F4000000}">
      <text>
        <r>
          <rPr>
            <sz val="11"/>
            <rFont val="Calibri"/>
          </rPr>
          <t>Security-relevant software updates to the vROps PostgreSQL DB must be installed within the time period directed by an authoritative source (e.g. IAVM, CTOs, DTMs, and STIGs).</t>
        </r>
      </text>
    </comment>
    <comment ref="I41" authorId="0" shapeId="0" xr:uid="{00000000-0006-0000-0500-0000F5000000}">
      <text>
        <r>
          <rPr>
            <sz val="11"/>
            <rFont val="Calibri"/>
          </rPr>
          <t>tc Server ALL must have all security-relevant software updates installed within the configured time period directed by an authoritative source.</t>
        </r>
      </text>
    </comment>
    <comment ref="H43" authorId="0" shapeId="0" xr:uid="{00000000-0006-0000-0500-0000F6000000}">
      <text>
        <r>
          <rPr>
            <sz val="11"/>
            <rFont val="Calibri"/>
          </rPr>
          <t>The SLES for vRealize must provide automated mechanisms for supporting account management functions.</t>
        </r>
      </text>
    </comment>
    <comment ref="I43" authorId="0" shapeId="0" xr:uid="{00000000-0006-0000-0500-0000F7000000}">
      <text>
        <r>
          <rPr>
            <sz val="11"/>
            <rFont val="Calibri"/>
          </rPr>
          <t>The SLES for vRealize must automatically remove or disable temporary user accounts after 72 hours.</t>
        </r>
      </text>
    </comment>
    <comment ref="J43" authorId="0" shapeId="0" xr:uid="{00000000-0006-0000-0500-0000F8000000}">
      <text>
        <r>
          <rPr>
            <sz val="11"/>
            <rFont val="Calibri"/>
          </rPr>
          <t>Duplicate User IDs (UIDs) must not exist for users within the organization.</t>
        </r>
      </text>
    </comment>
    <comment ref="K43" authorId="0" shapeId="0" xr:uid="{00000000-0006-0000-0500-0000F9000000}">
      <text>
        <r>
          <rPr>
            <sz val="11"/>
            <rFont val="Calibri"/>
          </rPr>
          <t>The SLES for vRealize must disable account identifiers of individuals and roles (such as root) after 35 days of inactivity after password expiration.</t>
        </r>
      </text>
    </comment>
    <comment ref="L43" authorId="0" shapeId="0" xr:uid="{00000000-0006-0000-0500-0000FA000000}">
      <text>
        <r>
          <rPr>
            <sz val="11"/>
            <rFont val="Calibri"/>
          </rPr>
          <t>The SLES for vRealize must be configured such that emergency administrator accounts are never automatically removed or disabled.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The SLES for vRealize must automatically remove or disable temporary user accounts after 72 hours.</t>
        </r>
      </text>
    </comment>
    <comment ref="K3" authorId="0" shapeId="0" xr:uid="{00000000-0006-0000-0600-000003000000}">
      <text>
        <r>
          <rPr>
            <sz val="11"/>
            <rFont val="Calibri"/>
          </rPr>
          <t>The SLES for vRealize must disable account identifiers of individuals and roles (such as root) after 35 days of inactivity after password expiration.</t>
        </r>
      </text>
    </comment>
    <comment ref="L3" authorId="0" shapeId="0" xr:uid="{00000000-0006-0000-0600-000002000000}">
      <text>
        <r>
          <rPr>
            <sz val="11"/>
            <rFont val="Calibri"/>
          </rPr>
          <t>The SLES for vRealize must be configured such that emergency administrator accounts are never automatically removed or disabled.</t>
        </r>
      </text>
    </comment>
    <comment ref="J4" authorId="0" shapeId="0" xr:uid="{00000000-0006-0000-0600-000004000000}">
      <text>
        <r>
          <rPr>
            <sz val="11"/>
            <rFont val="Calibri"/>
          </rPr>
          <t>vROps PostgreSQL DB objects (including but not limited to tables, indexes, storage, stored procedures, functions, triggers, links to software external to the DBMS, etc.) must be owned by vROps PostgreSQL DB principals authorized for ownership.</t>
        </r>
      </text>
    </comment>
    <comment ref="K4" authorId="0" shapeId="0" xr:uid="{00000000-0006-0000-0600-000006000000}">
      <text>
        <r>
          <rPr>
            <sz val="11"/>
            <rFont val="Calibri"/>
          </rPr>
          <t>The role(s)/group(s) used to modify database structure (including but not necessarily limited to tables, indexes, storage, etc.) and logic modules (stored procedures, functions, triggers, links to software external to the vROps PostgreSQL DB, etc.) must be restricted to authorized users.</t>
        </r>
      </text>
    </comment>
    <comment ref="L4" authorId="0" shapeId="0" xr:uid="{00000000-0006-0000-0600-000007000000}">
      <text>
        <r>
          <rPr>
            <sz val="11"/>
            <rFont val="Calibri"/>
          </rPr>
          <t>vROps PostgreSQL DB contents must be protected from unauthorized and unintended information transfer by enforcement of a data-transfer policy.</t>
        </r>
      </text>
    </comment>
    <comment ref="M4" authorId="0" shapeId="0" xr:uid="{00000000-0006-0000-0600-000005000000}">
      <text>
        <r>
          <rPr>
            <sz val="11"/>
            <rFont val="Calibri"/>
          </rPr>
          <t>The vROps PostgreSQL DB must enforce access restrictions associated with changes to the configuration of the DBMS or database(s).</t>
        </r>
      </text>
    </comment>
    <comment ref="J7" authorId="0" shapeId="0" xr:uid="{00000000-0006-0000-0600-000008000000}">
      <text>
        <r>
          <rPr>
            <sz val="11"/>
            <rFont val="Calibri"/>
          </rPr>
          <t>vROps PostgreSQL DB objects (including but not limited to tables, indexes, storage, stored procedures, functions, triggers, links to software external to the DBMS, etc.) must be owned by vROps PostgreSQL DB principals authorized for ownership.</t>
        </r>
      </text>
    </comment>
    <comment ref="K7" authorId="0" shapeId="0" xr:uid="{00000000-0006-0000-0600-000011000000}">
      <text>
        <r>
          <rPr>
            <sz val="11"/>
            <rFont val="Calibri"/>
          </rPr>
          <t>The role(s)/group(s) used to modify database structure (including but not necessarily limited to tables, indexes, storage, etc.) and logic modules (stored procedures, functions, triggers, links to software external to the vROps PostgreSQL DB, etc.) must be restricted to authorized users.</t>
        </r>
      </text>
    </comment>
    <comment ref="L7" authorId="0" shapeId="0" xr:uid="{00000000-0006-0000-0600-000012000000}">
      <text>
        <r>
          <rPr>
            <sz val="11"/>
            <rFont val="Calibri"/>
          </rPr>
          <t>vROps PostgreSQL DB contents must be protected from unauthorized and unintended information transfer by enforcement of a data-transfer policy.</t>
        </r>
      </text>
    </comment>
    <comment ref="M7" authorId="0" shapeId="0" xr:uid="{00000000-0006-0000-0600-000013000000}">
      <text>
        <r>
          <rPr>
            <sz val="11"/>
            <rFont val="Calibri"/>
          </rPr>
          <t>The vROps PostgreSQL DB must enforce access restrictions associated with changes to the configuration of the DBMS or database(s).</t>
        </r>
      </text>
    </comment>
    <comment ref="N7" authorId="0" shapeId="0" xr:uid="{00000000-0006-0000-0600-000009000000}">
      <text>
        <r>
          <rPr>
            <sz val="11"/>
            <rFont val="Calibri"/>
          </rPr>
          <t>tc Server ALL must only allow authenticated system administrators to have access to the keystore.</t>
        </r>
      </text>
    </comment>
    <comment ref="O7" authorId="0" shapeId="0" xr:uid="{00000000-0006-0000-0600-00000A000000}">
      <text>
        <r>
          <rPr>
            <sz val="11"/>
            <rFont val="Calibri"/>
          </rPr>
          <t>tc Server ALL must only allow authenticated system administrators to have access to the truststore.</t>
        </r>
      </text>
    </comment>
    <comment ref="P7" authorId="0" shapeId="0" xr:uid="{00000000-0006-0000-0600-00000B000000}">
      <text>
        <r>
          <rPr>
            <sz val="11"/>
            <rFont val="Calibri"/>
          </rPr>
          <t>tc Server UI accounts accessing the directory tree, the shell, or other operating system functions and utilities must be administrative accounts.</t>
        </r>
      </text>
    </comment>
    <comment ref="Q7" authorId="0" shapeId="0" xr:uid="{00000000-0006-0000-0600-00000C000000}">
      <text>
        <r>
          <rPr>
            <sz val="11"/>
            <rFont val="Calibri"/>
          </rPr>
          <t>tc Server CaSa accounts accessing the directory tree, the shell, or other operating system functions and utilities must be administrative accounts.</t>
        </r>
      </text>
    </comment>
    <comment ref="R7" authorId="0" shapeId="0" xr:uid="{00000000-0006-0000-0600-00000D000000}">
      <text>
        <r>
          <rPr>
            <sz val="11"/>
            <rFont val="Calibri"/>
          </rPr>
          <t>tc Server API accounts accessing the directory tree, the shell, or other operating system functions and utilities must be administrative accounts.</t>
        </r>
      </text>
    </comment>
    <comment ref="S7" authorId="0" shapeId="0" xr:uid="{00000000-0006-0000-0600-00000E000000}">
      <text>
        <r>
          <rPr>
            <sz val="11"/>
            <rFont val="Calibri"/>
          </rPr>
          <t>tc Server UI web server application directories must not be accessible to anonymous user.</t>
        </r>
      </text>
    </comment>
    <comment ref="T7" authorId="0" shapeId="0" xr:uid="{00000000-0006-0000-0600-00000F000000}">
      <text>
        <r>
          <rPr>
            <sz val="11"/>
            <rFont val="Calibri"/>
          </rPr>
          <t>tc Server CaSa web server application directories must not be accessible to anonymous user.</t>
        </r>
      </text>
    </comment>
    <comment ref="U7" authorId="0" shapeId="0" xr:uid="{00000000-0006-0000-0600-000010000000}">
      <text>
        <r>
          <rPr>
            <sz val="11"/>
            <rFont val="Calibri"/>
          </rPr>
          <t>tc Server API web server application directories must not be accessible to anonymous user.</t>
        </r>
      </text>
    </comment>
    <comment ref="J8" authorId="0" shapeId="0" xr:uid="{00000000-0006-0000-0600-000014000000}">
      <text>
        <r>
          <rPr>
            <sz val="11"/>
            <rFont val="Calibri"/>
          </rPr>
          <t>The SLES for vRealize must prevent direct logon into the root account.</t>
        </r>
      </text>
    </comment>
    <comment ref="J10" authorId="0" shapeId="0" xr:uid="{00000000-0006-0000-0600-000015000000}">
      <text>
        <r>
          <rPr>
            <sz val="11"/>
            <rFont val="Calibri"/>
          </rPr>
          <t>The SLES for vRealize must enforce the limit of three consecutive invalid logon attempts by a user during a 15-minute time period.</t>
        </r>
      </text>
    </comment>
    <comment ref="K10" authorId="0" shapeId="0" xr:uid="{00000000-0006-0000-0600-000016000000}">
      <text>
        <r>
          <rPr>
            <sz val="11"/>
            <rFont val="Calibri"/>
          </rPr>
          <t>The SLES for vRealize must automatically lock an account until the locked account is released by an administrator when three unsuccessful logon attempts in 15 minutes occur.</t>
        </r>
      </text>
    </comment>
    <comment ref="L10" authorId="0" shapeId="0" xr:uid="{00000000-0006-0000-0600-000017000000}">
      <text>
        <r>
          <rPr>
            <sz val="11"/>
            <rFont val="Calibri"/>
          </rPr>
          <t>The SLES for vRealize must enforce a delay of at least 4 seconds between logon prompts following a failed logon attempt.</t>
        </r>
      </text>
    </comment>
    <comment ref="M10" authorId="0" shapeId="0" xr:uid="{00000000-0006-0000-0600-000018000000}">
      <text>
        <r>
          <rPr>
            <sz val="11"/>
            <rFont val="Calibri"/>
          </rPr>
          <t>The SLES for vRealize must enforce a delay of at least 4 seconds between logon prompts following a failed logon attempt.</t>
        </r>
      </text>
    </comment>
    <comment ref="N10" authorId="0" shapeId="0" xr:uid="{00000000-0006-0000-0600-000019000000}">
      <text>
        <r>
          <rPr>
            <sz val="11"/>
            <rFont val="Calibri"/>
          </rPr>
          <t>The SLES for vRealize must enforce a delay of at least 4 seconds between logon prompts following a failed logon attempt.</t>
        </r>
      </text>
    </comment>
    <comment ref="J11" authorId="0" shapeId="0" xr:uid="{00000000-0006-0000-0600-00001A000000}">
      <text>
        <r>
          <rPr>
            <sz val="11"/>
            <rFont val="Calibri"/>
          </rPr>
          <t>The SLES for vRealize must display the Standard Mandatory DoD Notice and Consent Banner before granting access via SSH.</t>
        </r>
      </text>
    </comment>
    <comment ref="K11" authorId="0" shapeId="0" xr:uid="{00000000-0006-0000-0600-00001B000000}">
      <text>
        <r>
          <rPr>
            <sz val="11"/>
            <rFont val="Calibri"/>
          </rPr>
          <t>Any publically accessible connection to the SLES for vRealize must display the Standard Mandatory DoD Notice and Consent Banner before granting access to the system.</t>
        </r>
      </text>
    </comment>
    <comment ref="J12" authorId="0" shapeId="0" xr:uid="{00000000-0006-0000-0600-00001C000000}">
      <text>
        <r>
          <rPr>
            <sz val="11"/>
            <rFont val="Calibri"/>
          </rPr>
          <t>The vRealize Operations server session timeout must be configured.</t>
        </r>
      </text>
    </comment>
    <comment ref="K12" authorId="0" shapeId="0" xr:uid="{00000000-0006-0000-0600-000020000000}">
      <text>
        <r>
          <rPr>
            <sz val="11"/>
            <rFont val="Calibri"/>
          </rPr>
          <t>The SLES for vRealize must limit the number of concurrent sessions to ten for all accounts and/or account types.</t>
        </r>
      </text>
    </comment>
    <comment ref="L12" authorId="0" shapeId="0" xr:uid="{00000000-0006-0000-0600-000021000000}">
      <text>
        <r>
          <rPr>
            <sz val="11"/>
            <rFont val="Calibri"/>
          </rPr>
          <t>The SLES for vRealize must initiate a session lock after a 15-minute period of inactivity for all connection types.</t>
        </r>
      </text>
    </comment>
    <comment ref="M12" authorId="0" shapeId="0" xr:uid="{00000000-0006-0000-0600-000022000000}">
      <text>
        <r>
          <rPr>
            <sz val="11"/>
            <rFont val="Calibri"/>
          </rPr>
          <t>The SLES for vRealize must initiate a session lock after a 15-minute period of inactivity for an SSH connection.</t>
        </r>
      </text>
    </comment>
    <comment ref="N12" authorId="0" shapeId="0" xr:uid="{00000000-0006-0000-0600-000023000000}">
      <text>
        <r>
          <rPr>
            <sz val="11"/>
            <rFont val="Calibri"/>
          </rPr>
          <t>The SLES for vRealize must terminate all sessions and network connections related to nonlocal maintenance when nonlocal maintenance is completed.</t>
        </r>
      </text>
    </comment>
    <comment ref="O12" authorId="0" shapeId="0" xr:uid="{00000000-0006-0000-0600-000024000000}">
      <text>
        <r>
          <rPr>
            <sz val="11"/>
            <rFont val="Calibri"/>
          </rPr>
          <t>The SLES for vRealize must terminate all network connections associated with a communications session at the end of the session, or as follows: for in-band management sessions (privileged sessions), the session must be terminated after 10 minutes of inactivity; and for user sessions (non-privileged session), the session must be terminated after 15 minutes of inactivity, except to fulfill documented and validated mission requirements.</t>
        </r>
      </text>
    </comment>
    <comment ref="P12" authorId="0" shapeId="0" xr:uid="{00000000-0006-0000-0600-000025000000}">
      <text>
        <r>
          <rPr>
            <sz val="11"/>
            <rFont val="Calibri"/>
          </rPr>
          <t>tc Server UI must limit the amount of time that each TCP connection is kept alive.</t>
        </r>
      </text>
    </comment>
    <comment ref="Q12" authorId="0" shapeId="0" xr:uid="{00000000-0006-0000-0600-000026000000}">
      <text>
        <r>
          <rPr>
            <sz val="11"/>
            <rFont val="Calibri"/>
          </rPr>
          <t>tc Server CaSa must limit the amount of time that each TCP connection is kept alive.</t>
        </r>
      </text>
    </comment>
    <comment ref="R12" authorId="0" shapeId="0" xr:uid="{00000000-0006-0000-0600-000027000000}">
      <text>
        <r>
          <rPr>
            <sz val="11"/>
            <rFont val="Calibri"/>
          </rPr>
          <t>tc Server API must limit the amount of time that each TCP connection is kept alive.</t>
        </r>
      </text>
    </comment>
    <comment ref="S12" authorId="0" shapeId="0" xr:uid="{00000000-0006-0000-0600-000028000000}">
      <text>
        <r>
          <rPr>
            <sz val="11"/>
            <rFont val="Calibri"/>
          </rPr>
          <t>tc Server UI must limit the number of times that each TCP connection is kept alive.</t>
        </r>
      </text>
    </comment>
    <comment ref="T12" authorId="0" shapeId="0" xr:uid="{00000000-0006-0000-0600-000029000000}">
      <text>
        <r>
          <rPr>
            <sz val="11"/>
            <rFont val="Calibri"/>
          </rPr>
          <t>tc Server CaSa must limit the number of times that each TCP connection is kept alive.</t>
        </r>
      </text>
    </comment>
    <comment ref="U12" authorId="0" shapeId="0" xr:uid="{00000000-0006-0000-0600-00002A000000}">
      <text>
        <r>
          <rPr>
            <sz val="11"/>
            <rFont val="Calibri"/>
          </rPr>
          <t>tc Server API must limit the number of times that each TCP connection is kept alive.</t>
        </r>
      </text>
    </comment>
    <comment ref="V12" authorId="0" shapeId="0" xr:uid="{00000000-0006-0000-0600-00001D000000}">
      <text>
        <r>
          <rPr>
            <sz val="11"/>
            <rFont val="Calibri"/>
          </rPr>
          <t>tc Server UI must set an inactive timeout for sessions.</t>
        </r>
      </text>
    </comment>
    <comment ref="W12" authorId="0" shapeId="0" xr:uid="{00000000-0006-0000-0600-00001E000000}">
      <text>
        <r>
          <rPr>
            <sz val="11"/>
            <rFont val="Calibri"/>
          </rPr>
          <t>tc Server CaSa must set an inactive timeout for sessions.</t>
        </r>
      </text>
    </comment>
    <comment ref="X12" authorId="0" shapeId="0" xr:uid="{00000000-0006-0000-0600-00001F000000}">
      <text>
        <r>
          <rPr>
            <sz val="11"/>
            <rFont val="Calibri"/>
          </rPr>
          <t>tc Server API must set an inactive timeout for sessions.</t>
        </r>
      </text>
    </comment>
    <comment ref="J13" authorId="0" shapeId="0" xr:uid="{00000000-0006-0000-0600-00002B000000}">
      <text>
        <r>
          <rPr>
            <sz val="11"/>
            <rFont val="Calibri"/>
          </rPr>
          <t>The vRealize Operations server session timeout must be configured.</t>
        </r>
      </text>
    </comment>
    <comment ref="K13" authorId="0" shapeId="0" xr:uid="{00000000-0006-0000-0600-00002D000000}">
      <text>
        <r>
          <rPr>
            <sz val="11"/>
            <rFont val="Calibri"/>
          </rPr>
          <t>The SLES for vRealize must limit the number of concurrent sessions to ten for all accounts and/or account types.</t>
        </r>
      </text>
    </comment>
    <comment ref="L13" authorId="0" shapeId="0" xr:uid="{00000000-0006-0000-0600-00002E000000}">
      <text>
        <r>
          <rPr>
            <sz val="11"/>
            <rFont val="Calibri"/>
          </rPr>
          <t>The SLES for vRealize must initiate a session lock after a 15-minute period of inactivity for all connection types.</t>
        </r>
      </text>
    </comment>
    <comment ref="M13" authorId="0" shapeId="0" xr:uid="{00000000-0006-0000-0600-00002F000000}">
      <text>
        <r>
          <rPr>
            <sz val="11"/>
            <rFont val="Calibri"/>
          </rPr>
          <t>The SLES for vRealize must initiate a session lock after a 15-minute period of inactivity for an SSH connection.</t>
        </r>
      </text>
    </comment>
    <comment ref="N13" authorId="0" shapeId="0" xr:uid="{00000000-0006-0000-0600-000030000000}">
      <text>
        <r>
          <rPr>
            <sz val="11"/>
            <rFont val="Calibri"/>
          </rPr>
          <t>The SLES for vRealize must terminate all sessions and network connections related to nonlocal maintenance when nonlocal maintenance is completed.</t>
        </r>
      </text>
    </comment>
    <comment ref="O13" authorId="0" shapeId="0" xr:uid="{00000000-0006-0000-0600-000031000000}">
      <text>
        <r>
          <rPr>
            <sz val="11"/>
            <rFont val="Calibri"/>
          </rPr>
          <t>The SLES for vRealize must terminate all network connections associated with a communications session at the end of the session, or as follows: for in-band management sessions (privileged sessions), the session must be terminated after 10 minutes of inactivity; and for user sessions (non-privileged session), the session must be terminated after 15 minutes of inactivity, except to fulfill documented and validated mission requirements.</t>
        </r>
      </text>
    </comment>
    <comment ref="P13" authorId="0" shapeId="0" xr:uid="{00000000-0006-0000-0600-000032000000}">
      <text>
        <r>
          <rPr>
            <sz val="11"/>
            <rFont val="Calibri"/>
          </rPr>
          <t>The SLES for vRealize must automatically terminate a user session after inactivity time-outs have expired or at shutdown.</t>
        </r>
      </text>
    </comment>
    <comment ref="Q13" authorId="0" shapeId="0" xr:uid="{00000000-0006-0000-0600-000033000000}">
      <text>
        <r>
          <rPr>
            <sz val="11"/>
            <rFont val="Calibri"/>
          </rPr>
          <t>tc Server UI must limit the amount of time that each TCP connection is kept alive.</t>
        </r>
      </text>
    </comment>
    <comment ref="R13" authorId="0" shapeId="0" xr:uid="{00000000-0006-0000-0600-000034000000}">
      <text>
        <r>
          <rPr>
            <sz val="11"/>
            <rFont val="Calibri"/>
          </rPr>
          <t>tc Server CaSa must limit the amount of time that each TCP connection is kept alive.</t>
        </r>
      </text>
    </comment>
    <comment ref="S13" authorId="0" shapeId="0" xr:uid="{00000000-0006-0000-0600-000035000000}">
      <text>
        <r>
          <rPr>
            <sz val="11"/>
            <rFont val="Calibri"/>
          </rPr>
          <t>tc Server API must limit the amount of time that each TCP connection is kept alive.</t>
        </r>
      </text>
    </comment>
    <comment ref="T13" authorId="0" shapeId="0" xr:uid="{00000000-0006-0000-0600-000036000000}">
      <text>
        <r>
          <rPr>
            <sz val="11"/>
            <rFont val="Calibri"/>
          </rPr>
          <t>tc Server UI must limit the number of times that each TCP connection is kept alive.</t>
        </r>
      </text>
    </comment>
    <comment ref="U13" authorId="0" shapeId="0" xr:uid="{00000000-0006-0000-0600-000037000000}">
      <text>
        <r>
          <rPr>
            <sz val="11"/>
            <rFont val="Calibri"/>
          </rPr>
          <t>tc Server CaSa must limit the number of times that each TCP connection is kept alive.</t>
        </r>
      </text>
    </comment>
    <comment ref="V13" authorId="0" shapeId="0" xr:uid="{00000000-0006-0000-0600-000038000000}">
      <text>
        <r>
          <rPr>
            <sz val="11"/>
            <rFont val="Calibri"/>
          </rPr>
          <t>tc Server API must limit the number of times that each TCP connection is kept alive.</t>
        </r>
      </text>
    </comment>
    <comment ref="W13" authorId="0" shapeId="0" xr:uid="{00000000-0006-0000-0600-000039000000}">
      <text>
        <r>
          <rPr>
            <sz val="11"/>
            <rFont val="Calibri"/>
          </rPr>
          <t>tc Server UI must set an inactive timeout for sessions.</t>
        </r>
      </text>
    </comment>
    <comment ref="X13" authorId="0" shapeId="0" xr:uid="{00000000-0006-0000-0600-00003A000000}">
      <text>
        <r>
          <rPr>
            <sz val="11"/>
            <rFont val="Calibri"/>
          </rPr>
          <t>tc Server CaSa must set an inactive timeout for sessions.</t>
        </r>
      </text>
    </comment>
    <comment ref="Y13" authorId="0" shapeId="0" xr:uid="{00000000-0006-0000-0600-00002C000000}">
      <text>
        <r>
          <rPr>
            <sz val="11"/>
            <rFont val="Calibri"/>
          </rPr>
          <t>tc Server API must set an inactive timeout for sessions.</t>
        </r>
      </text>
    </comment>
    <comment ref="J23" authorId="0" shapeId="0" xr:uid="{00000000-0006-0000-0600-00003B000000}">
      <text>
        <r>
          <rPr>
            <sz val="11"/>
            <rFont val="Calibri"/>
          </rPr>
          <t>The vROps PostgreSQL DB must provide audit record generation for DoD-defined auditable events within all DBMS/database components.</t>
        </r>
      </text>
    </comment>
    <comment ref="K23" authorId="0" shapeId="0" xr:uid="{00000000-0006-0000-0600-000054000000}">
      <text>
        <r>
          <rPr>
            <sz val="11"/>
            <rFont val="Calibri"/>
          </rPr>
          <t>The vROps PostgreSQL DB must be able to generate audit records when privileges/permissions are retrieved.</t>
        </r>
      </text>
    </comment>
    <comment ref="L23" authorId="0" shapeId="0" xr:uid="{00000000-0006-0000-0600-000055000000}">
      <text>
        <r>
          <rPr>
            <sz val="11"/>
            <rFont val="Calibri"/>
          </rPr>
          <t>The vROps PostgreSQL DB must initiate session auditing upon startup.</t>
        </r>
      </text>
    </comment>
    <comment ref="M23" authorId="0" shapeId="0" xr:uid="{00000000-0006-0000-0600-000056000000}">
      <text>
        <r>
          <rPr>
            <sz val="11"/>
            <rFont val="Calibri"/>
          </rPr>
          <t>The vROps PostgreSQL DB must provide authorized users to capture, record, and log all content related to a user session.</t>
        </r>
      </text>
    </comment>
    <comment ref="N23" authorId="0" shapeId="0" xr:uid="{00000000-0006-0000-0600-000057000000}">
      <text>
        <r>
          <rPr>
            <sz val="11"/>
            <rFont val="Calibri"/>
          </rPr>
          <t>The vROps PostgreSQL DB must produce audit records containing sufficient information to establish what type of events occurred.</t>
        </r>
      </text>
    </comment>
    <comment ref="O23" authorId="0" shapeId="0" xr:uid="{00000000-0006-0000-0600-000058000000}">
      <text>
        <r>
          <rPr>
            <sz val="11"/>
            <rFont val="Calibri"/>
          </rPr>
          <t>The vROps PostgreSQL DB must produce audit records containing sufficient information to establish where the events occurred.</t>
        </r>
      </text>
    </comment>
    <comment ref="P23" authorId="0" shapeId="0" xr:uid="{00000000-0006-0000-0600-000059000000}">
      <text>
        <r>
          <rPr>
            <sz val="11"/>
            <rFont val="Calibri"/>
          </rPr>
          <t>The vROps PostgreSQL DB must produce audit records containing sufficient information to establish the sources (origins) of the events.</t>
        </r>
      </text>
    </comment>
    <comment ref="Q23" authorId="0" shapeId="0" xr:uid="{00000000-0006-0000-0600-00005A000000}">
      <text>
        <r>
          <rPr>
            <sz val="11"/>
            <rFont val="Calibri"/>
          </rPr>
          <t>The vROps PostgreSQL DB must produce audit records containing sufficient information to establish the outcome (success or failure) of the events.</t>
        </r>
      </text>
    </comment>
    <comment ref="R23" authorId="0" shapeId="0" xr:uid="{00000000-0006-0000-0600-00005B000000}">
      <text>
        <r>
          <rPr>
            <sz val="11"/>
            <rFont val="Calibri"/>
          </rPr>
          <t>The vROps PostgreSQL DB must produce audit records containing sufficient information to establish the identity of any user/subject or process associated with the event.</t>
        </r>
      </text>
    </comment>
    <comment ref="S23" authorId="0" shapeId="0" xr:uid="{00000000-0006-0000-0600-00005C000000}">
      <text>
        <r>
          <rPr>
            <sz val="11"/>
            <rFont val="Calibri"/>
          </rPr>
          <t>The vROps PostgreSQL DB must include additional, more detailed, organization-defined information in the audit records for audit events identified by type, location, or subject.</t>
        </r>
      </text>
    </comment>
    <comment ref="T23" authorId="0" shapeId="0" xr:uid="{00000000-0006-0000-0600-00005D000000}">
      <text>
        <r>
          <rPr>
            <sz val="11"/>
            <rFont val="Calibri"/>
          </rPr>
          <t>The vROps PostgreSQL DB must be configurable to overwrite audit log records, oldest first (First-In-First-Out - FIFO), in the event of unavailability of space for more audit log records.</t>
        </r>
      </text>
    </comment>
    <comment ref="U23" authorId="0" shapeId="0" xr:uid="{00000000-0006-0000-0600-00005E000000}">
      <text>
        <r>
          <rPr>
            <sz val="11"/>
            <rFont val="Calibri"/>
          </rPr>
          <t>The audit information produced by the vROps PostgreSQL DB must be protected from unauthorized deletion.</t>
        </r>
      </text>
    </comment>
    <comment ref="V23" authorId="0" shapeId="0" xr:uid="{00000000-0006-0000-0600-00005F000000}">
      <text>
        <r>
          <rPr>
            <sz val="11"/>
            <rFont val="Calibri"/>
          </rPr>
          <t>The vROps PostgreSQL DB must be configured to prohibit or restrict the use of organization-defined functions, ports, protocols, and/or services, as defined in the PPSM CAL and vulnerability assessments.</t>
        </r>
      </text>
    </comment>
    <comment ref="W23" authorId="0" shapeId="0" xr:uid="{00000000-0006-0000-0600-000060000000}">
      <text>
        <r>
          <rPr>
            <sz val="11"/>
            <rFont val="Calibri"/>
          </rPr>
          <t>If passwords are used for authentication, the vROps PostgreSQL DB must store only hashed, salted representations of passwords.</t>
        </r>
      </text>
    </comment>
    <comment ref="X23" authorId="0" shapeId="0" xr:uid="{00000000-0006-0000-0600-000061000000}">
      <text>
        <r>
          <rPr>
            <sz val="11"/>
            <rFont val="Calibri"/>
          </rPr>
          <t>The vROps PostgreSQL DB must utilize centralized management of the content captured in audit records generated by all components of the DBMS.</t>
        </r>
      </text>
    </comment>
    <comment ref="Y23" authorId="0" shapeId="0" xr:uid="{00000000-0006-0000-0600-000062000000}">
      <text>
        <r>
          <rPr>
            <sz val="11"/>
            <rFont val="Calibri"/>
          </rPr>
          <t>The vROps PostgreSQL DB must provide centralized configuration of the content to be captured in audit records generated by all components of the DBMS.</t>
        </r>
      </text>
    </comment>
    <comment ref="Z23" authorId="0" shapeId="0" xr:uid="{00000000-0006-0000-0600-00003C000000}">
      <text>
        <r>
          <rPr>
            <sz val="11"/>
            <rFont val="Calibri"/>
          </rPr>
          <t>The vROps PostgreSQL DB must be able to generate audit records when security objects are accessed.</t>
        </r>
      </text>
    </comment>
    <comment ref="AA23" authorId="0" shapeId="0" xr:uid="{00000000-0006-0000-0600-00003D000000}">
      <text>
        <r>
          <rPr>
            <sz val="11"/>
            <rFont val="Calibri"/>
          </rPr>
          <t>The vROps PostgreSQL DB must generate audit records when unsuccessful attempts to access security objects occur.</t>
        </r>
      </text>
    </comment>
    <comment ref="AB23" authorId="0" shapeId="0" xr:uid="{00000000-0006-0000-0600-00003E000000}">
      <text>
        <r>
          <rPr>
            <sz val="11"/>
            <rFont val="Calibri"/>
          </rPr>
          <t>The vROps PostgreSQL DB must generate audit records when privileges/permissions are added.</t>
        </r>
      </text>
    </comment>
    <comment ref="AC23" authorId="0" shapeId="0" xr:uid="{00000000-0006-0000-0600-00003F000000}">
      <text>
        <r>
          <rPr>
            <sz val="11"/>
            <rFont val="Calibri"/>
          </rPr>
          <t>The vROps PostgreSQL DB must generate audit records when unsuccessful attempts to add privileges/permissions occur.</t>
        </r>
      </text>
    </comment>
    <comment ref="AD23" authorId="0" shapeId="0" xr:uid="{00000000-0006-0000-0600-000040000000}">
      <text>
        <r>
          <rPr>
            <sz val="11"/>
            <rFont val="Calibri"/>
          </rPr>
          <t>The vROps PostgreSQL DB must generate audit records when privileges/permissions are modified.</t>
        </r>
      </text>
    </comment>
    <comment ref="AE23" authorId="0" shapeId="0" xr:uid="{00000000-0006-0000-0600-000041000000}">
      <text>
        <r>
          <rPr>
            <sz val="11"/>
            <rFont val="Calibri"/>
          </rPr>
          <t>The vROps PostgreSQL DB must generate audit records when unsuccessful attempts to modify privileges/permissions occur.</t>
        </r>
      </text>
    </comment>
    <comment ref="AF23" authorId="0" shapeId="0" xr:uid="{00000000-0006-0000-0600-000042000000}">
      <text>
        <r>
          <rPr>
            <sz val="11"/>
            <rFont val="Calibri"/>
          </rPr>
          <t>The vROps PostgreSQL DB must generate audit records when security objects are modified.</t>
        </r>
      </text>
    </comment>
    <comment ref="AG23" authorId="0" shapeId="0" xr:uid="{00000000-0006-0000-0600-000043000000}">
      <text>
        <r>
          <rPr>
            <sz val="11"/>
            <rFont val="Calibri"/>
          </rPr>
          <t>The vROps PostgreSQL DB must generate audit records when unsuccessful attempts to modify security objects occur.</t>
        </r>
      </text>
    </comment>
    <comment ref="AH23" authorId="0" shapeId="0" xr:uid="{00000000-0006-0000-0600-000044000000}">
      <text>
        <r>
          <rPr>
            <sz val="11"/>
            <rFont val="Calibri"/>
          </rPr>
          <t>The vROps PostgreSQL DB must generate audit records when privileges/permissions are deleted.</t>
        </r>
      </text>
    </comment>
    <comment ref="AI23" authorId="0" shapeId="0" xr:uid="{00000000-0006-0000-0600-000045000000}">
      <text>
        <r>
          <rPr>
            <sz val="11"/>
            <rFont val="Calibri"/>
          </rPr>
          <t>The vROps PostgreSQL DB must generate audit records when unsuccessful attempts to delete privileges/permissions occur.</t>
        </r>
      </text>
    </comment>
    <comment ref="AJ23" authorId="0" shapeId="0" xr:uid="{00000000-0006-0000-0600-000046000000}">
      <text>
        <r>
          <rPr>
            <sz val="11"/>
            <rFont val="Calibri"/>
          </rPr>
          <t>The vROps PostgreSQL DB must generate audit records when security objects are deleted.</t>
        </r>
      </text>
    </comment>
    <comment ref="AK23" authorId="0" shapeId="0" xr:uid="{00000000-0006-0000-0600-000047000000}">
      <text>
        <r>
          <rPr>
            <sz val="11"/>
            <rFont val="Calibri"/>
          </rPr>
          <t>The vROps PostgreSQL DB must generate audit records when unsuccessful attempts to delete security objects occur.</t>
        </r>
      </text>
    </comment>
    <comment ref="AL23" authorId="0" shapeId="0" xr:uid="{00000000-0006-0000-0600-000048000000}">
      <text>
        <r>
          <rPr>
            <sz val="11"/>
            <rFont val="Calibri"/>
          </rPr>
          <t>The vROps PostgreSQL DB must generate audit records when categories of information (e.g., classification levels/security levels) are deleted.</t>
        </r>
      </text>
    </comment>
    <comment ref="AM23" authorId="0" shapeId="0" xr:uid="{00000000-0006-0000-0600-000049000000}">
      <text>
        <r>
          <rPr>
            <sz val="11"/>
            <rFont val="Calibri"/>
          </rPr>
          <t>The vROps PostgreSQL DB must generate audit records when successful logons or connections occur.</t>
        </r>
      </text>
    </comment>
    <comment ref="AN23" authorId="0" shapeId="0" xr:uid="{00000000-0006-0000-0600-00004A000000}">
      <text>
        <r>
          <rPr>
            <sz val="11"/>
            <rFont val="Calibri"/>
          </rPr>
          <t>The vROps PostgreSQL DB must generate audit records when unsuccessful logons or connection attempts occur.</t>
        </r>
      </text>
    </comment>
    <comment ref="AO23" authorId="0" shapeId="0" xr:uid="{00000000-0006-0000-0600-00004B000000}">
      <text>
        <r>
          <rPr>
            <sz val="11"/>
            <rFont val="Calibri"/>
          </rPr>
          <t>The vROps PostgreSQL DB must generate audit records for all privileged activities or other system-level access.</t>
        </r>
      </text>
    </comment>
    <comment ref="AP23" authorId="0" shapeId="0" xr:uid="{00000000-0006-0000-0600-00004C000000}">
      <text>
        <r>
          <rPr>
            <sz val="11"/>
            <rFont val="Calibri"/>
          </rPr>
          <t>The vROps PostgreSQL DB must generate audit records when unsuccessful attempts to execute privileged activities or other system-level access occur.</t>
        </r>
      </text>
    </comment>
    <comment ref="AQ23" authorId="0" shapeId="0" xr:uid="{00000000-0006-0000-0600-00004D000000}">
      <text>
        <r>
          <rPr>
            <sz val="11"/>
            <rFont val="Calibri"/>
          </rPr>
          <t>The vROps PostgreSQL DB must generate audit records showing starting and ending time for user access to the database(s).</t>
        </r>
      </text>
    </comment>
    <comment ref="AR23" authorId="0" shapeId="0" xr:uid="{00000000-0006-0000-0600-00004E000000}">
      <text>
        <r>
          <rPr>
            <sz val="11"/>
            <rFont val="Calibri"/>
          </rPr>
          <t>The vROps PostgreSQL DB must generate audit records when concurrent logons/connections by the same user from different workstations occur.</t>
        </r>
      </text>
    </comment>
    <comment ref="AS23" authorId="0" shapeId="0" xr:uid="{00000000-0006-0000-0600-00004F000000}">
      <text>
        <r>
          <rPr>
            <sz val="11"/>
            <rFont val="Calibri"/>
          </rPr>
          <t>The vROps PostgreSQL DB must be able to generate audit records when successful accesses to objects occur.</t>
        </r>
      </text>
    </comment>
    <comment ref="AT23" authorId="0" shapeId="0" xr:uid="{00000000-0006-0000-0600-000050000000}">
      <text>
        <r>
          <rPr>
            <sz val="11"/>
            <rFont val="Calibri"/>
          </rPr>
          <t>The vROps PostgreSQL DB must generate audit records when unsuccessful accesses to objects occur.</t>
        </r>
      </text>
    </comment>
    <comment ref="AU23" authorId="0" shapeId="0" xr:uid="{00000000-0006-0000-0600-000051000000}">
      <text>
        <r>
          <rPr>
            <sz val="11"/>
            <rFont val="Calibri"/>
          </rPr>
          <t>The vROps PostgreSQL DB must generate audit records for all direct access to the database(s).</t>
        </r>
      </text>
    </comment>
    <comment ref="AV23" authorId="0" shapeId="0" xr:uid="{00000000-0006-0000-0600-000052000000}">
      <text>
        <r>
          <rPr>
            <sz val="11"/>
            <rFont val="Calibri"/>
          </rPr>
          <t>The vROps PostgreSQL DB must off-load audit data to a separate log management facility; this must be continuous and in near real time for systems with a network connection to the storage facility and weekly or more often for stand-alone systems.</t>
        </r>
      </text>
    </comment>
    <comment ref="AW23" authorId="0" shapeId="0" xr:uid="{00000000-0006-0000-0600-000053000000}">
      <text>
        <r>
          <rPr>
            <sz val="11"/>
            <rFont val="Calibri"/>
          </rPr>
          <t>The SLES for vRealize must audit all account creations.</t>
        </r>
      </text>
    </comment>
    <comment ref="J24" authorId="0" shapeId="0" xr:uid="{00000000-0006-0000-0600-000063000000}">
      <text>
        <r>
          <rPr>
            <sz val="11"/>
            <rFont val="Calibri"/>
          </rPr>
          <t>The vROps PostgreSQL DB must provide audit record generation for DoD-defined auditable events within all DBMS/database components.</t>
        </r>
      </text>
    </comment>
    <comment ref="K24" authorId="0" shapeId="0" xr:uid="{00000000-0006-0000-0600-000064000000}">
      <text>
        <r>
          <rPr>
            <sz val="11"/>
            <rFont val="Calibri"/>
          </rPr>
          <t>The vROps PostgreSQL DB must initiate session auditing upon startup.</t>
        </r>
      </text>
    </comment>
    <comment ref="L24" authorId="0" shapeId="0" xr:uid="{00000000-0006-0000-0600-000065000000}">
      <text>
        <r>
          <rPr>
            <sz val="11"/>
            <rFont val="Calibri"/>
          </rPr>
          <t>The vROps PostgreSQL DB must provide authorized users to capture, record, and log all content related to a user session.</t>
        </r>
      </text>
    </comment>
    <comment ref="M24" authorId="0" shapeId="0" xr:uid="{00000000-0006-0000-0600-000066000000}">
      <text>
        <r>
          <rPr>
            <sz val="11"/>
            <rFont val="Calibri"/>
          </rPr>
          <t>The vROps PostgreSQL DB must produce audit records containing sufficient information to establish what type of events occurred.</t>
        </r>
      </text>
    </comment>
    <comment ref="N24" authorId="0" shapeId="0" xr:uid="{00000000-0006-0000-0600-000067000000}">
      <text>
        <r>
          <rPr>
            <sz val="11"/>
            <rFont val="Calibri"/>
          </rPr>
          <t>The vROps PostgreSQL DB must produce audit records containing sufficient information to establish where the events occurred.</t>
        </r>
      </text>
    </comment>
    <comment ref="O24" authorId="0" shapeId="0" xr:uid="{00000000-0006-0000-0600-000068000000}">
      <text>
        <r>
          <rPr>
            <sz val="11"/>
            <rFont val="Calibri"/>
          </rPr>
          <t>The vROps PostgreSQL DB must produce audit records containing sufficient information to establish the sources (origins) of the events.</t>
        </r>
      </text>
    </comment>
    <comment ref="P24" authorId="0" shapeId="0" xr:uid="{00000000-0006-0000-0600-000069000000}">
      <text>
        <r>
          <rPr>
            <sz val="11"/>
            <rFont val="Calibri"/>
          </rPr>
          <t>The vROps PostgreSQL DB must produce audit records containing sufficient information to establish the outcome (success or failure) of the events.</t>
        </r>
      </text>
    </comment>
    <comment ref="Q24" authorId="0" shapeId="0" xr:uid="{00000000-0006-0000-0600-00006A000000}">
      <text>
        <r>
          <rPr>
            <sz val="11"/>
            <rFont val="Calibri"/>
          </rPr>
          <t>The vROps PostgreSQL DB must produce audit records containing sufficient information to establish the identity of any user/subject or process associated with the event.</t>
        </r>
      </text>
    </comment>
    <comment ref="R24" authorId="0" shapeId="0" xr:uid="{00000000-0006-0000-0600-00006B000000}">
      <text>
        <r>
          <rPr>
            <sz val="11"/>
            <rFont val="Calibri"/>
          </rPr>
          <t>The vROps PostgreSQL DB must include additional, more detailed, organization-defined information in the audit records for audit events identified by type, location, or subject.</t>
        </r>
      </text>
    </comment>
    <comment ref="S24" authorId="0" shapeId="0" xr:uid="{00000000-0006-0000-0600-00006C000000}">
      <text>
        <r>
          <rPr>
            <sz val="11"/>
            <rFont val="Calibri"/>
          </rPr>
          <t>The vROps PostgreSQL DB must be configurable to overwrite audit log records, oldest first (First-In-First-Out - FIFO), in the event of unavailability of space for more audit log records.</t>
        </r>
      </text>
    </comment>
    <comment ref="T24" authorId="0" shapeId="0" xr:uid="{00000000-0006-0000-0600-00006D000000}">
      <text>
        <r>
          <rPr>
            <sz val="11"/>
            <rFont val="Calibri"/>
          </rPr>
          <t>The audit information produced by the vROps PostgreSQL DB must be protected from unauthorized deletion.</t>
        </r>
      </text>
    </comment>
    <comment ref="U24" authorId="0" shapeId="0" xr:uid="{00000000-0006-0000-0600-00006E000000}">
      <text>
        <r>
          <rPr>
            <sz val="11"/>
            <rFont val="Calibri"/>
          </rPr>
          <t>The vROps PostgreSQL DB must be configured to prohibit or restrict the use of organization-defined functions, ports, protocols, and/or services, as defined in the PPSM CAL and vulnerability assessments.</t>
        </r>
      </text>
    </comment>
    <comment ref="V24" authorId="0" shapeId="0" xr:uid="{00000000-0006-0000-0600-00006F000000}">
      <text>
        <r>
          <rPr>
            <sz val="11"/>
            <rFont val="Calibri"/>
          </rPr>
          <t>If passwords are used for authentication, the vROps PostgreSQL DB must store only hashed, salted representations of passwords.</t>
        </r>
      </text>
    </comment>
    <comment ref="W24" authorId="0" shapeId="0" xr:uid="{00000000-0006-0000-0600-000070000000}">
      <text>
        <r>
          <rPr>
            <sz val="11"/>
            <rFont val="Calibri"/>
          </rPr>
          <t>The vROps PostgreSQL DB must be able to generate audit records when security objects are accessed.</t>
        </r>
      </text>
    </comment>
    <comment ref="X24" authorId="0" shapeId="0" xr:uid="{00000000-0006-0000-0600-000071000000}">
      <text>
        <r>
          <rPr>
            <sz val="11"/>
            <rFont val="Calibri"/>
          </rPr>
          <t>The vROps PostgreSQL DB must generate audit records when unsuccessful attempts to add privileges/permissions occur.</t>
        </r>
      </text>
    </comment>
    <comment ref="Y24" authorId="0" shapeId="0" xr:uid="{00000000-0006-0000-0600-000072000000}">
      <text>
        <r>
          <rPr>
            <sz val="11"/>
            <rFont val="Calibri"/>
          </rPr>
          <t>The vROps PostgreSQL DB must generate audit records when categories of information (e.g., classification levels/security levels) are deleted.</t>
        </r>
      </text>
    </comment>
    <comment ref="Z24" authorId="0" shapeId="0" xr:uid="{00000000-0006-0000-0600-000073000000}">
      <text>
        <r>
          <rPr>
            <sz val="11"/>
            <rFont val="Calibri"/>
          </rPr>
          <t>The vROps PostgreSQL DB must generate audit records when successful logons or connections occur.</t>
        </r>
      </text>
    </comment>
    <comment ref="AA24" authorId="0" shapeId="0" xr:uid="{00000000-0006-0000-0600-000074000000}">
      <text>
        <r>
          <rPr>
            <sz val="11"/>
            <rFont val="Calibri"/>
          </rPr>
          <t>The vROps PostgreSQL DB must generate audit records when unsuccessful logons or connection attempts occur.</t>
        </r>
      </text>
    </comment>
    <comment ref="AB24" authorId="0" shapeId="0" xr:uid="{00000000-0006-0000-0600-000075000000}">
      <text>
        <r>
          <rPr>
            <sz val="11"/>
            <rFont val="Calibri"/>
          </rPr>
          <t>The vROps PostgreSQL DB must generate audit records showing starting and ending time for user access to the database(s).</t>
        </r>
      </text>
    </comment>
    <comment ref="AC24" authorId="0" shapeId="0" xr:uid="{00000000-0006-0000-0600-000076000000}">
      <text>
        <r>
          <rPr>
            <sz val="11"/>
            <rFont val="Calibri"/>
          </rPr>
          <t>The vROps PostgreSQL DB must generate audit records when concurrent logons/connections by the same user from different workstations occur.</t>
        </r>
      </text>
    </comment>
    <comment ref="AD24" authorId="0" shapeId="0" xr:uid="{00000000-0006-0000-0600-000077000000}">
      <text>
        <r>
          <rPr>
            <sz val="11"/>
            <rFont val="Calibri"/>
          </rPr>
          <t>The vROps PostgreSQL DB must be able to generate audit records when successful accesses to objects occur.</t>
        </r>
      </text>
    </comment>
    <comment ref="AE24" authorId="0" shapeId="0" xr:uid="{00000000-0006-0000-0600-000078000000}">
      <text>
        <r>
          <rPr>
            <sz val="11"/>
            <rFont val="Calibri"/>
          </rPr>
          <t>The vROps PostgreSQL DB must generate audit records when unsuccessful accesses to objects occur.</t>
        </r>
      </text>
    </comment>
    <comment ref="AF24" authorId="0" shapeId="0" xr:uid="{00000000-0006-0000-0600-000079000000}">
      <text>
        <r>
          <rPr>
            <sz val="11"/>
            <rFont val="Calibri"/>
          </rPr>
          <t>The vROps PostgreSQL DB must generate audit records for all direct access to the database(s).</t>
        </r>
      </text>
    </comment>
    <comment ref="AG24" authorId="0" shapeId="0" xr:uid="{00000000-0006-0000-0600-00007A000000}">
      <text>
        <r>
          <rPr>
            <sz val="11"/>
            <rFont val="Calibri"/>
          </rPr>
          <t>tc Server UI must record user access in a format that enables monitoring of remote access.</t>
        </r>
      </text>
    </comment>
    <comment ref="AH24" authorId="0" shapeId="0" xr:uid="{00000000-0006-0000-0600-00007B000000}">
      <text>
        <r>
          <rPr>
            <sz val="11"/>
            <rFont val="Calibri"/>
          </rPr>
          <t>tc Server CaSa must record user access in a format that enables monitoring of remote access.</t>
        </r>
      </text>
    </comment>
    <comment ref="AI24" authorId="0" shapeId="0" xr:uid="{00000000-0006-0000-0600-00007C000000}">
      <text>
        <r>
          <rPr>
            <sz val="11"/>
            <rFont val="Calibri"/>
          </rPr>
          <t>tc Server API must record user access in a format that enables monitoring of remote access.</t>
        </r>
      </text>
    </comment>
    <comment ref="AJ24" authorId="0" shapeId="0" xr:uid="{00000000-0006-0000-0600-00007D000000}">
      <text>
        <r>
          <rPr>
            <sz val="11"/>
            <rFont val="Calibri"/>
          </rPr>
          <t>tc Server UI must generate log records for user access and authentication events.</t>
        </r>
      </text>
    </comment>
    <comment ref="AK24" authorId="0" shapeId="0" xr:uid="{00000000-0006-0000-0600-00007E000000}">
      <text>
        <r>
          <rPr>
            <sz val="11"/>
            <rFont val="Calibri"/>
          </rPr>
          <t>tc Server CaSa must generate log records for user access and authentication events.</t>
        </r>
      </text>
    </comment>
    <comment ref="AL24" authorId="0" shapeId="0" xr:uid="{00000000-0006-0000-0600-00007F000000}">
      <text>
        <r>
          <rPr>
            <sz val="11"/>
            <rFont val="Calibri"/>
          </rPr>
          <t>tc Server API must generate log records for user access and authentication events.</t>
        </r>
      </text>
    </comment>
    <comment ref="AM24" authorId="0" shapeId="0" xr:uid="{00000000-0006-0000-0600-000080000000}">
      <text>
        <r>
          <rPr>
            <sz val="11"/>
            <rFont val="Calibri"/>
          </rPr>
          <t>tc Server UI must capture, record, and log all content related to a user session.</t>
        </r>
      </text>
    </comment>
    <comment ref="AN24" authorId="0" shapeId="0" xr:uid="{00000000-0006-0000-0600-000081000000}">
      <text>
        <r>
          <rPr>
            <sz val="11"/>
            <rFont val="Calibri"/>
          </rPr>
          <t>tc Server CaSa must capture, record, and log all content related to a user session.</t>
        </r>
      </text>
    </comment>
    <comment ref="AO24" authorId="0" shapeId="0" xr:uid="{00000000-0006-0000-0600-000082000000}">
      <text>
        <r>
          <rPr>
            <sz val="11"/>
            <rFont val="Calibri"/>
          </rPr>
          <t>tc Server API must capture, record, and log all content related to a user session.</t>
        </r>
      </text>
    </comment>
    <comment ref="AP24" authorId="0" shapeId="0" xr:uid="{00000000-0006-0000-0600-000083000000}">
      <text>
        <r>
          <rPr>
            <sz val="11"/>
            <rFont val="Calibri"/>
          </rPr>
          <t>tc Server UI must produce log records containing sufficient information to establish what type of events occurred.</t>
        </r>
      </text>
    </comment>
    <comment ref="AQ24" authorId="0" shapeId="0" xr:uid="{00000000-0006-0000-0600-000084000000}">
      <text>
        <r>
          <rPr>
            <sz val="11"/>
            <rFont val="Calibri"/>
          </rPr>
          <t>tc Server CaSa must produce log records containing sufficient information to establish what type of events occurred.</t>
        </r>
      </text>
    </comment>
    <comment ref="AR24" authorId="0" shapeId="0" xr:uid="{00000000-0006-0000-0600-000085000000}">
      <text>
        <r>
          <rPr>
            <sz val="11"/>
            <rFont val="Calibri"/>
          </rPr>
          <t>tc Server API must produce log records containing sufficient information to establish what type of events occurred.</t>
        </r>
      </text>
    </comment>
    <comment ref="AS24" authorId="0" shapeId="0" xr:uid="{00000000-0006-0000-0600-000086000000}">
      <text>
        <r>
          <rPr>
            <sz val="11"/>
            <rFont val="Calibri"/>
          </rPr>
          <t>tc Server UI must produce log records containing sufficient information to establish when (date and time) events occurred.</t>
        </r>
      </text>
    </comment>
    <comment ref="AT24" authorId="0" shapeId="0" xr:uid="{00000000-0006-0000-0600-000087000000}">
      <text>
        <r>
          <rPr>
            <sz val="11"/>
            <rFont val="Calibri"/>
          </rPr>
          <t>tc Server CaSa must produce log records containing sufficient information to establish when (date and time) events occurred.</t>
        </r>
      </text>
    </comment>
    <comment ref="AU24" authorId="0" shapeId="0" xr:uid="{00000000-0006-0000-0600-000088000000}">
      <text>
        <r>
          <rPr>
            <sz val="11"/>
            <rFont val="Calibri"/>
          </rPr>
          <t>tc Server API must produce log records containing sufficient information to establish when (date and time) events occurred.</t>
        </r>
      </text>
    </comment>
    <comment ref="AV24" authorId="0" shapeId="0" xr:uid="{00000000-0006-0000-0600-000089000000}">
      <text>
        <r>
          <rPr>
            <sz val="11"/>
            <rFont val="Calibri"/>
          </rPr>
          <t>tc Server UI must produce log records containing sufficient information to establish where within the web server the events occurred.</t>
        </r>
      </text>
    </comment>
    <comment ref="AW24" authorId="0" shapeId="0" xr:uid="{00000000-0006-0000-0600-00008A000000}">
      <text>
        <r>
          <rPr>
            <sz val="11"/>
            <rFont val="Calibri"/>
          </rPr>
          <t>tc Server CaSa must produce log records containing sufficient information to establish where within the web server the events occurred.</t>
        </r>
      </text>
    </comment>
    <comment ref="J26" authorId="0" shapeId="0" xr:uid="{00000000-0006-0000-0600-00008B000000}">
      <text>
        <r>
          <rPr>
            <sz val="11"/>
            <rFont val="Calibri"/>
          </rPr>
          <t>The vROps PostgreSQL DB must provide a warning to appropriate support staff when allocated audit record storage volume reaches 75% of maximum audit record storage capacity.</t>
        </r>
      </text>
    </comment>
    <comment ref="K26" authorId="0" shapeId="0" xr:uid="{00000000-0006-0000-0600-00008C000000}">
      <text>
        <r>
          <rPr>
            <sz val="11"/>
            <rFont val="Calibri"/>
          </rPr>
          <t>The vROps PostgreSQL DB must provide an immediate real-time alert to appropriate support staff of all audit failure events requiring real-time alerts.</t>
        </r>
      </text>
    </comment>
    <comment ref="L26" authorId="0" shapeId="0" xr:uid="{00000000-0006-0000-0600-00008D000000}">
      <text>
        <r>
          <rPr>
            <sz val="11"/>
            <rFont val="Calibri"/>
          </rPr>
          <t>The SLES for vRealize must alert the ISSO and SA (at a minimum) in the event of an audit processing failure.</t>
        </r>
      </text>
    </comment>
    <comment ref="M26" authorId="0" shapeId="0" xr:uid="{00000000-0006-0000-0600-00008E000000}">
      <text>
        <r>
          <rPr>
            <sz val="11"/>
            <rFont val="Calibri"/>
          </rPr>
          <t>The SLES for vRealize must shut down by default upon audit failure (unless availability is an overriding concern).</t>
        </r>
      </text>
    </comment>
    <comment ref="N26" authorId="0" shapeId="0" xr:uid="{00000000-0006-0000-0600-00008F000000}">
      <text>
        <r>
          <rPr>
            <sz val="11"/>
            <rFont val="Calibri"/>
          </rPr>
          <t>The SLES for vRealize must notify System Administrators and Information Systems Security Officer when accounts are created.</t>
        </r>
      </text>
    </comment>
    <comment ref="O26" authorId="0" shapeId="0" xr:uid="{00000000-0006-0000-0600-000090000000}">
      <text>
        <r>
          <rPr>
            <sz val="11"/>
            <rFont val="Calibri"/>
          </rPr>
          <t>The SLES for vRealize must notify System Administrators and Information System Security Officers when accounts are modified.</t>
        </r>
      </text>
    </comment>
    <comment ref="P26" authorId="0" shapeId="0" xr:uid="{00000000-0006-0000-0600-000091000000}">
      <text>
        <r>
          <rPr>
            <sz val="11"/>
            <rFont val="Calibri"/>
          </rPr>
          <t>The SLES for vRealize must notify System Administrators and Information System Security Officers when accounts are disabled.</t>
        </r>
      </text>
    </comment>
    <comment ref="Q26" authorId="0" shapeId="0" xr:uid="{00000000-0006-0000-0600-000092000000}">
      <text>
        <r>
          <rPr>
            <sz val="11"/>
            <rFont val="Calibri"/>
          </rPr>
          <t>The SLES for vRealize must notify System Administrators and Information System Security Officers when accounts are removed.</t>
        </r>
      </text>
    </comment>
    <comment ref="R26" authorId="0" shapeId="0" xr:uid="{00000000-0006-0000-0600-000093000000}">
      <text>
        <r>
          <rPr>
            <sz val="11"/>
            <rFont val="Calibri"/>
          </rPr>
          <t>The SLES for vRealize must notify System Administrators and Information System Security Officers when accounts are created, or enabled when previously disabled.</t>
        </r>
      </text>
    </comment>
    <comment ref="S26" authorId="0" shapeId="0" xr:uid="{00000000-0006-0000-0600-000094000000}">
      <text>
        <r>
          <rPr>
            <sz val="11"/>
            <rFont val="Calibri"/>
          </rPr>
          <t>The SLES for vRealize must immediately notify the SA and ISSO (at a minimum) when allocated audit record storage volume reaches 75% of the repository maximum audit record storage capacity.</t>
        </r>
      </text>
    </comment>
    <comment ref="T26" authorId="0" shapeId="0" xr:uid="{00000000-0006-0000-0600-000095000000}">
      <text>
        <r>
          <rPr>
            <sz val="11"/>
            <rFont val="Calibri"/>
          </rPr>
          <t>The SLES for vRealize must provide an immediate real-time alert to the SA and ISSO, at a minimum, of all audit failure events requiring real-time alerts.</t>
        </r>
      </text>
    </comment>
    <comment ref="U26" authorId="0" shapeId="0" xr:uid="{00000000-0006-0000-0600-000096000000}">
      <text>
        <r>
          <rPr>
            <sz val="11"/>
            <rFont val="Calibri"/>
          </rPr>
          <t>The SLES for vRealize must notify designated personnel if baseline configurations are changed in an unauthorized manner.</t>
        </r>
      </text>
    </comment>
    <comment ref="V26" authorId="0" shapeId="0" xr:uid="{00000000-0006-0000-0600-000097000000}">
      <text>
        <r>
          <rPr>
            <sz val="11"/>
            <rFont val="Calibri"/>
          </rPr>
          <t>The SLES for vRealize must shut down the information system, restart the information system, and/or notify the system administrator when anomalies in the operation of any security functions are discovered.</t>
        </r>
      </text>
    </comment>
    <comment ref="W26" authorId="0" shapeId="0" xr:uid="{00000000-0006-0000-0600-000098000000}">
      <text>
        <r>
          <rPr>
            <sz val="11"/>
            <rFont val="Calibri"/>
          </rPr>
          <t>tc Server ALL must use a logging mechanism that is configured to alert the ISSO and SA in the event of a processing failure.</t>
        </r>
      </text>
    </comment>
    <comment ref="X26" authorId="0" shapeId="0" xr:uid="{00000000-0006-0000-0600-000099000000}">
      <text>
        <r>
          <rPr>
            <sz val="11"/>
            <rFont val="Calibri"/>
          </rPr>
          <t>tc Server ALL must use a logging mechanism that is configured to provide a warning to the ISSO and SA when allocated record storage volume reaches 75% of maximum log record storage capacity.</t>
        </r>
      </text>
    </comment>
    <comment ref="J29" authorId="0" shapeId="0" xr:uid="{00000000-0006-0000-0600-00009A000000}">
      <text>
        <r>
          <rPr>
            <sz val="11"/>
            <rFont val="Calibri"/>
          </rPr>
          <t>The vROps PostgreSQL DB must produce audit records containing time stamps to establish when the events occurred.</t>
        </r>
      </text>
    </comment>
    <comment ref="K29" authorId="0" shapeId="0" xr:uid="{00000000-0006-0000-0600-00009B000000}">
      <text>
        <r>
          <rPr>
            <sz val="11"/>
            <rFont val="Calibri"/>
          </rPr>
          <t>The vROps PostgreSQL DB must record time stamps, in audit records and application data that can be mapped to Coordinated Universal Time (UTC, formerly GMT).</t>
        </r>
      </text>
    </comment>
    <comment ref="L29" authorId="0" shapeId="0" xr:uid="{00000000-0006-0000-0600-00009C000000}">
      <text>
        <r>
          <rPr>
            <sz val="11"/>
            <rFont val="Calibri"/>
          </rPr>
          <t>The vROps PostgreSQL DB must generate time stamps, for audit records and application data, with a minimum granularity of one second.</t>
        </r>
      </text>
    </comment>
    <comment ref="M29" authorId="0" shapeId="0" xr:uid="{00000000-0006-0000-0600-00009D000000}">
      <text>
        <r>
          <rPr>
            <sz val="11"/>
            <rFont val="Calibri"/>
          </rPr>
          <t>The SLES for vRealize must, for networked systems, compare internal information system clocks at least every 24 hours with a server which is synchronized to one of the redundant United States Naval Observatory (USNO) time servers, or a time server designated for the appropriate DoD network (NIPRNet/SIPRNet), and/or the Global Positioning System (GPS).</t>
        </r>
      </text>
    </comment>
    <comment ref="N29" authorId="0" shapeId="0" xr:uid="{00000000-0006-0000-0600-00009E000000}">
      <text>
        <r>
          <rPr>
            <sz val="11"/>
            <rFont val="Calibri"/>
          </rPr>
          <t>The SLES for vRealize must synchronize internal information system clocks to the authoritative time source when the time difference is greater than one second.</t>
        </r>
      </text>
    </comment>
    <comment ref="O29" authorId="0" shapeId="0" xr:uid="{00000000-0006-0000-0600-00009F000000}">
      <text>
        <r>
          <rPr>
            <sz val="11"/>
            <rFont val="Calibri"/>
          </rPr>
          <t>tc Server UI must generate log records that can be mapped to Coordinated Universal Time (UTC) or Greenwich Mean Time (GMT).</t>
        </r>
      </text>
    </comment>
    <comment ref="P29" authorId="0" shapeId="0" xr:uid="{00000000-0006-0000-0600-0000A0000000}">
      <text>
        <r>
          <rPr>
            <sz val="11"/>
            <rFont val="Calibri"/>
          </rPr>
          <t>tc Server CaSa must generate log records that can be mapped to Coordinated Universal Time (UTC) or Greenwich Mean Time (GMT).</t>
        </r>
      </text>
    </comment>
    <comment ref="Q29" authorId="0" shapeId="0" xr:uid="{00000000-0006-0000-0600-0000A1000000}">
      <text>
        <r>
          <rPr>
            <sz val="11"/>
            <rFont val="Calibri"/>
          </rPr>
          <t>tc Server API must generate log records that can be mapped to Coordinated Universal Time (UTC) or Greenwich Mean Time (GMT).</t>
        </r>
      </text>
    </comment>
    <comment ref="R29" authorId="0" shapeId="0" xr:uid="{00000000-0006-0000-0600-0000A2000000}">
      <text>
        <r>
          <rPr>
            <sz val="11"/>
            <rFont val="Calibri"/>
          </rPr>
          <t>tc Server UI must record time stamps for log records to a minimum granularity of one second.</t>
        </r>
      </text>
    </comment>
    <comment ref="S29" authorId="0" shapeId="0" xr:uid="{00000000-0006-0000-0600-0000A3000000}">
      <text>
        <r>
          <rPr>
            <sz val="11"/>
            <rFont val="Calibri"/>
          </rPr>
          <t>tc Server CaSa must record time stamps for log records to a minimum granularity of one second.</t>
        </r>
      </text>
    </comment>
    <comment ref="T29" authorId="0" shapeId="0" xr:uid="{00000000-0006-0000-0600-0000A4000000}">
      <text>
        <r>
          <rPr>
            <sz val="11"/>
            <rFont val="Calibri"/>
          </rPr>
          <t>tc Server API must record time stamps for log records to a minimum granularity of one second.</t>
        </r>
      </text>
    </comment>
    <comment ref="J30" authorId="0" shapeId="0" xr:uid="{00000000-0006-0000-0600-0000A5000000}">
      <text>
        <r>
          <rPr>
            <sz val="11"/>
            <rFont val="Calibri"/>
          </rPr>
          <t>The vROps PostgreSQL DB must allow only the ISSM (or individuals or roles appointed by the ISSM) to select which auditable events are to be audited.</t>
        </r>
      </text>
    </comment>
    <comment ref="K30" authorId="0" shapeId="0" xr:uid="{00000000-0006-0000-0600-0000A6000000}">
      <text>
        <r>
          <rPr>
            <sz val="11"/>
            <rFont val="Calibri"/>
          </rPr>
          <t>The audit information produced by the vROps PostgreSQL DB must be protected from unauthorized read access.</t>
        </r>
      </text>
    </comment>
    <comment ref="L30" authorId="0" shapeId="0" xr:uid="{00000000-0006-0000-0600-0000A7000000}">
      <text>
        <r>
          <rPr>
            <sz val="11"/>
            <rFont val="Calibri"/>
          </rPr>
          <t>The audit information produced by the vROps PostgreSQL DB must be protected from unauthorized modification.</t>
        </r>
      </text>
    </comment>
    <comment ref="M30" authorId="0" shapeId="0" xr:uid="{00000000-0006-0000-0600-0000A8000000}">
      <text>
        <r>
          <rPr>
            <sz val="11"/>
            <rFont val="Calibri"/>
          </rPr>
          <t>The vROps PostgreSQL DB must protect its audit features from unauthorized access.</t>
        </r>
      </text>
    </comment>
    <comment ref="N30" authorId="0" shapeId="0" xr:uid="{00000000-0006-0000-0600-0000A9000000}">
      <text>
        <r>
          <rPr>
            <sz val="11"/>
            <rFont val="Calibri"/>
          </rPr>
          <t>The vROps PostgreSQL DB must protect its audit configuration from unauthorized modification.</t>
        </r>
      </text>
    </comment>
    <comment ref="O30" authorId="0" shapeId="0" xr:uid="{00000000-0006-0000-0600-0000AA000000}">
      <text>
        <r>
          <rPr>
            <sz val="11"/>
            <rFont val="Calibri"/>
          </rPr>
          <t>The vROps PostgreSQL DB must protect its audit features from unauthorized removal.</t>
        </r>
      </text>
    </comment>
    <comment ref="P30" authorId="0" shapeId="0" xr:uid="{00000000-0006-0000-0600-0000AB000000}">
      <text>
        <r>
          <rPr>
            <sz val="11"/>
            <rFont val="Calibri"/>
          </rPr>
          <t>The SLES for vRealize must protect audit information from unauthorized read access - ownership.</t>
        </r>
      </text>
    </comment>
    <comment ref="Q30" authorId="0" shapeId="0" xr:uid="{00000000-0006-0000-0600-0000AC000000}">
      <text>
        <r>
          <rPr>
            <sz val="11"/>
            <rFont val="Calibri"/>
          </rPr>
          <t>The SLES for vRealize must protect audit information from unauthorized read access - group ownership.</t>
        </r>
      </text>
    </comment>
    <comment ref="R30" authorId="0" shapeId="0" xr:uid="{00000000-0006-0000-0600-0000AD000000}">
      <text>
        <r>
          <rPr>
            <sz val="11"/>
            <rFont val="Calibri"/>
          </rPr>
          <t>The SLES for vRealize must protect audit information from unauthorized modification.</t>
        </r>
      </text>
    </comment>
    <comment ref="S30" authorId="0" shapeId="0" xr:uid="{00000000-0006-0000-0600-0000AE000000}">
      <text>
        <r>
          <rPr>
            <sz val="11"/>
            <rFont val="Calibri"/>
          </rPr>
          <t>The SLES for vRealize must protect audit information from unauthorized deletion.</t>
        </r>
      </text>
    </comment>
    <comment ref="T30" authorId="0" shapeId="0" xr:uid="{00000000-0006-0000-0600-0000AF000000}">
      <text>
        <r>
          <rPr>
            <sz val="11"/>
            <rFont val="Calibri"/>
          </rPr>
          <t>The SLES for vRealize must protect audit information from unauthorized deletion - log directories.</t>
        </r>
      </text>
    </comment>
    <comment ref="U30" authorId="0" shapeId="0" xr:uid="{00000000-0006-0000-0600-0000B0000000}">
      <text>
        <r>
          <rPr>
            <sz val="11"/>
            <rFont val="Calibri"/>
          </rPr>
          <t>The SLES for vRealize must allow only the ISSM (or individuals or roles appointed by the ISSM) to select which auditable events are to be audited - Permissions.</t>
        </r>
      </text>
    </comment>
    <comment ref="V30" authorId="0" shapeId="0" xr:uid="{00000000-0006-0000-0600-0000B1000000}">
      <text>
        <r>
          <rPr>
            <sz val="11"/>
            <rFont val="Calibri"/>
          </rPr>
          <t>The SLES for vRealize must allow only the ISSM (or individuals or roles appointed by the ISSM) to select which auditable events are to be audited - ownership.</t>
        </r>
      </text>
    </comment>
    <comment ref="W30" authorId="0" shapeId="0" xr:uid="{00000000-0006-0000-0600-0000B2000000}">
      <text>
        <r>
          <rPr>
            <sz val="11"/>
            <rFont val="Calibri"/>
          </rPr>
          <t>The SLES for vRealize must allow only the ISSM (or individuals or roles appointed by the ISSM) to select which auditable events are to be audited - group ownership.</t>
        </r>
      </text>
    </comment>
    <comment ref="X30" authorId="0" shapeId="0" xr:uid="{00000000-0006-0000-0600-0000B3000000}">
      <text>
        <r>
          <rPr>
            <sz val="11"/>
            <rFont val="Calibri"/>
          </rPr>
          <t>The /var/log directory must be group-owned by root.</t>
        </r>
      </text>
    </comment>
    <comment ref="Y30" authorId="0" shapeId="0" xr:uid="{00000000-0006-0000-0600-0000B4000000}">
      <text>
        <r>
          <rPr>
            <sz val="11"/>
            <rFont val="Calibri"/>
          </rPr>
          <t>The /var/log directory must be owned by root.</t>
        </r>
      </text>
    </comment>
    <comment ref="Z30" authorId="0" shapeId="0" xr:uid="{00000000-0006-0000-0600-0000B5000000}">
      <text>
        <r>
          <rPr>
            <sz val="11"/>
            <rFont val="Calibri"/>
          </rPr>
          <t>The /var/log directory must have mode 0750 or less permissive.</t>
        </r>
      </text>
    </comment>
    <comment ref="AA30" authorId="0" shapeId="0" xr:uid="{00000000-0006-0000-0600-0000B6000000}">
      <text>
        <r>
          <rPr>
            <sz val="11"/>
            <rFont val="Calibri"/>
          </rPr>
          <t>The /var/log/messages file must be group-owned by root.</t>
        </r>
      </text>
    </comment>
    <comment ref="AB30" authorId="0" shapeId="0" xr:uid="{00000000-0006-0000-0600-0000B7000000}">
      <text>
        <r>
          <rPr>
            <sz val="11"/>
            <rFont val="Calibri"/>
          </rPr>
          <t>The /var/log/messages file must be owned by root.</t>
        </r>
      </text>
    </comment>
    <comment ref="AC30" authorId="0" shapeId="0" xr:uid="{00000000-0006-0000-0600-0000B8000000}">
      <text>
        <r>
          <rPr>
            <sz val="11"/>
            <rFont val="Calibri"/>
          </rPr>
          <t>The /var/log/messages file must have mode 0640 or less permissive.</t>
        </r>
      </text>
    </comment>
    <comment ref="AD30" authorId="0" shapeId="0" xr:uid="{00000000-0006-0000-0600-0000B9000000}">
      <text>
        <r>
          <rPr>
            <sz val="11"/>
            <rFont val="Calibri"/>
          </rPr>
          <t>The SLES for vRealize must protect audit tools from unauthorized access.</t>
        </r>
      </text>
    </comment>
    <comment ref="AE30" authorId="0" shapeId="0" xr:uid="{00000000-0006-0000-0600-0000BA000000}">
      <text>
        <r>
          <rPr>
            <sz val="11"/>
            <rFont val="Calibri"/>
          </rPr>
          <t>The SLES for vRealize must protect audit tools from unauthorized modification.</t>
        </r>
      </text>
    </comment>
    <comment ref="AF30" authorId="0" shapeId="0" xr:uid="{00000000-0006-0000-0600-0000BB000000}">
      <text>
        <r>
          <rPr>
            <sz val="11"/>
            <rFont val="Calibri"/>
          </rPr>
          <t>The SLES for vRealize must protect audit tools from unauthorized deletion.</t>
        </r>
      </text>
    </comment>
    <comment ref="AG30" authorId="0" shapeId="0" xr:uid="{00000000-0006-0000-0600-0000BC000000}">
      <text>
        <r>
          <rPr>
            <sz val="11"/>
            <rFont val="Calibri"/>
          </rPr>
          <t>tc Server UI log files must only be accessible by privileged users.</t>
        </r>
      </text>
    </comment>
    <comment ref="AH30" authorId="0" shapeId="0" xr:uid="{00000000-0006-0000-0600-0000BD000000}">
      <text>
        <r>
          <rPr>
            <sz val="11"/>
            <rFont val="Calibri"/>
          </rPr>
          <t>tc Server CaSa log files must only be accessible by privileged users.</t>
        </r>
      </text>
    </comment>
    <comment ref="AI30" authorId="0" shapeId="0" xr:uid="{00000000-0006-0000-0600-0000BE000000}">
      <text>
        <r>
          <rPr>
            <sz val="11"/>
            <rFont val="Calibri"/>
          </rPr>
          <t>tc Server API log files must only be accessible by privileged users.</t>
        </r>
      </text>
    </comment>
    <comment ref="AJ30" authorId="0" shapeId="0" xr:uid="{00000000-0006-0000-0600-0000BF000000}">
      <text>
        <r>
          <rPr>
            <sz val="11"/>
            <rFont val="Calibri"/>
          </rPr>
          <t>tc Server UI log files must be protected from unauthorized modification.</t>
        </r>
      </text>
    </comment>
    <comment ref="AK30" authorId="0" shapeId="0" xr:uid="{00000000-0006-0000-0600-0000C0000000}">
      <text>
        <r>
          <rPr>
            <sz val="11"/>
            <rFont val="Calibri"/>
          </rPr>
          <t>tc Server CaSa log files must be protected from unauthorized modification.</t>
        </r>
      </text>
    </comment>
    <comment ref="AL30" authorId="0" shapeId="0" xr:uid="{00000000-0006-0000-0600-0000C1000000}">
      <text>
        <r>
          <rPr>
            <sz val="11"/>
            <rFont val="Calibri"/>
          </rPr>
          <t>tc Server API log files must be protected from unauthorized modification.</t>
        </r>
      </text>
    </comment>
    <comment ref="AM30" authorId="0" shapeId="0" xr:uid="{00000000-0006-0000-0600-0000C2000000}">
      <text>
        <r>
          <rPr>
            <sz val="11"/>
            <rFont val="Calibri"/>
          </rPr>
          <t>tc Server UI log files must be protected from unauthorized deletion.</t>
        </r>
      </text>
    </comment>
    <comment ref="AN30" authorId="0" shapeId="0" xr:uid="{00000000-0006-0000-0600-0000C3000000}">
      <text>
        <r>
          <rPr>
            <sz val="11"/>
            <rFont val="Calibri"/>
          </rPr>
          <t>tc Server CaSa log files must be protected from unauthorized deletion.</t>
        </r>
      </text>
    </comment>
    <comment ref="AO30" authorId="0" shapeId="0" xr:uid="{00000000-0006-0000-0600-0000C4000000}">
      <text>
        <r>
          <rPr>
            <sz val="11"/>
            <rFont val="Calibri"/>
          </rPr>
          <t>tc Server API log files must be protected from unauthorized deletion.</t>
        </r>
      </text>
    </comment>
    <comment ref="J33" authorId="0" shapeId="0" xr:uid="{00000000-0006-0000-0600-0000C5000000}">
      <text>
        <r>
          <rPr>
            <sz val="11"/>
            <rFont val="Calibri"/>
          </rPr>
          <t>The vRealize Operations server must be configured to perform complete application deployments.</t>
        </r>
      </text>
    </comment>
    <comment ref="K33" authorId="0" shapeId="0" xr:uid="{00000000-0006-0000-0600-0000C6000000}">
      <text>
        <r>
          <rPr>
            <sz val="11"/>
            <rFont val="Calibri"/>
          </rPr>
          <t>The vRealize Operations appliance must be configured in accordance with the security configuration settings based on DoD security configuration or implementation guidance, including STIGs, NSA configuration guides, CTOs, and DTMs.</t>
        </r>
      </text>
    </comment>
    <comment ref="L33" authorId="0" shapeId="0" xr:uid="{00000000-0006-0000-0600-0000C7000000}">
      <text>
        <r>
          <rPr>
            <sz val="11"/>
            <rFont val="Calibri"/>
          </rPr>
          <t>In the event of a system failure, the vROps PostgreSQL DB must preserve any information necessary to determine cause of failure and any information necessary to return to operations with least disruption to mission processes.</t>
        </r>
      </text>
    </comment>
    <comment ref="M33" authorId="0" shapeId="0" xr:uid="{00000000-0006-0000-0600-0000C8000000}">
      <text>
        <r>
          <rPr>
            <sz val="11"/>
            <rFont val="Calibri"/>
          </rPr>
          <t>The vROps PostgreSQL DB must isolate security functions from non-security functions.</t>
        </r>
      </text>
    </comment>
    <comment ref="N33" authorId="0" shapeId="0" xr:uid="{00000000-0006-0000-0600-0000C9000000}">
      <text>
        <r>
          <rPr>
            <sz val="11"/>
            <rFont val="Calibri"/>
          </rPr>
          <t>The vROps PostgreSQL DB must reveal detailed error messages only to the ISSO, ISSM, SA and DBA.</t>
        </r>
      </text>
    </comment>
    <comment ref="O33" authorId="0" shapeId="0" xr:uid="{00000000-0006-0000-0600-0000CA000000}">
      <text>
        <r>
          <rPr>
            <sz val="11"/>
            <rFont val="Calibri"/>
          </rPr>
          <t>When invalid inputs are received, the vROps PostgreSQL DB must behave in a predictable and documented manner that reflects organizational and system objectives.</t>
        </r>
      </text>
    </comment>
    <comment ref="P33" authorId="0" shapeId="0" xr:uid="{00000000-0006-0000-0600-0000CB000000}">
      <text>
        <r>
          <rPr>
            <sz val="11"/>
            <rFont val="Calibri"/>
          </rPr>
          <t>The vROps PostgreSQL DB must be configured in accordance with the security configuration settings based on DoD security configuration and implementation guidance, including STIGs, NSA configuration guides, CTOs, DTMs, and IAVMs.</t>
        </r>
      </text>
    </comment>
    <comment ref="Q33" authorId="0" shapeId="0" xr:uid="{00000000-0006-0000-0600-0000CC000000}">
      <text>
        <r>
          <rPr>
            <sz val="11"/>
            <rFont val="Calibri"/>
          </rPr>
          <t>Global settings defined in common- {account,auth,password,session} must be applied in the pam.d definition files.</t>
        </r>
      </text>
    </comment>
    <comment ref="R33" authorId="0" shapeId="0" xr:uid="{00000000-0006-0000-0600-0000CD000000}">
      <text>
        <r>
          <rPr>
            <sz val="11"/>
            <rFont val="Calibri"/>
          </rPr>
          <t>The SLES for vRealize must require root password authentication upon booting into single-user mode.</t>
        </r>
      </text>
    </comment>
    <comment ref="S33" authorId="0" shapeId="0" xr:uid="{00000000-0006-0000-0600-0000CE000000}">
      <text>
        <r>
          <rPr>
            <sz val="11"/>
            <rFont val="Calibri"/>
          </rPr>
          <t>Bootloader authentication must be enabled to prevent users without privilege to gain access restricted file system resources.</t>
        </r>
      </text>
    </comment>
    <comment ref="T33" authorId="0" shapeId="0" xr:uid="{00000000-0006-0000-0600-0000CF000000}">
      <text>
        <r>
          <rPr>
            <sz val="11"/>
            <rFont val="Calibri"/>
          </rPr>
          <t>The SLES for the vRealize boot loader configuration file(s) must have mode 0600 or less permissive.</t>
        </r>
      </text>
    </comment>
    <comment ref="U33" authorId="0" shapeId="0" xr:uid="{00000000-0006-0000-0600-0000D0000000}">
      <text>
        <r>
          <rPr>
            <sz val="11"/>
            <rFont val="Calibri"/>
          </rPr>
          <t>The SLES for the vRealize boot loader configuration files must be owned by root.</t>
        </r>
      </text>
    </comment>
    <comment ref="V33" authorId="0" shapeId="0" xr:uid="{00000000-0006-0000-0600-0000D1000000}">
      <text>
        <r>
          <rPr>
            <sz val="11"/>
            <rFont val="Calibri"/>
          </rPr>
          <t>The SLES for the vRealize boot loader configuration file(s) must be group-owned by root, bin, sys, or system.</t>
        </r>
      </text>
    </comment>
    <comment ref="W33" authorId="0" shapeId="0" xr:uid="{00000000-0006-0000-0600-0000D2000000}">
      <text>
        <r>
          <rPr>
            <sz val="11"/>
            <rFont val="Calibri"/>
          </rPr>
          <t>NIS/NIS+/yp files must be owned by root, sys, or bin.</t>
        </r>
      </text>
    </comment>
    <comment ref="X33" authorId="0" shapeId="0" xr:uid="{00000000-0006-0000-0600-0000D3000000}">
      <text>
        <r>
          <rPr>
            <sz val="11"/>
            <rFont val="Calibri"/>
          </rPr>
          <t>The NIS/NIS+/yp command files must have mode 0755 or less permissive.</t>
        </r>
      </text>
    </comment>
    <comment ref="Y33" authorId="0" shapeId="0" xr:uid="{00000000-0006-0000-0600-0000D4000000}">
      <text>
        <r>
          <rPr>
            <sz val="11"/>
            <rFont val="Calibri"/>
          </rPr>
          <t>The SLES for vRealize must not use UDP for NIS/NIS+.</t>
        </r>
      </text>
    </comment>
    <comment ref="Z33" authorId="0" shapeId="0" xr:uid="{00000000-0006-0000-0600-0000D5000000}">
      <text>
        <r>
          <rPr>
            <sz val="11"/>
            <rFont val="Calibri"/>
          </rPr>
          <t>NIS maps must be protected through hard-to-guess domain names.</t>
        </r>
      </text>
    </comment>
    <comment ref="AA33" authorId="0" shapeId="0" xr:uid="{00000000-0006-0000-0600-0000D6000000}">
      <text>
        <r>
          <rPr>
            <sz val="11"/>
            <rFont val="Calibri"/>
          </rPr>
          <t>The alias files must be owned by root.</t>
        </r>
      </text>
    </comment>
    <comment ref="AB33" authorId="0" shapeId="0" xr:uid="{00000000-0006-0000-0600-0000D7000000}">
      <text>
        <r>
          <rPr>
            <sz val="11"/>
            <rFont val="Calibri"/>
          </rPr>
          <t>The alias files must be group-owned by root, or a system group.</t>
        </r>
      </text>
    </comment>
    <comment ref="AC33" authorId="0" shapeId="0" xr:uid="{00000000-0006-0000-0600-0000D8000000}">
      <text>
        <r>
          <rPr>
            <sz val="11"/>
            <rFont val="Calibri"/>
          </rPr>
          <t>The alias files must have mode 0644 or less permissive.</t>
        </r>
      </text>
    </comment>
    <comment ref="AD33" authorId="0" shapeId="0" xr:uid="{00000000-0006-0000-0600-0000D9000000}">
      <text>
        <r>
          <rPr>
            <sz val="11"/>
            <rFont val="Calibri"/>
          </rPr>
          <t>Files executed through a mail aliases file must be owned by root and must reside within a directory owned and writable only by root.</t>
        </r>
      </text>
    </comment>
    <comment ref="AE33" authorId="0" shapeId="0" xr:uid="{00000000-0006-0000-0600-0000DA000000}">
      <text>
        <r>
          <rPr>
            <sz val="11"/>
            <rFont val="Calibri"/>
          </rPr>
          <t>Files executed through a mail aliases file must be group-owned by root, bin, sys, or system, and must reside within a directory group-owned by root, bin, sys, or system.</t>
        </r>
      </text>
    </comment>
    <comment ref="AF33" authorId="0" shapeId="0" xr:uid="{00000000-0006-0000-0600-0000DB000000}">
      <text>
        <r>
          <rPr>
            <sz val="11"/>
            <rFont val="Calibri"/>
          </rPr>
          <t>Files executed through a mail aliases file must have mode 0755 or less permissive.</t>
        </r>
      </text>
    </comment>
    <comment ref="AG33" authorId="0" shapeId="0" xr:uid="{00000000-0006-0000-0600-0000DC000000}">
      <text>
        <r>
          <rPr>
            <sz val="11"/>
            <rFont val="Calibri"/>
          </rPr>
          <t>The SMTP service log files must be owned by root.</t>
        </r>
      </text>
    </comment>
    <comment ref="AH33" authorId="0" shapeId="0" xr:uid="{00000000-0006-0000-0600-0000DD000000}">
      <text>
        <r>
          <rPr>
            <sz val="11"/>
            <rFont val="Calibri"/>
          </rPr>
          <t>The SMTP service log file must have mode 0644 or less permissive.</t>
        </r>
      </text>
    </comment>
    <comment ref="AI33" authorId="0" shapeId="0" xr:uid="{00000000-0006-0000-0600-0000DE000000}">
      <text>
        <r>
          <rPr>
            <sz val="11"/>
            <rFont val="Calibri"/>
          </rPr>
          <t>Proxy Neighbor Discovery Protocol (NDP) must not be enabled on SLES for vRealize.</t>
        </r>
      </text>
    </comment>
    <comment ref="AJ33" authorId="0" shapeId="0" xr:uid="{00000000-0006-0000-0600-0000DF000000}">
      <text>
        <r>
          <rPr>
            <sz val="11"/>
            <rFont val="Calibri"/>
          </rPr>
          <t>The SLES for vRealize must not have 6to4 enabled.</t>
        </r>
      </text>
    </comment>
    <comment ref="AK33" authorId="0" shapeId="0" xr:uid="{00000000-0006-0000-0600-0000E0000000}">
      <text>
        <r>
          <rPr>
            <sz val="11"/>
            <rFont val="Calibri"/>
          </rPr>
          <t>The SLES for vRealize must not have Teredo enabled.</t>
        </r>
      </text>
    </comment>
    <comment ref="AL33" authorId="0" shapeId="0" xr:uid="{00000000-0006-0000-0600-0000E1000000}">
      <text>
        <r>
          <rPr>
            <sz val="11"/>
            <rFont val="Calibri"/>
          </rPr>
          <t>The SLES for vRealize must enforce SSHv2 for network access to privileged accounts.</t>
        </r>
      </text>
    </comment>
    <comment ref="AM33" authorId="0" shapeId="0" xr:uid="{00000000-0006-0000-0600-0000E2000000}">
      <text>
        <r>
          <rPr>
            <sz val="11"/>
            <rFont val="Calibri"/>
          </rPr>
          <t>The SLES for vRealize must enforce SSHv2 for network access to non-privileged accounts.</t>
        </r>
      </text>
    </comment>
    <comment ref="AN33" authorId="0" shapeId="0" xr:uid="{00000000-0006-0000-0600-0000E3000000}">
      <text>
        <r>
          <rPr>
            <sz val="11"/>
            <rFont val="Calibri"/>
          </rPr>
          <t>The SLES for vRealize must reveal error messages only to authorized users.</t>
        </r>
      </text>
    </comment>
    <comment ref="AO33" authorId="0" shapeId="0" xr:uid="{00000000-0006-0000-0600-0000E4000000}">
      <text>
        <r>
          <rPr>
            <sz val="11"/>
            <rFont val="Calibri"/>
          </rPr>
          <t>The SLES for vRealize must reveal error messages only to authorized users.</t>
        </r>
      </text>
    </comment>
    <comment ref="AP33" authorId="0" shapeId="0" xr:uid="{00000000-0006-0000-0600-0000E5000000}">
      <text>
        <r>
          <rPr>
            <sz val="11"/>
            <rFont val="Calibri"/>
          </rPr>
          <t>The SLES for vRealize must reveal error messages only to authorized users.</t>
        </r>
      </text>
    </comment>
    <comment ref="AQ33" authorId="0" shapeId="0" xr:uid="{00000000-0006-0000-0600-0000E6000000}">
      <text>
        <r>
          <rPr>
            <sz val="11"/>
            <rFont val="Calibri"/>
          </rPr>
          <t>The SLES for vRealize must control remote access methods.</t>
        </r>
      </text>
    </comment>
    <comment ref="AR33" authorId="0" shapeId="0" xr:uid="{00000000-0006-0000-0600-0000E7000000}">
      <text>
        <r>
          <rPr>
            <sz val="11"/>
            <rFont val="Calibri"/>
          </rPr>
          <t>The time synchronization configuration file (such as /etc/ntp.conf) must be owned by root.</t>
        </r>
      </text>
    </comment>
    <comment ref="AS33" authorId="0" shapeId="0" xr:uid="{00000000-0006-0000-0600-0000E8000000}">
      <text>
        <r>
          <rPr>
            <sz val="11"/>
            <rFont val="Calibri"/>
          </rPr>
          <t>The time synchronization configuration file (such as /etc/ntp.conf) must be group-owned by root, bin, sys, or system.</t>
        </r>
      </text>
    </comment>
    <comment ref="AT33" authorId="0" shapeId="0" xr:uid="{00000000-0006-0000-0600-0000E9000000}">
      <text>
        <r>
          <rPr>
            <sz val="11"/>
            <rFont val="Calibri"/>
          </rPr>
          <t>The time synchronization configuration file (such as /etc/ntp.conf) must have mode 0640 or less permissive.</t>
        </r>
      </text>
    </comment>
    <comment ref="AU33" authorId="0" shapeId="0" xr:uid="{00000000-0006-0000-0600-0000EA000000}">
      <text>
        <r>
          <rPr>
            <sz val="11"/>
            <rFont val="Calibri"/>
          </rPr>
          <t>The SLES for vRealize must implement non-executable data to protect its memory from unauthorized code execution.</t>
        </r>
      </text>
    </comment>
    <comment ref="AV33" authorId="0" shapeId="0" xr:uid="{00000000-0006-0000-0600-0000EB000000}">
      <text>
        <r>
          <rPr>
            <sz val="11"/>
            <rFont val="Calibri"/>
          </rPr>
          <t>The SLES for vRealize must implement address space layout randomization to protect its memory from unauthorized code execution.</t>
        </r>
      </text>
    </comment>
    <comment ref="AW33" authorId="0" shapeId="0" xr:uid="{00000000-0006-0000-0600-0000EC000000}">
      <text>
        <r>
          <rPr>
            <sz val="11"/>
            <rFont val="Calibri"/>
          </rPr>
          <t>The SLES for vRealize must be configured in accordance with the security configuration settings based on DoD security configuration or implementation guidance, including STIGs, NSA configuration guides, CTOs, and DTMs.</t>
        </r>
      </text>
    </comment>
    <comment ref="J37" authorId="0" shapeId="0" xr:uid="{00000000-0006-0000-0600-0000ED000000}">
      <text>
        <r>
          <rPr>
            <sz val="11"/>
            <rFont val="Calibri"/>
          </rPr>
          <t>Default demonstration and sample databases, database objects, and applications must be removed.</t>
        </r>
      </text>
    </comment>
    <comment ref="K37" authorId="0" shapeId="0" xr:uid="{00000000-0006-0000-0600-0000EE000000}">
      <text>
        <r>
          <rPr>
            <sz val="11"/>
            <rFont val="Calibri"/>
          </rPr>
          <t>The vROps PostgreSQL DB must disable network functions, ports, protocols, and services deemed by the organization to be nonsecure, in accord with the Ports, Protocols, and Services Management (PPSM) guidance.</t>
        </r>
      </text>
    </comment>
    <comment ref="L37" authorId="0" shapeId="0" xr:uid="{00000000-0006-0000-0600-0000EF000000}">
      <text>
        <r>
          <rPr>
            <sz val="11"/>
            <rFont val="Calibri"/>
          </rPr>
          <t>The Bluetooth protocol handler must be disabled or not installed.</t>
        </r>
      </text>
    </comment>
    <comment ref="M37" authorId="0" shapeId="0" xr:uid="{00000000-0006-0000-0600-0000F0000000}">
      <text>
        <r>
          <rPr>
            <sz val="11"/>
            <rFont val="Calibri"/>
          </rPr>
          <t>The SLES for vRealize must have USB Mass Storage disabled unless needed.</t>
        </r>
      </text>
    </comment>
    <comment ref="N37" authorId="0" shapeId="0" xr:uid="{00000000-0006-0000-0600-0000F1000000}">
      <text>
        <r>
          <rPr>
            <sz val="11"/>
            <rFont val="Calibri"/>
          </rPr>
          <t>The SLES for vRealize must have USB disabled unless needed.</t>
        </r>
      </text>
    </comment>
    <comment ref="O37" authorId="0" shapeId="0" xr:uid="{00000000-0006-0000-0600-0000F2000000}">
      <text>
        <r>
          <rPr>
            <sz val="11"/>
            <rFont val="Calibri"/>
          </rPr>
          <t>The telnet-server package must not be installed.</t>
        </r>
      </text>
    </comment>
    <comment ref="P37" authorId="0" shapeId="0" xr:uid="{00000000-0006-0000-0600-0000F3000000}">
      <text>
        <r>
          <rPr>
            <sz val="11"/>
            <rFont val="Calibri"/>
          </rPr>
          <t>The rsh-server package must not be installed.</t>
        </r>
      </text>
    </comment>
    <comment ref="Q37" authorId="0" shapeId="0" xr:uid="{00000000-0006-0000-0600-0000F4000000}">
      <text>
        <r>
          <rPr>
            <sz val="11"/>
            <rFont val="Calibri"/>
          </rPr>
          <t>The ypserv package must not be installed.</t>
        </r>
      </text>
    </comment>
    <comment ref="R37" authorId="0" shapeId="0" xr:uid="{00000000-0006-0000-0600-0000F5000000}">
      <text>
        <r>
          <rPr>
            <sz val="11"/>
            <rFont val="Calibri"/>
          </rPr>
          <t>The yast2-tftp-server package must not be installed.</t>
        </r>
      </text>
    </comment>
    <comment ref="S37" authorId="0" shapeId="0" xr:uid="{00000000-0006-0000-0600-0000F6000000}">
      <text>
        <r>
          <rPr>
            <sz val="11"/>
            <rFont val="Calibri"/>
          </rPr>
          <t>The Reliable Datagram Sockets (RDS) protocol must be disabled or not installed unless required.</t>
        </r>
      </text>
    </comment>
    <comment ref="T37" authorId="0" shapeId="0" xr:uid="{00000000-0006-0000-0600-0000F7000000}">
      <text>
        <r>
          <rPr>
            <sz val="11"/>
            <rFont val="Calibri"/>
          </rPr>
          <t>The Transparent Inter-Process Communication (TIPC) must be disabled or not installed.</t>
        </r>
      </text>
    </comment>
    <comment ref="U37" authorId="0" shapeId="0" xr:uid="{00000000-0006-0000-0600-0000F8000000}">
      <text>
        <r>
          <rPr>
            <sz val="11"/>
            <rFont val="Calibri"/>
          </rPr>
          <t>The xinetd service must be disabled if no network services utilizing it are enabled.</t>
        </r>
      </text>
    </comment>
    <comment ref="V37" authorId="0" shapeId="0" xr:uid="{00000000-0006-0000-0600-0000F9000000}">
      <text>
        <r>
          <rPr>
            <sz val="11"/>
            <rFont val="Calibri"/>
          </rPr>
          <t>The ypbind service must not be running if no network services utilizing it are enabled.</t>
        </r>
      </text>
    </comment>
    <comment ref="W37" authorId="0" shapeId="0" xr:uid="{00000000-0006-0000-0600-0000FA000000}">
      <text>
        <r>
          <rPr>
            <sz val="11"/>
            <rFont val="Calibri"/>
          </rPr>
          <t>Mail relaying must be restricted.</t>
        </r>
      </text>
    </comment>
    <comment ref="X37" authorId="0" shapeId="0" xr:uid="{00000000-0006-0000-0600-0000FB000000}">
      <text>
        <r>
          <rPr>
            <sz val="11"/>
            <rFont val="Calibri"/>
          </rPr>
          <t>The SMTP service HELP command must not be enabled.</t>
        </r>
      </text>
    </comment>
    <comment ref="Y37" authorId="0" shapeId="0" xr:uid="{00000000-0006-0000-0600-0000FC000000}">
      <text>
        <r>
          <rPr>
            <sz val="11"/>
            <rFont val="Calibri"/>
          </rPr>
          <t>The SMTP services SMTP greeting must not provide version information.</t>
        </r>
      </text>
    </comment>
    <comment ref="Z37" authorId="0" shapeId="0" xr:uid="{00000000-0006-0000-0600-0000FD000000}">
      <text>
        <r>
          <rPr>
            <sz val="11"/>
            <rFont val="Calibri"/>
          </rPr>
          <t>The SMTP service must not use .forward files.</t>
        </r>
      </text>
    </comment>
    <comment ref="AA37" authorId="0" shapeId="0" xr:uid="{00000000-0006-0000-0600-0000FE000000}">
      <text>
        <r>
          <rPr>
            <sz val="11"/>
            <rFont val="Calibri"/>
          </rPr>
          <t>The SMTP service must not have the EXPN feature active.</t>
        </r>
      </text>
    </comment>
    <comment ref="AB37" authorId="0" shapeId="0" xr:uid="{00000000-0006-0000-0600-0000FF000000}">
      <text>
        <r>
          <rPr>
            <sz val="11"/>
            <rFont val="Calibri"/>
          </rPr>
          <t>The SMTP service must not have the VRFY feature active.</t>
        </r>
      </text>
    </comment>
    <comment ref="AC37" authorId="0" shapeId="0" xr:uid="{00000000-0006-0000-0600-000000010000}">
      <text>
        <r>
          <rPr>
            <sz val="11"/>
            <rFont val="Calibri"/>
          </rPr>
          <t>The Lightweight User Datagram Protocol (UDP-Lite) must be disabled unless required.</t>
        </r>
      </text>
    </comment>
    <comment ref="AD37" authorId="0" shapeId="0" xr:uid="{00000000-0006-0000-0600-000001010000}">
      <text>
        <r>
          <rPr>
            <sz val="11"/>
            <rFont val="Calibri"/>
          </rPr>
          <t>The Internetwork Packet Exchange (IPX) protocol must be disabled or not installed.</t>
        </r>
      </text>
    </comment>
    <comment ref="AE37" authorId="0" shapeId="0" xr:uid="{00000000-0006-0000-0600-000002010000}">
      <text>
        <r>
          <rPr>
            <sz val="11"/>
            <rFont val="Calibri"/>
          </rPr>
          <t>The AppleTalk protocol must be disabled or not installed.</t>
        </r>
      </text>
    </comment>
    <comment ref="AF37" authorId="0" shapeId="0" xr:uid="{00000000-0006-0000-0600-000003010000}">
      <text>
        <r>
          <rPr>
            <sz val="11"/>
            <rFont val="Calibri"/>
          </rPr>
          <t>The DECnet protocol must be disabled or not installed.</t>
        </r>
      </text>
    </comment>
    <comment ref="AG37" authorId="0" shapeId="0" xr:uid="{00000000-0006-0000-0600-000004010000}">
      <text>
        <r>
          <rPr>
            <sz val="11"/>
            <rFont val="Calibri"/>
          </rPr>
          <t>The DHCP client must be disabled if not needed.</t>
        </r>
      </text>
    </comment>
    <comment ref="AH37" authorId="0" shapeId="0" xr:uid="{00000000-0006-0000-0600-000005010000}">
      <text>
        <r>
          <rPr>
            <sz val="11"/>
            <rFont val="Calibri"/>
          </rPr>
          <t>The SLES for vRealize must have IEEE 1394 (Firewire) disabled unless needed.</t>
        </r>
      </text>
    </comment>
    <comment ref="AI37" authorId="0" shapeId="0" xr:uid="{00000000-0006-0000-0600-000006010000}">
      <text>
        <r>
          <rPr>
            <sz val="11"/>
            <rFont val="Calibri"/>
          </rPr>
          <t>tc Server ALL must only contain services and functions necessary for operation.</t>
        </r>
      </text>
    </comment>
    <comment ref="AJ37" authorId="0" shapeId="0" xr:uid="{00000000-0006-0000-0600-000007010000}">
      <text>
        <r>
          <rPr>
            <sz val="11"/>
            <rFont val="Calibri"/>
          </rPr>
          <t>tc Server ALL must exclude documentation, sample code, example applications, and tutorials.</t>
        </r>
      </text>
    </comment>
    <comment ref="AK37" authorId="0" shapeId="0" xr:uid="{00000000-0006-0000-0600-000008010000}">
      <text>
        <r>
          <rPr>
            <sz val="11"/>
            <rFont val="Calibri"/>
          </rPr>
          <t>tc Server ALL must exclude installation of utility programs, services, plug-ins, and modules not necessary for operation.</t>
        </r>
      </text>
    </comment>
    <comment ref="AL37" authorId="0" shapeId="0" xr:uid="{00000000-0006-0000-0600-000009010000}">
      <text>
        <r>
          <rPr>
            <sz val="11"/>
            <rFont val="Calibri"/>
          </rPr>
          <t>tc Server ALL must have Multipurpose Internet Mail Extensions (MIME) that invoke OS shell programs disabled.</t>
        </r>
      </text>
    </comment>
    <comment ref="AM37" authorId="0" shapeId="0" xr:uid="{00000000-0006-0000-0600-00000A010000}">
      <text>
        <r>
          <rPr>
            <sz val="11"/>
            <rFont val="Calibri"/>
          </rPr>
          <t>tc Server ALL must have all mappings to unused and vulnerable scripts to be removed.</t>
        </r>
      </text>
    </comment>
    <comment ref="AN37" authorId="0" shapeId="0" xr:uid="{00000000-0006-0000-0600-00000B010000}">
      <text>
        <r>
          <rPr>
            <sz val="11"/>
            <rFont val="Calibri"/>
          </rPr>
          <t>tc Server ALL must not have the Web Distributed Authoring (WebDAV) servlet installed.</t>
        </r>
      </text>
    </comment>
    <comment ref="AO37" authorId="0" shapeId="0" xr:uid="{00000000-0006-0000-0600-00000C010000}">
      <text>
        <r>
          <rPr>
            <sz val="11"/>
            <rFont val="Calibri"/>
          </rPr>
          <t>tc Server UI must have the allowTrace parameter set to false.</t>
        </r>
      </text>
    </comment>
    <comment ref="AP37" authorId="0" shapeId="0" xr:uid="{00000000-0006-0000-0600-00000D010000}">
      <text>
        <r>
          <rPr>
            <sz val="11"/>
            <rFont val="Calibri"/>
          </rPr>
          <t>tc Server CaSa must have the allowTrace parameter set to false.</t>
        </r>
      </text>
    </comment>
    <comment ref="AQ37" authorId="0" shapeId="0" xr:uid="{00000000-0006-0000-0600-00000E010000}">
      <text>
        <r>
          <rPr>
            <sz val="11"/>
            <rFont val="Calibri"/>
          </rPr>
          <t>tc Server API must have the allowTrace parameter set to false.</t>
        </r>
      </text>
    </comment>
    <comment ref="AR37" authorId="0" shapeId="0" xr:uid="{00000000-0006-0000-0600-00000F010000}">
      <text>
        <r>
          <rPr>
            <sz val="11"/>
            <rFont val="Calibri"/>
          </rPr>
          <t>tc Server UI must have the debug option turned off.</t>
        </r>
      </text>
    </comment>
    <comment ref="AS37" authorId="0" shapeId="0" xr:uid="{00000000-0006-0000-0600-000010010000}">
      <text>
        <r>
          <rPr>
            <sz val="11"/>
            <rFont val="Calibri"/>
          </rPr>
          <t>tc Server CaSa must have the debug option turned off.</t>
        </r>
      </text>
    </comment>
    <comment ref="AT37" authorId="0" shapeId="0" xr:uid="{00000000-0006-0000-0600-000011010000}">
      <text>
        <r>
          <rPr>
            <sz val="11"/>
            <rFont val="Calibri"/>
          </rPr>
          <t>tc Server API must have the debug option turned off.</t>
        </r>
      </text>
    </comment>
    <comment ref="AU37" authorId="0" shapeId="0" xr:uid="{00000000-0006-0000-0600-000012010000}">
      <text>
        <r>
          <rPr>
            <sz val="11"/>
            <rFont val="Calibri"/>
          </rPr>
          <t>tc Server UI must disable the shutdown port.</t>
        </r>
      </text>
    </comment>
    <comment ref="AV37" authorId="0" shapeId="0" xr:uid="{00000000-0006-0000-0600-000013010000}">
      <text>
        <r>
          <rPr>
            <sz val="11"/>
            <rFont val="Calibri"/>
          </rPr>
          <t>tc Server CaSa must disable the shutdown port.</t>
        </r>
      </text>
    </comment>
    <comment ref="AW37" authorId="0" shapeId="0" xr:uid="{00000000-0006-0000-0600-000014010000}">
      <text>
        <r>
          <rPr>
            <sz val="11"/>
            <rFont val="Calibri"/>
          </rPr>
          <t>tc Server API must disable the shutdown port.</t>
        </r>
      </text>
    </comment>
    <comment ref="J38" authorId="0" shapeId="0" xr:uid="{00000000-0006-0000-0600-000015010000}">
      <text>
        <r>
          <rPr>
            <sz val="11"/>
            <rFont val="Calibri"/>
          </rPr>
          <t>tc Server ALL server files must be verified for their integrity (e.g., checksums and hashes) before becoming part of the production web server.</t>
        </r>
      </text>
    </comment>
    <comment ref="K38" authorId="0" shapeId="0" xr:uid="{00000000-0006-0000-0600-000016010000}">
      <text>
        <r>
          <rPr>
            <sz val="11"/>
            <rFont val="Calibri"/>
          </rPr>
          <t>tc Server ALL expansion modules must be fully reviewed, tested, and signed before they can exist on a production web server.</t>
        </r>
      </text>
    </comment>
    <comment ref="J43" authorId="0" shapeId="0" xr:uid="{00000000-0006-0000-0600-000017010000}">
      <text>
        <r>
          <rPr>
            <sz val="11"/>
            <rFont val="Calibri"/>
          </rPr>
          <t>The vRealize Operations server must use an enterprise user management system to uniquely identify and authenticate users (or processes acting on behalf of organizational users).</t>
        </r>
      </text>
    </comment>
    <comment ref="K43" authorId="0" shapeId="0" xr:uid="{00000000-0006-0000-0600-000018010000}">
      <text>
        <r>
          <rPr>
            <sz val="11"/>
            <rFont val="Calibri"/>
          </rPr>
          <t>The vROps PostgreSQL DB must uniquely identify and authenticate organizational users (or processes acting on behalf of organizational users).</t>
        </r>
      </text>
    </comment>
    <comment ref="L43" authorId="0" shapeId="0" xr:uid="{00000000-0006-0000-0600-000019010000}">
      <text>
        <r>
          <rPr>
            <sz val="11"/>
            <rFont val="Calibri"/>
          </rPr>
          <t>The SLES for vRealize must provide automated mechanisms for supporting account management functions.</t>
        </r>
      </text>
    </comment>
    <comment ref="M43" authorId="0" shapeId="0" xr:uid="{00000000-0006-0000-0600-00001A010000}">
      <text>
        <r>
          <rPr>
            <sz val="11"/>
            <rFont val="Calibri"/>
          </rPr>
          <t>Duplicate User IDs (UIDs) must not exist for users within the organization.</t>
        </r>
      </text>
    </comment>
    <comment ref="N43" authorId="0" shapeId="0" xr:uid="{00000000-0006-0000-0600-00001B010000}">
      <text>
        <r>
          <rPr>
            <sz val="11"/>
            <rFont val="Calibri"/>
          </rPr>
          <t>The SLES for vRealize must use mechanisms meeting the requirements of applicable federal laws, Executive orders, directives, policies, regulations, standards, and guidance for authentication to a cryptographic module.</t>
        </r>
      </text>
    </comment>
    <comment ref="O43" authorId="0" shapeId="0" xr:uid="{00000000-0006-0000-0600-00001C010000}">
      <text>
        <r>
          <rPr>
            <sz val="11"/>
            <rFont val="Calibri"/>
          </rPr>
          <t>The SLES for vRealize must uniquely identify and must authenticate non-organizational users (or processes acting on behalf of non-organizational users).</t>
        </r>
      </text>
    </comment>
    <comment ref="P43" authorId="0" shapeId="0" xr:uid="{00000000-0006-0000-0600-00001D010000}">
      <text>
        <r>
          <rPr>
            <sz val="11"/>
            <rFont val="Calibri"/>
          </rPr>
          <t>The SLES for vRealize must uniquely identify and must authenticate non-organizational users (or processes acting on behalf of non-organizational users).</t>
        </r>
      </text>
    </comment>
    <comment ref="Q43" authorId="0" shapeId="0" xr:uid="{00000000-0006-0000-0600-00001E010000}">
      <text>
        <r>
          <rPr>
            <sz val="11"/>
            <rFont val="Calibri"/>
          </rPr>
          <t>tc Server UI must not use the tomcat-users XML database for user management.</t>
        </r>
      </text>
    </comment>
    <comment ref="R43" authorId="0" shapeId="0" xr:uid="{00000000-0006-0000-0600-00001F010000}">
      <text>
        <r>
          <rPr>
            <sz val="11"/>
            <rFont val="Calibri"/>
          </rPr>
          <t>tc Server CaSa must not use the tomcat-users XML database for user management.</t>
        </r>
      </text>
    </comment>
    <comment ref="S43" authorId="0" shapeId="0" xr:uid="{00000000-0006-0000-0600-000020010000}">
      <text>
        <r>
          <rPr>
            <sz val="11"/>
            <rFont val="Calibri"/>
          </rPr>
          <t>tc Server API must not use the tomcat-users XML database for user management.</t>
        </r>
      </text>
    </comment>
    <comment ref="T43" authorId="0" shapeId="0" xr:uid="{00000000-0006-0000-0600-000021010000}">
      <text>
        <r>
          <rPr>
            <sz val="11"/>
            <rFont val="Calibri"/>
          </rPr>
          <t>tc Server ALL must be configured to the correct user authentication source.</t>
        </r>
      </text>
    </comment>
    <comment ref="J45" authorId="0" shapeId="0" xr:uid="{00000000-0006-0000-0600-000022010000}">
      <text>
        <r>
          <rPr>
            <sz val="11"/>
            <rFont val="Calibri"/>
          </rPr>
          <t>The SLES for vRealize must employ strong authenticators in the establishment of nonlocal maintenance and diagnostic sessions.</t>
        </r>
      </text>
    </comment>
    <comment ref="J48" authorId="0" shapeId="0" xr:uid="{00000000-0006-0000-0600-000023010000}">
      <text>
        <r>
          <rPr>
            <sz val="11"/>
            <rFont val="Calibri"/>
          </rPr>
          <t>The SLES for vRealize must enforce password complexity by requiring that at least one upper-case character be used.</t>
        </r>
      </text>
    </comment>
    <comment ref="K48" authorId="0" shapeId="0" xr:uid="{00000000-0006-0000-0600-000024010000}">
      <text>
        <r>
          <rPr>
            <sz val="11"/>
            <rFont val="Calibri"/>
          </rPr>
          <t>The SLES for vRealize must enforce password complexity by requiring that at least one lower-case character be used.</t>
        </r>
      </text>
    </comment>
    <comment ref="L48" authorId="0" shapeId="0" xr:uid="{00000000-0006-0000-0600-000025010000}">
      <text>
        <r>
          <rPr>
            <sz val="11"/>
            <rFont val="Calibri"/>
          </rPr>
          <t>The SLES for vRealize must enforce password complexity by requiring that at least one numeric character be used.</t>
        </r>
      </text>
    </comment>
    <comment ref="M48" authorId="0" shapeId="0" xr:uid="{00000000-0006-0000-0600-000026010000}">
      <text>
        <r>
          <rPr>
            <sz val="11"/>
            <rFont val="Calibri"/>
          </rPr>
          <t>The SLES for vRealize must require the change of at least eight of the total number of characters when passwords are changed.</t>
        </r>
      </text>
    </comment>
    <comment ref="N48" authorId="0" shapeId="0" xr:uid="{00000000-0006-0000-0600-000027010000}">
      <text>
        <r>
          <rPr>
            <sz val="11"/>
            <rFont val="Calibri"/>
          </rPr>
          <t>SLES for vRealize must enforce 24 hours/1 day as the minimum password lifetime.</t>
        </r>
      </text>
    </comment>
    <comment ref="O48" authorId="0" shapeId="0" xr:uid="{00000000-0006-0000-0600-000028010000}">
      <text>
        <r>
          <rPr>
            <sz val="11"/>
            <rFont val="Calibri"/>
          </rPr>
          <t>Users must not be able to change passwords more than once every 24 hours.</t>
        </r>
      </text>
    </comment>
    <comment ref="P48" authorId="0" shapeId="0" xr:uid="{00000000-0006-0000-0600-000029010000}">
      <text>
        <r>
          <rPr>
            <sz val="11"/>
            <rFont val="Calibri"/>
          </rPr>
          <t>SLES for vRealize must enforce a 60-day maximum password lifetime restriction.</t>
        </r>
      </text>
    </comment>
    <comment ref="Q48" authorId="0" shapeId="0" xr:uid="{00000000-0006-0000-0600-00002A010000}">
      <text>
        <r>
          <rPr>
            <sz val="11"/>
            <rFont val="Calibri"/>
          </rPr>
          <t>User passwords must be changed at least every 60 days.</t>
        </r>
      </text>
    </comment>
    <comment ref="R48" authorId="0" shapeId="0" xr:uid="{00000000-0006-0000-0600-00002B010000}">
      <text>
        <r>
          <rPr>
            <sz val="11"/>
            <rFont val="Calibri"/>
          </rPr>
          <t>The SLES for vRealize must prohibit password reuse for a minimum of five generations.</t>
        </r>
      </text>
    </comment>
    <comment ref="S48" authorId="0" shapeId="0" xr:uid="{00000000-0006-0000-0600-00002C010000}">
      <text>
        <r>
          <rPr>
            <sz val="11"/>
            <rFont val="Calibri"/>
          </rPr>
          <t>The SLES for vRealize must prohibit password reuse for a minimum of five generations. Ensure the old passwords are being stored.</t>
        </r>
      </text>
    </comment>
    <comment ref="T48" authorId="0" shapeId="0" xr:uid="{00000000-0006-0000-0600-00002D010000}">
      <text>
        <r>
          <rPr>
            <sz val="11"/>
            <rFont val="Calibri"/>
          </rPr>
          <t>The SLES for vRealize must enforce a minimum 15-character password length.</t>
        </r>
      </text>
    </comment>
    <comment ref="U48" authorId="0" shapeId="0" xr:uid="{00000000-0006-0000-0600-00002E010000}">
      <text>
        <r>
          <rPr>
            <sz val="11"/>
            <rFont val="Calibri"/>
          </rPr>
          <t>The SLES for vRealize must enforce password complexity by requiring that at least one special character be used.</t>
        </r>
      </text>
    </comment>
    <comment ref="V48" authorId="0" shapeId="0" xr:uid="{00000000-0006-0000-0600-00002F010000}">
      <text>
        <r>
          <rPr>
            <sz val="11"/>
            <rFont val="Calibri"/>
          </rPr>
          <t>The SLES for vRealize must prevent the use of dictionary words for passwords.</t>
        </r>
      </text>
    </comment>
    <comment ref="W48" authorId="0" shapeId="0" xr:uid="{00000000-0006-0000-0600-000030010000}">
      <text>
        <r>
          <rPr>
            <sz val="11"/>
            <rFont val="Calibri"/>
          </rPr>
          <t>The SLES for vRealize must prevent the use of dictionary words for passwords.</t>
        </r>
      </text>
    </comment>
    <comment ref="X48" authorId="0" shapeId="0" xr:uid="{00000000-0006-0000-0600-000031010000}">
      <text>
        <r>
          <rPr>
            <sz val="11"/>
            <rFont val="Calibri"/>
          </rPr>
          <t>The SLES for vRealize must prevent the use of dictionary words for passwords.</t>
        </r>
      </text>
    </comment>
    <comment ref="J88" authorId="0" shapeId="0" xr:uid="{00000000-0006-0000-0600-000032010000}">
      <text>
        <r>
          <rPr>
            <sz val="11"/>
            <rFont val="Calibri"/>
          </rPr>
          <t>The vROps PostgreSQL DB must limit the number of concurrent sessions to an organization-defined number per user for all accounts and/or account types.</t>
        </r>
      </text>
    </comment>
    <comment ref="K88" authorId="0" shapeId="0" xr:uid="{00000000-0006-0000-0600-000033010000}">
      <text>
        <r>
          <rPr>
            <sz val="11"/>
            <rFont val="Calibri"/>
          </rPr>
          <t>The SLES for vRealize must manage excess capacity, bandwidth, or other redundancy to limit the effects of information flooding types of Denial of Service (DoS) attacks.</t>
        </r>
      </text>
    </comment>
    <comment ref="L88" authorId="0" shapeId="0" xr:uid="{00000000-0006-0000-0600-000034010000}">
      <text>
        <r>
          <rPr>
            <sz val="11"/>
            <rFont val="Calibri"/>
          </rPr>
          <t>The SLES for vRealize must manage excess capacity, bandwidth, or other redundancy to limit the effects of information flooding types of Denial of Service (DoS) attacks.</t>
        </r>
      </text>
    </comment>
    <comment ref="M88" authorId="0" shapeId="0" xr:uid="{00000000-0006-0000-0600-000035010000}">
      <text>
        <r>
          <rPr>
            <sz val="11"/>
            <rFont val="Calibri"/>
          </rPr>
          <t>tc Server UI must limit the number of maximum concurrent connections permitted.</t>
        </r>
      </text>
    </comment>
    <comment ref="N88" authorId="0" shapeId="0" xr:uid="{00000000-0006-0000-0600-000036010000}">
      <text>
        <r>
          <rPr>
            <sz val="11"/>
            <rFont val="Calibri"/>
          </rPr>
          <t>tc Server CaSa must limit the number of maximum concurrent connections permitted.</t>
        </r>
      </text>
    </comment>
    <comment ref="O88" authorId="0" shapeId="0" xr:uid="{00000000-0006-0000-0600-000037010000}">
      <text>
        <r>
          <rPr>
            <sz val="11"/>
            <rFont val="Calibri"/>
          </rPr>
          <t>tc Server API must limit the number of maximum concurrent connections permitted.</t>
        </r>
      </text>
    </comment>
    <comment ref="P88" authorId="0" shapeId="0" xr:uid="{00000000-0006-0000-0600-000038010000}">
      <text>
        <r>
          <rPr>
            <sz val="11"/>
            <rFont val="Calibri"/>
          </rPr>
          <t>tc Server UI must be configured with a cross-site scripting (XSS) filter.</t>
        </r>
      </text>
    </comment>
    <comment ref="Q88" authorId="0" shapeId="0" xr:uid="{00000000-0006-0000-0600-000039010000}">
      <text>
        <r>
          <rPr>
            <sz val="11"/>
            <rFont val="Calibri"/>
          </rPr>
          <t>tc Server CaSa must be configured with a cross-site scripting (XSS) filter.</t>
        </r>
      </text>
    </comment>
    <comment ref="R88" authorId="0" shapeId="0" xr:uid="{00000000-0006-0000-0600-00003A010000}">
      <text>
        <r>
          <rPr>
            <sz val="11"/>
            <rFont val="Calibri"/>
          </rPr>
          <t>tc Server API must be configured with a cross-site scripting (XSS) filter.</t>
        </r>
      </text>
    </comment>
    <comment ref="S88" authorId="0" shapeId="0" xr:uid="{00000000-0006-0000-0600-00003B010000}">
      <text>
        <r>
          <rPr>
            <sz val="11"/>
            <rFont val="Calibri"/>
          </rPr>
          <t>tc Server UI must set the useHttpOnly parameter.</t>
        </r>
      </text>
    </comment>
    <comment ref="T88" authorId="0" shapeId="0" xr:uid="{00000000-0006-0000-0600-00003C010000}">
      <text>
        <r>
          <rPr>
            <sz val="11"/>
            <rFont val="Calibri"/>
          </rPr>
          <t>tc Server CaSa must set the useHttpOnly parameter.</t>
        </r>
      </text>
    </comment>
    <comment ref="U88" authorId="0" shapeId="0" xr:uid="{00000000-0006-0000-0600-00003D010000}">
      <text>
        <r>
          <rPr>
            <sz val="11"/>
            <rFont val="Calibri"/>
          </rPr>
          <t>tc Server API must set the useHttpOnly parameter.</t>
        </r>
      </text>
    </comment>
    <comment ref="J91" authorId="0" shapeId="0" xr:uid="{00000000-0006-0000-0600-00003E010000}">
      <text>
        <r>
          <rPr>
            <sz val="11"/>
            <rFont val="Calibri"/>
          </rPr>
          <t>The vRealize Operations server must only allow the use of DoD PKI-established certificate authorities for verification of the establishment of protected sessions.</t>
        </r>
      </text>
    </comment>
    <comment ref="K91" authorId="0" shapeId="0" xr:uid="{00000000-0006-0000-0600-00003F010000}">
      <text>
        <r>
          <rPr>
            <sz val="11"/>
            <rFont val="Calibri"/>
          </rPr>
          <t>The vROps PostgreSQL DB must use NIST FIPS 140-2 validated cryptographic modules for cryptographic operations.</t>
        </r>
      </text>
    </comment>
    <comment ref="L91" authorId="0" shapeId="0" xr:uid="{00000000-0006-0000-0600-000040010000}">
      <text>
        <r>
          <rPr>
            <sz val="11"/>
            <rFont val="Calibri"/>
          </rPr>
          <t>The vROps PostgreSQL DB must implement NIST FIPS 140-2 validated cryptographic modules to provision digital signatures.</t>
        </r>
      </text>
    </comment>
    <comment ref="M91" authorId="0" shapeId="0" xr:uid="{00000000-0006-0000-0600-000041010000}">
      <text>
        <r>
          <rPr>
            <sz val="11"/>
            <rFont val="Calibri"/>
          </rPr>
          <t>The vROps PostgreSQL DB must implement NIST FIPS 140-2 validated cryptographic modules to generate and validate cryptographic hashes.</t>
        </r>
      </text>
    </comment>
    <comment ref="N91" authorId="0" shapeId="0" xr:uid="{00000000-0006-0000-0600-000042010000}">
      <text>
        <r>
          <rPr>
            <sz val="11"/>
            <rFont val="Calibri"/>
          </rPr>
          <t>The vROps PostgreSQL DB must implement NIST FIPS 140-2 validated cryptographic modules to protect unclassified information requiring confidentiality and cryptographic protection, in accordance with the data owners requirements.</t>
        </r>
      </text>
    </comment>
    <comment ref="O91" authorId="0" shapeId="0" xr:uid="{00000000-0006-0000-0600-000043010000}">
      <text>
        <r>
          <rPr>
            <sz val="11"/>
            <rFont val="Calibri"/>
          </rPr>
          <t>The SLES for vRealize must implement DoD-approved encryption to protect the confidentiality of remote access sessions - SSH Daemon.</t>
        </r>
      </text>
    </comment>
    <comment ref="P91" authorId="0" shapeId="0" xr:uid="{00000000-0006-0000-0600-000044010000}">
      <text>
        <r>
          <rPr>
            <sz val="11"/>
            <rFont val="Calibri"/>
          </rPr>
          <t>The SLES for vRealize must implement DoD-approved encryption to protect the confidentiality of remote access sessions - SSH Client.</t>
        </r>
      </text>
    </comment>
    <comment ref="Q91" authorId="0" shapeId="0" xr:uid="{00000000-0006-0000-0600-000045010000}">
      <text>
        <r>
          <rPr>
            <sz val="11"/>
            <rFont val="Calibri"/>
          </rPr>
          <t>The SLES for vRealize must use cryptographic mechanisms to protect the integrity of audit tools.</t>
        </r>
      </text>
    </comment>
    <comment ref="R91" authorId="0" shapeId="0" xr:uid="{00000000-0006-0000-0600-000046010000}">
      <text>
        <r>
          <rPr>
            <sz val="11"/>
            <rFont val="Calibri"/>
          </rPr>
          <t>The SLES for vRealize must implement cryptographic mechanisms to protect the integrity of nonlocal maintenance and diagnostic communications, when used for nonlocal maintenance sessions.</t>
        </r>
      </text>
    </comment>
    <comment ref="S91" authorId="0" shapeId="0" xr:uid="{00000000-0006-0000-0600-000047010000}">
      <text>
        <r>
          <rPr>
            <sz val="11"/>
            <rFont val="Calibri"/>
          </rPr>
          <t>The SLES for vRealize must implement cryptographic mechanisms to protect the confidentiality of nonlocal maintenance and diagnostic communications, when used for nonlocal maintenance sessions.</t>
        </r>
      </text>
    </comment>
    <comment ref="T91" authorId="0" shapeId="0" xr:uid="{00000000-0006-0000-0600-000048010000}">
      <text>
        <r>
          <rPr>
            <sz val="11"/>
            <rFont val="Calibri"/>
          </rPr>
          <t>The SLES for vRealize must implement NSA-approved cryptography to protect classified information in accordance with applicable federal laws, Executive Orders, directives, policies, regulations, and standards.</t>
        </r>
      </text>
    </comment>
    <comment ref="U91" authorId="0" shapeId="0" xr:uid="{00000000-0006-0000-0600-000049010000}">
      <text>
        <r>
          <rPr>
            <sz val="11"/>
            <rFont val="Calibri"/>
          </rPr>
          <t>The SLES for vRealize must protect the confidentiality and integrity of transmitted information.</t>
        </r>
      </text>
    </comment>
    <comment ref="V91" authorId="0" shapeId="0" xr:uid="{00000000-0006-0000-0600-00004A010000}">
      <text>
        <r>
          <rPr>
            <sz val="11"/>
            <rFont val="Calibri"/>
          </rPr>
          <t>tc Server UI must be configured with FIPS 140-2 compliant ciphers for HTTPS connections.</t>
        </r>
      </text>
    </comment>
    <comment ref="W91" authorId="0" shapeId="0" xr:uid="{00000000-0006-0000-0600-00004B010000}">
      <text>
        <r>
          <rPr>
            <sz val="11"/>
            <rFont val="Calibri"/>
          </rPr>
          <t>tc Server CaSa must be configured with FIPS 140-2 compliant ciphers for HTTPS connections.</t>
        </r>
      </text>
    </comment>
    <comment ref="X91" authorId="0" shapeId="0" xr:uid="{00000000-0006-0000-0600-00004C010000}">
      <text>
        <r>
          <rPr>
            <sz val="11"/>
            <rFont val="Calibri"/>
          </rPr>
          <t>tc Server API must be configured with FIPS 140-2 compliant ciphers for HTTPS connections.</t>
        </r>
      </text>
    </comment>
    <comment ref="Y91" authorId="0" shapeId="0" xr:uid="{00000000-0006-0000-0600-00004D010000}">
      <text>
        <r>
          <rPr>
            <sz val="11"/>
            <rFont val="Calibri"/>
          </rPr>
          <t>tc Server UI must use cryptography to protect the integrity of remote sessions.</t>
        </r>
      </text>
    </comment>
    <comment ref="Z91" authorId="0" shapeId="0" xr:uid="{00000000-0006-0000-0600-00004E010000}">
      <text>
        <r>
          <rPr>
            <sz val="11"/>
            <rFont val="Calibri"/>
          </rPr>
          <t>tc Server CaSa must use cryptography to protect the integrity of remote sessions.</t>
        </r>
      </text>
    </comment>
    <comment ref="AA91" authorId="0" shapeId="0" xr:uid="{00000000-0006-0000-0600-00004F010000}">
      <text>
        <r>
          <rPr>
            <sz val="11"/>
            <rFont val="Calibri"/>
          </rPr>
          <t>tc Server API must use cryptography to protect the integrity of remote sessions.</t>
        </r>
      </text>
    </comment>
    <comment ref="AB91" authorId="0" shapeId="0" xr:uid="{00000000-0006-0000-0600-000050010000}">
      <text>
        <r>
          <rPr>
            <sz val="11"/>
            <rFont val="Calibri"/>
          </rPr>
          <t>tc Server UI must encrypt passwords during transmission.</t>
        </r>
      </text>
    </comment>
    <comment ref="AC91" authorId="0" shapeId="0" xr:uid="{00000000-0006-0000-0600-000051010000}">
      <text>
        <r>
          <rPr>
            <sz val="11"/>
            <rFont val="Calibri"/>
          </rPr>
          <t>tc Server CaSa must encrypt passwords during transmission.</t>
        </r>
      </text>
    </comment>
    <comment ref="AD91" authorId="0" shapeId="0" xr:uid="{00000000-0006-0000-0600-000052010000}">
      <text>
        <r>
          <rPr>
            <sz val="11"/>
            <rFont val="Calibri"/>
          </rPr>
          <t>tc Server API must encrypt passwords during transmission.</t>
        </r>
      </text>
    </comment>
    <comment ref="AE91" authorId="0" shapeId="0" xr:uid="{00000000-0006-0000-0600-000053010000}">
      <text>
        <r>
          <rPr>
            <sz val="11"/>
            <rFont val="Calibri"/>
          </rPr>
          <t>tc Server ALL must validate client certificates, to include all intermediary CAs, to ensure the client-presented certificates are valid and that the entire trust chain is valid.  If PKI is not being used, this check is Not Applicable.</t>
        </r>
      </text>
    </comment>
    <comment ref="AF91" authorId="0" shapeId="0" xr:uid="{00000000-0006-0000-0600-000054010000}">
      <text>
        <r>
          <rPr>
            <sz val="11"/>
            <rFont val="Calibri"/>
          </rPr>
          <t>tc Server UI must use cryptographic modules that meet the requirements of applicable federal laws, Executive Orders, directives, policies, regulations, standards, and guidance when authenticating users and processes.</t>
        </r>
      </text>
    </comment>
    <comment ref="AG91" authorId="0" shapeId="0" xr:uid="{00000000-0006-0000-0600-000055010000}">
      <text>
        <r>
          <rPr>
            <sz val="11"/>
            <rFont val="Calibri"/>
          </rPr>
          <t>tc Server CaSa must use cryptographic modules that meet the requirements of applicable federal laws, Executive Orders, directives, policies, regulations, standards, and guidance when authenticating users and processes.</t>
        </r>
      </text>
    </comment>
    <comment ref="AH91" authorId="0" shapeId="0" xr:uid="{00000000-0006-0000-0600-000056010000}">
      <text>
        <r>
          <rPr>
            <sz val="11"/>
            <rFont val="Calibri"/>
          </rPr>
          <t>tc Server API must use cryptographic modules that meet the requirements of applicable federal laws, Executive Orders, directives, policies, regulations, standards, and guidance when authenticating users and processes.</t>
        </r>
      </text>
    </comment>
    <comment ref="AI91" authorId="0" shapeId="0" xr:uid="{00000000-0006-0000-0600-000057010000}">
      <text>
        <r>
          <rPr>
            <sz val="11"/>
            <rFont val="Calibri"/>
          </rPr>
          <t>tc Server UI must be configured to use the https scheme.</t>
        </r>
      </text>
    </comment>
    <comment ref="AJ91" authorId="0" shapeId="0" xr:uid="{00000000-0006-0000-0600-000058010000}">
      <text>
        <r>
          <rPr>
            <sz val="11"/>
            <rFont val="Calibri"/>
          </rPr>
          <t>tc Server CaSa must be configured to use the https scheme.</t>
        </r>
      </text>
    </comment>
    <comment ref="AK91" authorId="0" shapeId="0" xr:uid="{00000000-0006-0000-0600-000059010000}">
      <text>
        <r>
          <rPr>
            <sz val="11"/>
            <rFont val="Calibri"/>
          </rPr>
          <t>tc Server API must be configured to use the https scheme.</t>
        </r>
      </text>
    </comment>
    <comment ref="AL91" authorId="0" shapeId="0" xr:uid="{00000000-0006-0000-0600-00005A010000}">
      <text>
        <r>
          <rPr>
            <sz val="11"/>
            <rFont val="Calibri"/>
          </rPr>
          <t>tc Server UI must use NSA Suite A cryptography when encrypting data that must be compartmentalized.</t>
        </r>
      </text>
    </comment>
    <comment ref="AM91" authorId="0" shapeId="0" xr:uid="{00000000-0006-0000-0600-00005B010000}">
      <text>
        <r>
          <rPr>
            <sz val="11"/>
            <rFont val="Calibri"/>
          </rPr>
          <t>tc Server CaSa must use NSA Suite A cryptography when encrypting data that must be compartmentalized.</t>
        </r>
      </text>
    </comment>
    <comment ref="AN91" authorId="0" shapeId="0" xr:uid="{00000000-0006-0000-0600-00005C010000}">
      <text>
        <r>
          <rPr>
            <sz val="11"/>
            <rFont val="Calibri"/>
          </rPr>
          <t>tc Server API must use NSA Suite A cryptography when encrypting data that must be compartmentalized.</t>
        </r>
      </text>
    </comment>
    <comment ref="AO91" authorId="0" shapeId="0" xr:uid="{00000000-0006-0000-0600-00005D010000}">
      <text>
        <r>
          <rPr>
            <sz val="11"/>
            <rFont val="Calibri"/>
          </rPr>
          <t>tc Server UI must employ cryptographic mechanisms (TLS/DTLS/SSL) preventing the unauthorized disclosure of information during transmission.</t>
        </r>
      </text>
    </comment>
    <comment ref="AP91" authorId="0" shapeId="0" xr:uid="{00000000-0006-0000-0600-00005E010000}">
      <text>
        <r>
          <rPr>
            <sz val="11"/>
            <rFont val="Calibri"/>
          </rPr>
          <t>tc Server CaSa must employ cryptographic mechanisms (TLS/DTLS/SSL) preventing the unauthorized disclosure of information during transmission.</t>
        </r>
      </text>
    </comment>
    <comment ref="AQ91" authorId="0" shapeId="0" xr:uid="{00000000-0006-0000-0600-00005F010000}">
      <text>
        <r>
          <rPr>
            <sz val="11"/>
            <rFont val="Calibri"/>
          </rPr>
          <t>tc Server API must employ cryptographic mechanisms (TLS/DTLS/SSL) preventing the unauthorized disclosure of information during transmission.</t>
        </r>
      </text>
    </comment>
    <comment ref="AR91" authorId="0" shapeId="0" xr:uid="{00000000-0006-0000-0600-000060010000}">
      <text>
        <r>
          <rPr>
            <sz val="11"/>
            <rFont val="Calibri"/>
          </rPr>
          <t>tc Server UI session IDs must be sent to the client using SSL/TLS.</t>
        </r>
      </text>
    </comment>
    <comment ref="AS91" authorId="0" shapeId="0" xr:uid="{00000000-0006-0000-0600-000061010000}">
      <text>
        <r>
          <rPr>
            <sz val="11"/>
            <rFont val="Calibri"/>
          </rPr>
          <t>tc Server CaSa session IDs must be sent to the client using SSL/TLS.</t>
        </r>
      </text>
    </comment>
    <comment ref="AT91" authorId="0" shapeId="0" xr:uid="{00000000-0006-0000-0600-000062010000}">
      <text>
        <r>
          <rPr>
            <sz val="11"/>
            <rFont val="Calibri"/>
          </rPr>
          <t>tc Server API session IDs must be sent to the client using SSL/TLS.</t>
        </r>
      </text>
    </comment>
    <comment ref="AU91" authorId="0" shapeId="0" xr:uid="{00000000-0006-0000-0600-000063010000}">
      <text>
        <r>
          <rPr>
            <sz val="11"/>
            <rFont val="Calibri"/>
          </rPr>
          <t>tc Server UI must set the secure flag for cookies.</t>
        </r>
      </text>
    </comment>
    <comment ref="AV91" authorId="0" shapeId="0" xr:uid="{00000000-0006-0000-0600-000064010000}">
      <text>
        <r>
          <rPr>
            <sz val="11"/>
            <rFont val="Calibri"/>
          </rPr>
          <t>tc Server CaSa must set the secure flag for cookies.</t>
        </r>
      </text>
    </comment>
    <comment ref="AW91" authorId="0" shapeId="0" xr:uid="{00000000-0006-0000-0600-000065010000}">
      <text>
        <r>
          <rPr>
            <sz val="11"/>
            <rFont val="Calibri"/>
          </rPr>
          <t>tc Server API must set the secure flag for cookies.</t>
        </r>
      </text>
    </comment>
    <comment ref="J94" authorId="0" shapeId="0" xr:uid="{00000000-0006-0000-0600-000066010000}">
      <text>
        <r>
          <rPr>
            <sz val="11"/>
            <rFont val="Calibri"/>
          </rPr>
          <t>If passwords are used for authentication, the vROps PostgreSQL DB must transmit only encrypted representations of passwords.</t>
        </r>
      </text>
    </comment>
    <comment ref="K94" authorId="0" shapeId="0" xr:uid="{00000000-0006-0000-0600-000067010000}">
      <text>
        <r>
          <rPr>
            <sz val="11"/>
            <rFont val="Calibri"/>
          </rPr>
          <t>The vROps PostgreSQL DB must use NIST FIPS 140-2 validated cryptographic modules for cryptographic operations.</t>
        </r>
      </text>
    </comment>
    <comment ref="L94" authorId="0" shapeId="0" xr:uid="{00000000-0006-0000-0600-000068010000}">
      <text>
        <r>
          <rPr>
            <sz val="11"/>
            <rFont val="Calibri"/>
          </rPr>
          <t>The vROps PostgreSQL DB must implement NIST FIPS 140-2 validated cryptographic modules to provision digital signatures.</t>
        </r>
      </text>
    </comment>
    <comment ref="M94" authorId="0" shapeId="0" xr:uid="{00000000-0006-0000-0600-000069010000}">
      <text>
        <r>
          <rPr>
            <sz val="11"/>
            <rFont val="Calibri"/>
          </rPr>
          <t>The vROps PostgreSQL DB must implement NIST FIPS 140-2 validated cryptographic modules to generate and validate cryptographic hashes.</t>
        </r>
      </text>
    </comment>
    <comment ref="N94" authorId="0" shapeId="0" xr:uid="{00000000-0006-0000-0600-00006A010000}">
      <text>
        <r>
          <rPr>
            <sz val="11"/>
            <rFont val="Calibri"/>
          </rPr>
          <t>The vROps PostgreSQL DB must implement NIST FIPS 140-2 validated cryptographic modules to protect unclassified information requiring confidentiality and cryptographic protection, in accordance with the data owners requirements.</t>
        </r>
      </text>
    </comment>
    <comment ref="O94" authorId="0" shapeId="0" xr:uid="{00000000-0006-0000-0600-00006B010000}">
      <text>
        <r>
          <rPr>
            <sz val="11"/>
            <rFont val="Calibri"/>
          </rPr>
          <t>The SLES for vRealize must implement DoD-approved encryption to protect the confidentiality of remote access sessions - SSH Daemon.</t>
        </r>
      </text>
    </comment>
    <comment ref="P94" authorId="0" shapeId="0" xr:uid="{00000000-0006-0000-0600-00006C010000}">
      <text>
        <r>
          <rPr>
            <sz val="11"/>
            <rFont val="Calibri"/>
          </rPr>
          <t>The SLES for vRealize must implement DoD-approved encryption to protect the confidentiality of remote access sessions - SSH Client.</t>
        </r>
      </text>
    </comment>
    <comment ref="Q94" authorId="0" shapeId="0" xr:uid="{00000000-0006-0000-0600-00006D010000}">
      <text>
        <r>
          <rPr>
            <sz val="11"/>
            <rFont val="Calibri"/>
          </rPr>
          <t>The SLES for vRealize must store only encrypted representations of passwords.</t>
        </r>
      </text>
    </comment>
    <comment ref="R94" authorId="0" shapeId="0" xr:uid="{00000000-0006-0000-0600-00006E010000}">
      <text>
        <r>
          <rPr>
            <sz val="11"/>
            <rFont val="Calibri"/>
          </rPr>
          <t>The SLES for vRealize must implement cryptographic mechanisms to protect the integrity of nonlocal maintenance and diagnostic communications, when used for nonlocal maintenance sessions.</t>
        </r>
      </text>
    </comment>
    <comment ref="S94" authorId="0" shapeId="0" xr:uid="{00000000-0006-0000-0600-00006F010000}">
      <text>
        <r>
          <rPr>
            <sz val="11"/>
            <rFont val="Calibri"/>
          </rPr>
          <t>The SLES for vRealize must implement cryptographic mechanisms to protect the confidentiality of nonlocal maintenance and diagnostic communications, when used for nonlocal maintenance sessions.</t>
        </r>
      </text>
    </comment>
    <comment ref="T94" authorId="0" shapeId="0" xr:uid="{00000000-0006-0000-0600-000070010000}">
      <text>
        <r>
          <rPr>
            <sz val="11"/>
            <rFont val="Calibri"/>
          </rPr>
          <t>The SLES for vRealize must implement NSA-approved cryptography to protect classified information in accordance with applicable federal laws, Executive Orders, directives, policies, regulations, and standards.</t>
        </r>
      </text>
    </comment>
    <comment ref="U94" authorId="0" shapeId="0" xr:uid="{00000000-0006-0000-0600-000071010000}">
      <text>
        <r>
          <rPr>
            <sz val="11"/>
            <rFont val="Calibri"/>
          </rPr>
          <t>The SLES for vRealize must implement NIST FIPS-validated cryptography for the following: to provision digital signatures, to generate cryptographic hashes, and to protect unclassified information requiring confidentiality and cryptographic protection in accordance with applicable federal laws, Executive Orders, directives, policies, regulations, and standards.</t>
        </r>
      </text>
    </comment>
    <comment ref="V94" authorId="0" shapeId="0" xr:uid="{00000000-0006-0000-0600-000072010000}">
      <text>
        <r>
          <rPr>
            <sz val="11"/>
            <rFont val="Calibri"/>
          </rPr>
          <t>tc Server UI must be configured with FIPS 140-2 compliant ciphers for HTTPS connections.</t>
        </r>
      </text>
    </comment>
    <comment ref="W94" authorId="0" shapeId="0" xr:uid="{00000000-0006-0000-0600-000073010000}">
      <text>
        <r>
          <rPr>
            <sz val="11"/>
            <rFont val="Calibri"/>
          </rPr>
          <t>tc Server CaSa must be configured with FIPS 140-2 compliant ciphers for HTTPS connections.</t>
        </r>
      </text>
    </comment>
    <comment ref="X94" authorId="0" shapeId="0" xr:uid="{00000000-0006-0000-0600-000074010000}">
      <text>
        <r>
          <rPr>
            <sz val="11"/>
            <rFont val="Calibri"/>
          </rPr>
          <t>tc Server API must be configured with FIPS 140-2 compliant ciphers for HTTPS connections.</t>
        </r>
      </text>
    </comment>
    <comment ref="Y94" authorId="0" shapeId="0" xr:uid="{00000000-0006-0000-0600-000075010000}">
      <text>
        <r>
          <rPr>
            <sz val="11"/>
            <rFont val="Calibri"/>
          </rPr>
          <t>tc Server UI must use cryptography to protect the integrity of remote sessions.</t>
        </r>
      </text>
    </comment>
    <comment ref="Z94" authorId="0" shapeId="0" xr:uid="{00000000-0006-0000-0600-000076010000}">
      <text>
        <r>
          <rPr>
            <sz val="11"/>
            <rFont val="Calibri"/>
          </rPr>
          <t>tc Server CaSa must use cryptography to protect the integrity of remote sessions.</t>
        </r>
      </text>
    </comment>
    <comment ref="AA94" authorId="0" shapeId="0" xr:uid="{00000000-0006-0000-0600-000077010000}">
      <text>
        <r>
          <rPr>
            <sz val="11"/>
            <rFont val="Calibri"/>
          </rPr>
          <t>tc Server API must use cryptography to protect the integrity of remote sessions.</t>
        </r>
      </text>
    </comment>
    <comment ref="AB94" authorId="0" shapeId="0" xr:uid="{00000000-0006-0000-0600-000078010000}">
      <text>
        <r>
          <rPr>
            <sz val="11"/>
            <rFont val="Calibri"/>
          </rPr>
          <t>tc Server UI must encrypt passwords during transmission.</t>
        </r>
      </text>
    </comment>
    <comment ref="AC94" authorId="0" shapeId="0" xr:uid="{00000000-0006-0000-0600-000079010000}">
      <text>
        <r>
          <rPr>
            <sz val="11"/>
            <rFont val="Calibri"/>
          </rPr>
          <t>tc Server CaSa must encrypt passwords during transmission.</t>
        </r>
      </text>
    </comment>
    <comment ref="AD94" authorId="0" shapeId="0" xr:uid="{00000000-0006-0000-0600-00007A010000}">
      <text>
        <r>
          <rPr>
            <sz val="11"/>
            <rFont val="Calibri"/>
          </rPr>
          <t>tc Server API must encrypt passwords during transmission.</t>
        </r>
      </text>
    </comment>
    <comment ref="AE94" authorId="0" shapeId="0" xr:uid="{00000000-0006-0000-0600-00007B010000}">
      <text>
        <r>
          <rPr>
            <sz val="11"/>
            <rFont val="Calibri"/>
          </rPr>
          <t>tc Server UI must use cryptographic modules that meet the requirements of applicable federal laws, Executive Orders, directives, policies, regulations, standards, and guidance when authenticating users and processes.</t>
        </r>
      </text>
    </comment>
    <comment ref="AF94" authorId="0" shapeId="0" xr:uid="{00000000-0006-0000-0600-00007C010000}">
      <text>
        <r>
          <rPr>
            <sz val="11"/>
            <rFont val="Calibri"/>
          </rPr>
          <t>tc Server CaSa must use cryptographic modules that meet the requirements of applicable federal laws, Executive Orders, directives, policies, regulations, standards, and guidance when authenticating users and processes.</t>
        </r>
      </text>
    </comment>
    <comment ref="AG94" authorId="0" shapeId="0" xr:uid="{00000000-0006-0000-0600-00007D010000}">
      <text>
        <r>
          <rPr>
            <sz val="11"/>
            <rFont val="Calibri"/>
          </rPr>
          <t>tc Server API must use cryptographic modules that meet the requirements of applicable federal laws, Executive Orders, directives, policies, regulations, standards, and guidance when authenticating users and processes.</t>
        </r>
      </text>
    </comment>
    <comment ref="AH94" authorId="0" shapeId="0" xr:uid="{00000000-0006-0000-0600-00007E010000}">
      <text>
        <r>
          <rPr>
            <sz val="11"/>
            <rFont val="Calibri"/>
          </rPr>
          <t>tc Server UI must be configured to use the https scheme.</t>
        </r>
      </text>
    </comment>
    <comment ref="AI94" authorId="0" shapeId="0" xr:uid="{00000000-0006-0000-0600-00007F010000}">
      <text>
        <r>
          <rPr>
            <sz val="11"/>
            <rFont val="Calibri"/>
          </rPr>
          <t>tc Server CaSa must be configured to use the https scheme.</t>
        </r>
      </text>
    </comment>
    <comment ref="AJ94" authorId="0" shapeId="0" xr:uid="{00000000-0006-0000-0600-000080010000}">
      <text>
        <r>
          <rPr>
            <sz val="11"/>
            <rFont val="Calibri"/>
          </rPr>
          <t>tc Server API must be configured to use the https scheme.</t>
        </r>
      </text>
    </comment>
    <comment ref="AK94" authorId="0" shapeId="0" xr:uid="{00000000-0006-0000-0600-000081010000}">
      <text>
        <r>
          <rPr>
            <sz val="11"/>
            <rFont val="Calibri"/>
          </rPr>
          <t>tc Server UI must use NSA Suite A cryptography when encrypting data that must be compartmentalized.</t>
        </r>
      </text>
    </comment>
    <comment ref="AL94" authorId="0" shapeId="0" xr:uid="{00000000-0006-0000-0600-000082010000}">
      <text>
        <r>
          <rPr>
            <sz val="11"/>
            <rFont val="Calibri"/>
          </rPr>
          <t>tc Server CaSa must use NSA Suite A cryptography when encrypting data that must be compartmentalized.</t>
        </r>
      </text>
    </comment>
    <comment ref="AM94" authorId="0" shapeId="0" xr:uid="{00000000-0006-0000-0600-000083010000}">
      <text>
        <r>
          <rPr>
            <sz val="11"/>
            <rFont val="Calibri"/>
          </rPr>
          <t>tc Server API must use NSA Suite A cryptography when encrypting data that must be compartmentalized.</t>
        </r>
      </text>
    </comment>
    <comment ref="AN94" authorId="0" shapeId="0" xr:uid="{00000000-0006-0000-0600-000084010000}">
      <text>
        <r>
          <rPr>
            <sz val="11"/>
            <rFont val="Calibri"/>
          </rPr>
          <t>tc Server UI must employ cryptographic mechanisms (TLS/DTLS/SSL) preventing the unauthorized disclosure of information during transmission.</t>
        </r>
      </text>
    </comment>
    <comment ref="AO94" authorId="0" shapeId="0" xr:uid="{00000000-0006-0000-0600-000085010000}">
      <text>
        <r>
          <rPr>
            <sz val="11"/>
            <rFont val="Calibri"/>
          </rPr>
          <t>tc Server CaSa must employ cryptographic mechanisms (TLS/DTLS/SSL) preventing the unauthorized disclosure of information during transmission.</t>
        </r>
      </text>
    </comment>
    <comment ref="AP94" authorId="0" shapeId="0" xr:uid="{00000000-0006-0000-0600-000086010000}">
      <text>
        <r>
          <rPr>
            <sz val="11"/>
            <rFont val="Calibri"/>
          </rPr>
          <t>tc Server API must employ cryptographic mechanisms (TLS/DTLS/SSL) preventing the unauthorized disclosure of information during transmission.</t>
        </r>
      </text>
    </comment>
    <comment ref="AQ94" authorId="0" shapeId="0" xr:uid="{00000000-0006-0000-0600-000087010000}">
      <text>
        <r>
          <rPr>
            <sz val="11"/>
            <rFont val="Calibri"/>
          </rPr>
          <t>tc Server UI must set sslEnabledProtocols to an approved Transport Layer Security (TLS) version.</t>
        </r>
      </text>
    </comment>
    <comment ref="AR94" authorId="0" shapeId="0" xr:uid="{00000000-0006-0000-0600-000088010000}">
      <text>
        <r>
          <rPr>
            <sz val="11"/>
            <rFont val="Calibri"/>
          </rPr>
          <t>tc Server CaSa must set sslEnabledProtocols to an approved Transport Layer Security (TLS) version.</t>
        </r>
      </text>
    </comment>
    <comment ref="AS94" authorId="0" shapeId="0" xr:uid="{00000000-0006-0000-0600-000089010000}">
      <text>
        <r>
          <rPr>
            <sz val="11"/>
            <rFont val="Calibri"/>
          </rPr>
          <t>tc Server API must set sslEnabledProtocols to an approved Transport Layer Security (TLS) version.</t>
        </r>
      </text>
    </comment>
    <comment ref="AT94" authorId="0" shapeId="0" xr:uid="{00000000-0006-0000-0600-00008A010000}">
      <text>
        <r>
          <rPr>
            <sz val="11"/>
            <rFont val="Calibri"/>
          </rPr>
          <t>tc Server UI must remove all export ciphers to protect the confidentiality and integrity of transmitted information.</t>
        </r>
      </text>
    </comment>
    <comment ref="AU94" authorId="0" shapeId="0" xr:uid="{00000000-0006-0000-0600-00008B010000}">
      <text>
        <r>
          <rPr>
            <sz val="11"/>
            <rFont val="Calibri"/>
          </rPr>
          <t>tc Server CaSa must remove all export ciphers to protect the confidentiality and integrity of transmitted information.</t>
        </r>
      </text>
    </comment>
    <comment ref="AV94" authorId="0" shapeId="0" xr:uid="{00000000-0006-0000-0600-00008C010000}">
      <text>
        <r>
          <rPr>
            <sz val="11"/>
            <rFont val="Calibri"/>
          </rPr>
          <t>tc Server API must remove all export ciphers to protect the confidentiality and integrity of transmitted information.</t>
        </r>
      </text>
    </comment>
    <comment ref="AW94" authorId="0" shapeId="0" xr:uid="{00000000-0006-0000-0600-00008D010000}">
      <text>
        <r>
          <rPr>
            <sz val="11"/>
            <rFont val="Calibri"/>
          </rPr>
          <t>tc Server UI must use approved Transport Layer Security (TLS) versions to maintain the confidentiality and integrity of information during reception.</t>
        </r>
      </text>
    </comment>
    <comment ref="J97" authorId="0" shapeId="0" xr:uid="{00000000-0006-0000-0600-00008E010000}">
      <text>
        <r>
          <rPr>
            <sz val="11"/>
            <rFont val="Calibri"/>
          </rPr>
          <t>The vRealize Operations server must only allow the use of DoD PKI-established certificate authorities for verification of the establishment of protected sessions.</t>
        </r>
      </text>
    </comment>
    <comment ref="K97" authorId="0" shapeId="0" xr:uid="{00000000-0006-0000-0600-00008F010000}">
      <text>
        <r>
          <rPr>
            <sz val="11"/>
            <rFont val="Calibri"/>
          </rPr>
          <t>tc Server ALL must validate client certificates, to include all intermediary CAs, to ensure the client-presented certificates are valid and that the entire trust chain is valid.  If PKI is not being used, this check is Not Applicable.</t>
        </r>
      </text>
    </comment>
    <comment ref="J99" authorId="0" shapeId="0" xr:uid="{00000000-0006-0000-0600-000090010000}">
      <text>
        <r>
          <rPr>
            <sz val="11"/>
            <rFont val="Calibri"/>
          </rPr>
          <t>Security-relevant software updates to the vROps PostgreSQL DB must be installed within the time period directed by an authoritative source (e.g. IAVM, CTOs, DTMs, and STIGs).</t>
        </r>
      </text>
    </comment>
    <comment ref="K99" authorId="0" shapeId="0" xr:uid="{00000000-0006-0000-0600-000091010000}">
      <text>
        <r>
          <rPr>
            <sz val="11"/>
            <rFont val="Calibri"/>
          </rPr>
          <t>The RPM package management tool must cryptographically verify the authenticity of all software packages during installation.</t>
        </r>
      </text>
    </comment>
    <comment ref="L99" authorId="0" shapeId="0" xr:uid="{00000000-0006-0000-0600-000092010000}">
      <text>
        <r>
          <rPr>
            <sz val="11"/>
            <rFont val="Calibri"/>
          </rPr>
          <t>tc Server ALL must have all security-relevant software updates installed within the configured time period directed by an authoritative source.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The vRealize Operations server must use an enterprise user management system to uniquely identify and authenticate users (or processes acting on behalf of organizational users).</t>
        </r>
      </text>
    </comment>
    <comment ref="I89" authorId="0" shapeId="0" xr:uid="{00000000-0006-0000-0700-00001E000000}">
      <text>
        <r>
          <rPr>
            <sz val="11"/>
            <rFont val="Calibri"/>
          </rPr>
          <t>If passwords are used for authentication, the vROps PostgreSQL DB must transmit only encrypted representations of passwords.</t>
        </r>
      </text>
    </comment>
    <comment ref="J89" authorId="0" shapeId="0" xr:uid="{00000000-0006-0000-0700-000002000000}">
      <text>
        <r>
          <rPr>
            <sz val="11"/>
            <rFont val="Calibri"/>
          </rPr>
          <t>The SLES for vRealize must provide automated mechanisms for supporting account management functions.</t>
        </r>
      </text>
    </comment>
    <comment ref="K89" authorId="0" shapeId="0" xr:uid="{00000000-0006-0000-0700-000003000000}">
      <text>
        <r>
          <rPr>
            <sz val="11"/>
            <rFont val="Calibri"/>
          </rPr>
          <t>The SLES for vRealize must automatically remove or disable temporary user accounts after 72 hours.</t>
        </r>
      </text>
    </comment>
    <comment ref="L89" authorId="0" shapeId="0" xr:uid="{00000000-0006-0000-0700-000004000000}">
      <text>
        <r>
          <rPr>
            <sz val="11"/>
            <rFont val="Calibri"/>
          </rPr>
          <t>The SLES for vRealize must enforce the limit of three consecutive invalid logon attempts by a user during a 15-minute time period.</t>
        </r>
      </text>
    </comment>
    <comment ref="M89" authorId="0" shapeId="0" xr:uid="{00000000-0006-0000-0700-000005000000}">
      <text>
        <r>
          <rPr>
            <sz val="11"/>
            <rFont val="Calibri"/>
          </rPr>
          <t>The SLES for vRealize must enforce password complexity by requiring that at least one upper-case character be used.</t>
        </r>
      </text>
    </comment>
    <comment ref="N89" authorId="0" shapeId="0" xr:uid="{00000000-0006-0000-0700-000006000000}">
      <text>
        <r>
          <rPr>
            <sz val="11"/>
            <rFont val="Calibri"/>
          </rPr>
          <t>The SLES for vRealize must enforce password complexity by requiring that at least one lower-case character be used.</t>
        </r>
      </text>
    </comment>
    <comment ref="O89" authorId="0" shapeId="0" xr:uid="{00000000-0006-0000-0700-000007000000}">
      <text>
        <r>
          <rPr>
            <sz val="11"/>
            <rFont val="Calibri"/>
          </rPr>
          <t>The SLES for vRealize must enforce password complexity by requiring that at least one numeric character be used.</t>
        </r>
      </text>
    </comment>
    <comment ref="P89" authorId="0" shapeId="0" xr:uid="{00000000-0006-0000-0700-000008000000}">
      <text>
        <r>
          <rPr>
            <sz val="11"/>
            <rFont val="Calibri"/>
          </rPr>
          <t>The SLES for vRealize must require the change of at least eight of the total number of characters when passwords are changed.</t>
        </r>
      </text>
    </comment>
    <comment ref="Q89" authorId="0" shapeId="0" xr:uid="{00000000-0006-0000-0700-000009000000}">
      <text>
        <r>
          <rPr>
            <sz val="11"/>
            <rFont val="Calibri"/>
          </rPr>
          <t>The SLES for vRealize must store only encrypted representations of passwords.</t>
        </r>
      </text>
    </comment>
    <comment ref="R89" authorId="0" shapeId="0" xr:uid="{00000000-0006-0000-0700-00000A000000}">
      <text>
        <r>
          <rPr>
            <sz val="11"/>
            <rFont val="Calibri"/>
          </rPr>
          <t>SLES for vRealize must enforce 24 hours/1 day as the minimum password lifetime.</t>
        </r>
      </text>
    </comment>
    <comment ref="S89" authorId="0" shapeId="0" xr:uid="{00000000-0006-0000-0700-00000B000000}">
      <text>
        <r>
          <rPr>
            <sz val="11"/>
            <rFont val="Calibri"/>
          </rPr>
          <t>Users must not be able to change passwords more than once every 24 hours.</t>
        </r>
      </text>
    </comment>
    <comment ref="T89" authorId="0" shapeId="0" xr:uid="{00000000-0006-0000-0700-00000C000000}">
      <text>
        <r>
          <rPr>
            <sz val="11"/>
            <rFont val="Calibri"/>
          </rPr>
          <t>SLES for vRealize must enforce a 60-day maximum password lifetime restriction.</t>
        </r>
      </text>
    </comment>
    <comment ref="U89" authorId="0" shapeId="0" xr:uid="{00000000-0006-0000-0700-00000D000000}">
      <text>
        <r>
          <rPr>
            <sz val="11"/>
            <rFont val="Calibri"/>
          </rPr>
          <t>User passwords must be changed at least every 60 days.</t>
        </r>
      </text>
    </comment>
    <comment ref="V89" authorId="0" shapeId="0" xr:uid="{00000000-0006-0000-0700-00000E000000}">
      <text>
        <r>
          <rPr>
            <sz val="11"/>
            <rFont val="Calibri"/>
          </rPr>
          <t>The SLES for vRealize must prohibit password reuse for a minimum of five generations.</t>
        </r>
      </text>
    </comment>
    <comment ref="W89" authorId="0" shapeId="0" xr:uid="{00000000-0006-0000-0700-00000F000000}">
      <text>
        <r>
          <rPr>
            <sz val="11"/>
            <rFont val="Calibri"/>
          </rPr>
          <t>The SLES for vRealize must prohibit password reuse for a minimum of five generations. Ensure the old passwords are being stored.</t>
        </r>
      </text>
    </comment>
    <comment ref="X89" authorId="0" shapeId="0" xr:uid="{00000000-0006-0000-0700-000010000000}">
      <text>
        <r>
          <rPr>
            <sz val="11"/>
            <rFont val="Calibri"/>
          </rPr>
          <t>The SLES for vRealize must enforce a minimum 15-character password length.</t>
        </r>
      </text>
    </comment>
    <comment ref="Y89" authorId="0" shapeId="0" xr:uid="{00000000-0006-0000-0700-000011000000}">
      <text>
        <r>
          <rPr>
            <sz val="11"/>
            <rFont val="Calibri"/>
          </rPr>
          <t>Duplicate User IDs (UIDs) must not exist for users within the organization.</t>
        </r>
      </text>
    </comment>
    <comment ref="Z89" authorId="0" shapeId="0" xr:uid="{00000000-0006-0000-0700-000012000000}">
      <text>
        <r>
          <rPr>
            <sz val="11"/>
            <rFont val="Calibri"/>
          </rPr>
          <t>The SLES for vRealize must disable account identifiers of individuals and roles (such as root) after 35 days of inactivity after password expiration.</t>
        </r>
      </text>
    </comment>
    <comment ref="AA89" authorId="0" shapeId="0" xr:uid="{00000000-0006-0000-0700-000013000000}">
      <text>
        <r>
          <rPr>
            <sz val="11"/>
            <rFont val="Calibri"/>
          </rPr>
          <t>The SLES for vRealize must uniquely identify and must authenticate non-organizational users (or processes acting on behalf of non-organizational users).</t>
        </r>
      </text>
    </comment>
    <comment ref="AB89" authorId="0" shapeId="0" xr:uid="{00000000-0006-0000-0700-000014000000}">
      <text>
        <r>
          <rPr>
            <sz val="11"/>
            <rFont val="Calibri"/>
          </rPr>
          <t>The SLES for vRealize must uniquely identify and must authenticate non-organizational users (or processes acting on behalf of non-organizational users).</t>
        </r>
      </text>
    </comment>
    <comment ref="AC89" authorId="0" shapeId="0" xr:uid="{00000000-0006-0000-0700-000015000000}">
      <text>
        <r>
          <rPr>
            <sz val="11"/>
            <rFont val="Calibri"/>
          </rPr>
          <t>The SLES for vRealize must be configured such that emergency administrator accounts are never automatically removed or disabled.</t>
        </r>
      </text>
    </comment>
    <comment ref="AD89" authorId="0" shapeId="0" xr:uid="{00000000-0006-0000-0700-000016000000}">
      <text>
        <r>
          <rPr>
            <sz val="11"/>
            <rFont val="Calibri"/>
          </rPr>
          <t>The SLES for vRealize must enforce password complexity by requiring that at least one special character be used.</t>
        </r>
      </text>
    </comment>
    <comment ref="AE89" authorId="0" shapeId="0" xr:uid="{00000000-0006-0000-0700-000017000000}">
      <text>
        <r>
          <rPr>
            <sz val="11"/>
            <rFont val="Calibri"/>
          </rPr>
          <t>The SLES for vRealize must automatically lock an account until the locked account is released by an administrator when three unsuccessful logon attempts in 15 minutes occur.</t>
        </r>
      </text>
    </comment>
    <comment ref="AF89" authorId="0" shapeId="0" xr:uid="{00000000-0006-0000-0700-000018000000}">
      <text>
        <r>
          <rPr>
            <sz val="11"/>
            <rFont val="Calibri"/>
          </rPr>
          <t>The SLES for vRealize must prevent the use of dictionary words for passwords.</t>
        </r>
      </text>
    </comment>
    <comment ref="AG89" authorId="0" shapeId="0" xr:uid="{00000000-0006-0000-0700-000019000000}">
      <text>
        <r>
          <rPr>
            <sz val="11"/>
            <rFont val="Calibri"/>
          </rPr>
          <t>The SLES for vRealize must prevent the use of dictionary words for passwords.</t>
        </r>
      </text>
    </comment>
    <comment ref="AH89" authorId="0" shapeId="0" xr:uid="{00000000-0006-0000-0700-00001A000000}">
      <text>
        <r>
          <rPr>
            <sz val="11"/>
            <rFont val="Calibri"/>
          </rPr>
          <t>The SLES for vRealize must prevent the use of dictionary words for passwords.</t>
        </r>
      </text>
    </comment>
    <comment ref="AI89" authorId="0" shapeId="0" xr:uid="{00000000-0006-0000-0700-00001B000000}">
      <text>
        <r>
          <rPr>
            <sz val="11"/>
            <rFont val="Calibri"/>
          </rPr>
          <t>The SLES for vRealize must enforce a delay of at least 4 seconds between logon prompts following a failed logon attempt.</t>
        </r>
      </text>
    </comment>
    <comment ref="AJ89" authorId="0" shapeId="0" xr:uid="{00000000-0006-0000-0700-00001C000000}">
      <text>
        <r>
          <rPr>
            <sz val="11"/>
            <rFont val="Calibri"/>
          </rPr>
          <t>The SLES for vRealize must enforce a delay of at least 4 seconds between logon prompts following a failed logon attempt.</t>
        </r>
      </text>
    </comment>
    <comment ref="AK89" authorId="0" shapeId="0" xr:uid="{00000000-0006-0000-0700-00001D000000}">
      <text>
        <r>
          <rPr>
            <sz val="11"/>
            <rFont val="Calibri"/>
          </rPr>
          <t>The SLES for vRealize must enforce a delay of at least 4 seconds between logon prompts following a failed logon attempt.</t>
        </r>
      </text>
    </comment>
    <comment ref="H91" authorId="0" shapeId="0" xr:uid="{00000000-0006-0000-0700-00001F000000}">
      <text>
        <r>
          <rPr>
            <sz val="11"/>
            <rFont val="Calibri"/>
          </rPr>
          <t>The vRealize Operations server must use an enterprise user management system to uniquely identify and authenticate users (or processes acting on behalf of organizational users).</t>
        </r>
      </text>
    </comment>
    <comment ref="I91" authorId="0" shapeId="0" xr:uid="{00000000-0006-0000-0700-000020000000}">
      <text>
        <r>
          <rPr>
            <sz val="11"/>
            <rFont val="Calibri"/>
          </rPr>
          <t>The vROps PostgreSQL DB must uniquely identify and authenticate organizational users (or processes acting on behalf of organizational users).</t>
        </r>
      </text>
    </comment>
    <comment ref="J91" authorId="0" shapeId="0" xr:uid="{00000000-0006-0000-0700-000021000000}">
      <text>
        <r>
          <rPr>
            <sz val="11"/>
            <rFont val="Calibri"/>
          </rPr>
          <t>The SLES for vRealize must use mechanisms meeting the requirements of applicable federal laws, Executive orders, directives, policies, regulations, standards, and guidance for authentication to a cryptographic module.</t>
        </r>
      </text>
    </comment>
    <comment ref="K91" authorId="0" shapeId="0" xr:uid="{00000000-0006-0000-0700-000022000000}">
      <text>
        <r>
          <rPr>
            <sz val="11"/>
            <rFont val="Calibri"/>
          </rPr>
          <t>The SLES for vRealize must employ strong authenticators in the establishment of nonlocal maintenance and diagnostic sessions.</t>
        </r>
      </text>
    </comment>
    <comment ref="L91" authorId="0" shapeId="0" xr:uid="{00000000-0006-0000-0700-000023000000}">
      <text>
        <r>
          <rPr>
            <sz val="11"/>
            <rFont val="Calibri"/>
          </rPr>
          <t>tc Server UI must not use the tomcat-users XML database for user management.</t>
        </r>
      </text>
    </comment>
    <comment ref="M91" authorId="0" shapeId="0" xr:uid="{00000000-0006-0000-0700-000024000000}">
      <text>
        <r>
          <rPr>
            <sz val="11"/>
            <rFont val="Calibri"/>
          </rPr>
          <t>tc Server CaSa must not use the tomcat-users XML database for user management.</t>
        </r>
      </text>
    </comment>
    <comment ref="N91" authorId="0" shapeId="0" xr:uid="{00000000-0006-0000-0700-000025000000}">
      <text>
        <r>
          <rPr>
            <sz val="11"/>
            <rFont val="Calibri"/>
          </rPr>
          <t>tc Server API must not use the tomcat-users XML database for user management.</t>
        </r>
      </text>
    </comment>
    <comment ref="O91" authorId="0" shapeId="0" xr:uid="{00000000-0006-0000-0700-000026000000}">
      <text>
        <r>
          <rPr>
            <sz val="11"/>
            <rFont val="Calibri"/>
          </rPr>
          <t>tc Server ALL must be configured to the correct user authentication source.</t>
        </r>
      </text>
    </comment>
    <comment ref="H92" authorId="0" shapeId="0" xr:uid="{00000000-0006-0000-0700-000027000000}">
      <text>
        <r>
          <rPr>
            <sz val="11"/>
            <rFont val="Calibri"/>
          </rPr>
          <t>The vRealize Operations server must only allow the use of DoD PKI-established certificate authorities for verification of the establishment of protected sessions.</t>
        </r>
      </text>
    </comment>
    <comment ref="I92" authorId="0" shapeId="0" xr:uid="{00000000-0006-0000-0700-000028000000}">
      <text>
        <r>
          <rPr>
            <sz val="11"/>
            <rFont val="Calibri"/>
          </rPr>
          <t>The SLES for vRealize must employ strong authenticators in the establishment of nonlocal maintenance and diagnostic sessions.</t>
        </r>
      </text>
    </comment>
    <comment ref="J92" authorId="0" shapeId="0" xr:uid="{00000000-0006-0000-0700-000029000000}">
      <text>
        <r>
          <rPr>
            <sz val="11"/>
            <rFont val="Calibri"/>
          </rPr>
          <t>tc Server ALL must validate client certificates, to include all intermediary CAs, to ensure the client-presented certificates are valid and that the entire trust chain is valid.  If PKI is not being used, this check is Not Applicable.</t>
        </r>
      </text>
    </comment>
    <comment ref="K92" authorId="0" shapeId="0" xr:uid="{00000000-0006-0000-0700-00002A000000}">
      <text>
        <r>
          <rPr>
            <sz val="11"/>
            <rFont val="Calibri"/>
          </rPr>
          <t>tc Server UI must be configured with a cross-site scripting (XSS) filter.</t>
        </r>
      </text>
    </comment>
    <comment ref="L92" authorId="0" shapeId="0" xr:uid="{00000000-0006-0000-0700-00002B000000}">
      <text>
        <r>
          <rPr>
            <sz val="11"/>
            <rFont val="Calibri"/>
          </rPr>
          <t>tc Server CaSa must be configured with a cross-site scripting (XSS) filter.</t>
        </r>
      </text>
    </comment>
    <comment ref="M92" authorId="0" shapeId="0" xr:uid="{00000000-0006-0000-0700-00002C000000}">
      <text>
        <r>
          <rPr>
            <sz val="11"/>
            <rFont val="Calibri"/>
          </rPr>
          <t>tc Server API must be configured with a cross-site scripting (XSS) filter.</t>
        </r>
      </text>
    </comment>
    <comment ref="N92" authorId="0" shapeId="0" xr:uid="{00000000-0006-0000-0700-00002D000000}">
      <text>
        <r>
          <rPr>
            <sz val="11"/>
            <rFont val="Calibri"/>
          </rPr>
          <t>tc Server UI must set the useHttpOnly parameter.</t>
        </r>
      </text>
    </comment>
    <comment ref="O92" authorId="0" shapeId="0" xr:uid="{00000000-0006-0000-0700-00002E000000}">
      <text>
        <r>
          <rPr>
            <sz val="11"/>
            <rFont val="Calibri"/>
          </rPr>
          <t>tc Server CaSa must set the useHttpOnly parameter.</t>
        </r>
      </text>
    </comment>
    <comment ref="P92" authorId="0" shapeId="0" xr:uid="{00000000-0006-0000-0700-00002F000000}">
      <text>
        <r>
          <rPr>
            <sz val="11"/>
            <rFont val="Calibri"/>
          </rPr>
          <t>tc Server API must set the useHttpOnly parameter.</t>
        </r>
      </text>
    </comment>
    <comment ref="H93" authorId="0" shapeId="0" xr:uid="{00000000-0006-0000-0700-000030000000}">
      <text>
        <r>
          <rPr>
            <sz val="11"/>
            <rFont val="Calibri"/>
          </rPr>
          <t>The vRealize Operations server session timeout must be configured.</t>
        </r>
      </text>
    </comment>
    <comment ref="I93" authorId="0" shapeId="0" xr:uid="{00000000-0006-0000-0700-000031000000}">
      <text>
        <r>
          <rPr>
            <sz val="11"/>
            <rFont val="Calibri"/>
          </rPr>
          <t>vROps PostgreSQL DB objects (including but not limited to tables, indexes, storage, stored procedures, functions, triggers, links to software external to the DBMS, etc.) must be owned by vROps PostgreSQL DB principals authorized for ownership.</t>
        </r>
      </text>
    </comment>
    <comment ref="J93" authorId="0" shapeId="0" xr:uid="{00000000-0006-0000-0700-000032000000}">
      <text>
        <r>
          <rPr>
            <sz val="11"/>
            <rFont val="Calibri"/>
          </rPr>
          <t>The role(s)/group(s) used to modify database structure (including but not necessarily limited to tables, indexes, storage, etc.) and logic modules (stored procedures, functions, triggers, links to software external to the vROps PostgreSQL DB, etc.) must be restricted to authorized users.</t>
        </r>
      </text>
    </comment>
    <comment ref="K93" authorId="0" shapeId="0" xr:uid="{00000000-0006-0000-0700-000033000000}">
      <text>
        <r>
          <rPr>
            <sz val="11"/>
            <rFont val="Calibri"/>
          </rPr>
          <t>vROps PostgreSQL DB contents must be protected from unauthorized and unintended information transfer by enforcement of a data-transfer policy.</t>
        </r>
      </text>
    </comment>
    <comment ref="L93" authorId="0" shapeId="0" xr:uid="{00000000-0006-0000-0700-000034000000}">
      <text>
        <r>
          <rPr>
            <sz val="11"/>
            <rFont val="Calibri"/>
          </rPr>
          <t>The vROps PostgreSQL DB must enforce access restrictions associated with changes to the configuration of the DBMS or database(s).</t>
        </r>
      </text>
    </comment>
    <comment ref="M93" authorId="0" shapeId="0" xr:uid="{00000000-0006-0000-0700-000035000000}">
      <text>
        <r>
          <rPr>
            <sz val="11"/>
            <rFont val="Calibri"/>
          </rPr>
          <t>The SLES for vRealize must limit the number of concurrent sessions to ten for all accounts and/or account types.</t>
        </r>
      </text>
    </comment>
    <comment ref="N93" authorId="0" shapeId="0" xr:uid="{00000000-0006-0000-0700-000036000000}">
      <text>
        <r>
          <rPr>
            <sz val="11"/>
            <rFont val="Calibri"/>
          </rPr>
          <t>The SLES for vRealize must initiate a session lock after a 15-minute period of inactivity for all connection types.</t>
        </r>
      </text>
    </comment>
    <comment ref="O93" authorId="0" shapeId="0" xr:uid="{00000000-0006-0000-0700-000037000000}">
      <text>
        <r>
          <rPr>
            <sz val="11"/>
            <rFont val="Calibri"/>
          </rPr>
          <t>The SLES for vRealize must initiate a session lock after a 15-minute period of inactivity for an SSH connection.</t>
        </r>
      </text>
    </comment>
    <comment ref="P93" authorId="0" shapeId="0" xr:uid="{00000000-0006-0000-0700-000038000000}">
      <text>
        <r>
          <rPr>
            <sz val="11"/>
            <rFont val="Calibri"/>
          </rPr>
          <t>The SLES for vRealize must prevent direct logon into the root account.</t>
        </r>
      </text>
    </comment>
    <comment ref="Q93" authorId="0" shapeId="0" xr:uid="{00000000-0006-0000-0700-000039000000}">
      <text>
        <r>
          <rPr>
            <sz val="11"/>
            <rFont val="Calibri"/>
          </rPr>
          <t>The SLES for vRealize must terminate all sessions and network connections related to nonlocal maintenance when nonlocal maintenance is completed.</t>
        </r>
      </text>
    </comment>
    <comment ref="R93" authorId="0" shapeId="0" xr:uid="{00000000-0006-0000-0700-00003A000000}">
      <text>
        <r>
          <rPr>
            <sz val="11"/>
            <rFont val="Calibri"/>
          </rPr>
          <t>The SLES for vRealize must terminate all network connections associated with a communications session at the end of the session, or as follows: for in-band management sessions (privileged sessions), the session must be terminated after 10 minutes of inactivity; and for user sessions (non-privileged session), the session must be terminated after 15 minutes of inactivity, except to fulfill documented and validated mission requirements.</t>
        </r>
      </text>
    </comment>
    <comment ref="S93" authorId="0" shapeId="0" xr:uid="{00000000-0006-0000-0700-00003B000000}">
      <text>
        <r>
          <rPr>
            <sz val="11"/>
            <rFont val="Calibri"/>
          </rPr>
          <t>The SLES for vRealize must automatically terminate a user session after inactivity time-outs have expired or at shutdown.</t>
        </r>
      </text>
    </comment>
    <comment ref="T93" authorId="0" shapeId="0" xr:uid="{00000000-0006-0000-0700-00003C000000}">
      <text>
        <r>
          <rPr>
            <sz val="11"/>
            <rFont val="Calibri"/>
          </rPr>
          <t>tc Server UI must limit the amount of time that each TCP connection is kept alive.</t>
        </r>
      </text>
    </comment>
    <comment ref="U93" authorId="0" shapeId="0" xr:uid="{00000000-0006-0000-0700-00003D000000}">
      <text>
        <r>
          <rPr>
            <sz val="11"/>
            <rFont val="Calibri"/>
          </rPr>
          <t>tc Server CaSa must limit the amount of time that each TCP connection is kept alive.</t>
        </r>
      </text>
    </comment>
    <comment ref="V93" authorId="0" shapeId="0" xr:uid="{00000000-0006-0000-0700-00003E000000}">
      <text>
        <r>
          <rPr>
            <sz val="11"/>
            <rFont val="Calibri"/>
          </rPr>
          <t>tc Server API must limit the amount of time that each TCP connection is kept alive.</t>
        </r>
      </text>
    </comment>
    <comment ref="W93" authorId="0" shapeId="0" xr:uid="{00000000-0006-0000-0700-00003F000000}">
      <text>
        <r>
          <rPr>
            <sz val="11"/>
            <rFont val="Calibri"/>
          </rPr>
          <t>tc Server UI must limit the number of times that each TCP connection is kept alive.</t>
        </r>
      </text>
    </comment>
    <comment ref="X93" authorId="0" shapeId="0" xr:uid="{00000000-0006-0000-0700-000040000000}">
      <text>
        <r>
          <rPr>
            <sz val="11"/>
            <rFont val="Calibri"/>
          </rPr>
          <t>tc Server CaSa must limit the number of times that each TCP connection is kept alive.</t>
        </r>
      </text>
    </comment>
    <comment ref="Y93" authorId="0" shapeId="0" xr:uid="{00000000-0006-0000-0700-000041000000}">
      <text>
        <r>
          <rPr>
            <sz val="11"/>
            <rFont val="Calibri"/>
          </rPr>
          <t>tc Server API must limit the number of times that each TCP connection is kept alive.</t>
        </r>
      </text>
    </comment>
    <comment ref="Z93" authorId="0" shapeId="0" xr:uid="{00000000-0006-0000-0700-000042000000}">
      <text>
        <r>
          <rPr>
            <sz val="11"/>
            <rFont val="Calibri"/>
          </rPr>
          <t>tc Server ALL must only allow authenticated system administrators to have access to the keystore.</t>
        </r>
      </text>
    </comment>
    <comment ref="AA93" authorId="0" shapeId="0" xr:uid="{00000000-0006-0000-0700-000043000000}">
      <text>
        <r>
          <rPr>
            <sz val="11"/>
            <rFont val="Calibri"/>
          </rPr>
          <t>tc Server ALL must only allow authenticated system administrators to have access to the truststore.</t>
        </r>
      </text>
    </comment>
    <comment ref="AB93" authorId="0" shapeId="0" xr:uid="{00000000-0006-0000-0700-000044000000}">
      <text>
        <r>
          <rPr>
            <sz val="11"/>
            <rFont val="Calibri"/>
          </rPr>
          <t>tc Server UI accounts accessing the directory tree, the shell, or other operating system functions and utilities must be administrative accounts.</t>
        </r>
      </text>
    </comment>
    <comment ref="AC93" authorId="0" shapeId="0" xr:uid="{00000000-0006-0000-0700-000045000000}">
      <text>
        <r>
          <rPr>
            <sz val="11"/>
            <rFont val="Calibri"/>
          </rPr>
          <t>tc Server CaSa accounts accessing the directory tree, the shell, or other operating system functions and utilities must be administrative accounts.</t>
        </r>
      </text>
    </comment>
    <comment ref="AD93" authorId="0" shapeId="0" xr:uid="{00000000-0006-0000-0700-000046000000}">
      <text>
        <r>
          <rPr>
            <sz val="11"/>
            <rFont val="Calibri"/>
          </rPr>
          <t>tc Server API accounts accessing the directory tree, the shell, or other operating system functions and utilities must be administrative accounts.</t>
        </r>
      </text>
    </comment>
    <comment ref="AE93" authorId="0" shapeId="0" xr:uid="{00000000-0006-0000-0700-000047000000}">
      <text>
        <r>
          <rPr>
            <sz val="11"/>
            <rFont val="Calibri"/>
          </rPr>
          <t>tc Server UI web server application directories must not be accessible to anonymous user.</t>
        </r>
      </text>
    </comment>
    <comment ref="AF93" authorId="0" shapeId="0" xr:uid="{00000000-0006-0000-0700-000048000000}">
      <text>
        <r>
          <rPr>
            <sz val="11"/>
            <rFont val="Calibri"/>
          </rPr>
          <t>tc Server CaSa web server application directories must not be accessible to anonymous user.</t>
        </r>
      </text>
    </comment>
    <comment ref="AG93" authorId="0" shapeId="0" xr:uid="{00000000-0006-0000-0700-000049000000}">
      <text>
        <r>
          <rPr>
            <sz val="11"/>
            <rFont val="Calibri"/>
          </rPr>
          <t>tc Server API web server application directories must not be accessible to anonymous user.</t>
        </r>
      </text>
    </comment>
    <comment ref="AH93" authorId="0" shapeId="0" xr:uid="{00000000-0006-0000-0700-00004A000000}">
      <text>
        <r>
          <rPr>
            <sz val="11"/>
            <rFont val="Calibri"/>
          </rPr>
          <t>tc Server UI must set an inactive timeout for sessions.</t>
        </r>
      </text>
    </comment>
    <comment ref="AI93" authorId="0" shapeId="0" xr:uid="{00000000-0006-0000-0700-00004B000000}">
      <text>
        <r>
          <rPr>
            <sz val="11"/>
            <rFont val="Calibri"/>
          </rPr>
          <t>tc Server CaSa must set an inactive timeout for sessions.</t>
        </r>
      </text>
    </comment>
    <comment ref="AJ93" authorId="0" shapeId="0" xr:uid="{00000000-0006-0000-0700-00004C000000}">
      <text>
        <r>
          <rPr>
            <sz val="11"/>
            <rFont val="Calibri"/>
          </rPr>
          <t>tc Server API must set an inactive timeout for sessions.</t>
        </r>
      </text>
    </comment>
    <comment ref="H111" authorId="0" shapeId="0" xr:uid="{00000000-0006-0000-0700-00004D000000}">
      <text>
        <r>
          <rPr>
            <sz val="11"/>
            <rFont val="Calibri"/>
          </rPr>
          <t>The vROps PostgreSQL DB must use NIST FIPS 140-2 validated cryptographic modules for cryptographic operations.</t>
        </r>
      </text>
    </comment>
    <comment ref="I111" authorId="0" shapeId="0" xr:uid="{00000000-0006-0000-0700-000058000000}">
      <text>
        <r>
          <rPr>
            <sz val="11"/>
            <rFont val="Calibri"/>
          </rPr>
          <t>The vROps PostgreSQL DB must implement NIST FIPS 140-2 validated cryptographic modules to provision digital signatures.</t>
        </r>
      </text>
    </comment>
    <comment ref="J111" authorId="0" shapeId="0" xr:uid="{00000000-0006-0000-0700-000059000000}">
      <text>
        <r>
          <rPr>
            <sz val="11"/>
            <rFont val="Calibri"/>
          </rPr>
          <t>The vROps PostgreSQL DB must implement NIST FIPS 140-2 validated cryptographic modules to generate and validate cryptographic hashes.</t>
        </r>
      </text>
    </comment>
    <comment ref="K111" authorId="0" shapeId="0" xr:uid="{00000000-0006-0000-0700-00005A000000}">
      <text>
        <r>
          <rPr>
            <sz val="11"/>
            <rFont val="Calibri"/>
          </rPr>
          <t>The vROps PostgreSQL DB must implement NIST FIPS 140-2 validated cryptographic modules to protect unclassified information requiring confidentiality and cryptographic protection, in accordance with the data owners requirements.</t>
        </r>
      </text>
    </comment>
    <comment ref="L111" authorId="0" shapeId="0" xr:uid="{00000000-0006-0000-0700-00005B000000}">
      <text>
        <r>
          <rPr>
            <sz val="11"/>
            <rFont val="Calibri"/>
          </rPr>
          <t>The SLES for vRealize must implement DoD-approved encryption to protect the confidentiality of remote access sessions - SSH Daemon.</t>
        </r>
      </text>
    </comment>
    <comment ref="M111" authorId="0" shapeId="0" xr:uid="{00000000-0006-0000-0700-00005C000000}">
      <text>
        <r>
          <rPr>
            <sz val="11"/>
            <rFont val="Calibri"/>
          </rPr>
          <t>The SLES for vRealize must implement DoD-approved encryption to protect the confidentiality of remote access sessions - SSH Client.</t>
        </r>
      </text>
    </comment>
    <comment ref="N111" authorId="0" shapeId="0" xr:uid="{00000000-0006-0000-0700-00005D000000}">
      <text>
        <r>
          <rPr>
            <sz val="11"/>
            <rFont val="Calibri"/>
          </rPr>
          <t>The SLES for vRealize must use cryptographic mechanisms to protect the integrity of audit tools.</t>
        </r>
      </text>
    </comment>
    <comment ref="O111" authorId="0" shapeId="0" xr:uid="{00000000-0006-0000-0700-00005E000000}">
      <text>
        <r>
          <rPr>
            <sz val="11"/>
            <rFont val="Calibri"/>
          </rPr>
          <t>The SLES for vRealize must implement cryptographic mechanisms to protect the integrity of nonlocal maintenance and diagnostic communications, when used for nonlocal maintenance sessions.</t>
        </r>
      </text>
    </comment>
    <comment ref="P111" authorId="0" shapeId="0" xr:uid="{00000000-0006-0000-0700-00005F000000}">
      <text>
        <r>
          <rPr>
            <sz val="11"/>
            <rFont val="Calibri"/>
          </rPr>
          <t>The SLES for vRealize must implement cryptographic mechanisms to protect the confidentiality of nonlocal maintenance and diagnostic communications, when used for nonlocal maintenance sessions.</t>
        </r>
      </text>
    </comment>
    <comment ref="Q111" authorId="0" shapeId="0" xr:uid="{00000000-0006-0000-0700-000060000000}">
      <text>
        <r>
          <rPr>
            <sz val="11"/>
            <rFont val="Calibri"/>
          </rPr>
          <t>The SLES for vRealize must implement NSA-approved cryptography to protect classified information in accordance with applicable federal laws, Executive Orders, directives, policies, regulations, and standards.</t>
        </r>
      </text>
    </comment>
    <comment ref="R111" authorId="0" shapeId="0" xr:uid="{00000000-0006-0000-0700-000061000000}">
      <text>
        <r>
          <rPr>
            <sz val="11"/>
            <rFont val="Calibri"/>
          </rPr>
          <t>The SLES for vRealize must protect the confidentiality and integrity of transmitted information.</t>
        </r>
      </text>
    </comment>
    <comment ref="S111" authorId="0" shapeId="0" xr:uid="{00000000-0006-0000-0700-000062000000}">
      <text>
        <r>
          <rPr>
            <sz val="11"/>
            <rFont val="Calibri"/>
          </rPr>
          <t>The SLES for vRealize must implement NIST FIPS-validated cryptography for the following: to provision digital signatures, to generate cryptographic hashes, and to protect unclassified information requiring confidentiality and cryptographic protection in accordance with applicable federal laws, Executive Orders, directives, policies, regulations, and standards.</t>
        </r>
      </text>
    </comment>
    <comment ref="T111" authorId="0" shapeId="0" xr:uid="{00000000-0006-0000-0700-000063000000}">
      <text>
        <r>
          <rPr>
            <sz val="11"/>
            <rFont val="Calibri"/>
          </rPr>
          <t>tc Server UI must be configured with FIPS 140-2 compliant ciphers for HTTPS connections.</t>
        </r>
      </text>
    </comment>
    <comment ref="U111" authorId="0" shapeId="0" xr:uid="{00000000-0006-0000-0700-000064000000}">
      <text>
        <r>
          <rPr>
            <sz val="11"/>
            <rFont val="Calibri"/>
          </rPr>
          <t>tc Server CaSa must be configured with FIPS 140-2 compliant ciphers for HTTPS connections.</t>
        </r>
      </text>
    </comment>
    <comment ref="V111" authorId="0" shapeId="0" xr:uid="{00000000-0006-0000-0700-000065000000}">
      <text>
        <r>
          <rPr>
            <sz val="11"/>
            <rFont val="Calibri"/>
          </rPr>
          <t>tc Server API must be configured with FIPS 140-2 compliant ciphers for HTTPS connections.</t>
        </r>
      </text>
    </comment>
    <comment ref="W111" authorId="0" shapeId="0" xr:uid="{00000000-0006-0000-0700-000066000000}">
      <text>
        <r>
          <rPr>
            <sz val="11"/>
            <rFont val="Calibri"/>
          </rPr>
          <t>tc Server UI must use cryptography to protect the integrity of remote sessions.</t>
        </r>
      </text>
    </comment>
    <comment ref="X111" authorId="0" shapeId="0" xr:uid="{00000000-0006-0000-0700-000067000000}">
      <text>
        <r>
          <rPr>
            <sz val="11"/>
            <rFont val="Calibri"/>
          </rPr>
          <t>tc Server CaSa must use cryptography to protect the integrity of remote sessions.</t>
        </r>
      </text>
    </comment>
    <comment ref="Y111" authorId="0" shapeId="0" xr:uid="{00000000-0006-0000-0700-000068000000}">
      <text>
        <r>
          <rPr>
            <sz val="11"/>
            <rFont val="Calibri"/>
          </rPr>
          <t>tc Server API must use cryptography to protect the integrity of remote sessions.</t>
        </r>
      </text>
    </comment>
    <comment ref="Z111" authorId="0" shapeId="0" xr:uid="{00000000-0006-0000-0700-000069000000}">
      <text>
        <r>
          <rPr>
            <sz val="11"/>
            <rFont val="Calibri"/>
          </rPr>
          <t>tc Server UI must encrypt passwords during transmission.</t>
        </r>
      </text>
    </comment>
    <comment ref="AA111" authorId="0" shapeId="0" xr:uid="{00000000-0006-0000-0700-00006A000000}">
      <text>
        <r>
          <rPr>
            <sz val="11"/>
            <rFont val="Calibri"/>
          </rPr>
          <t>tc Server CaSa must encrypt passwords during transmission.</t>
        </r>
      </text>
    </comment>
    <comment ref="AB111" authorId="0" shapeId="0" xr:uid="{00000000-0006-0000-0700-00006B000000}">
      <text>
        <r>
          <rPr>
            <sz val="11"/>
            <rFont val="Calibri"/>
          </rPr>
          <t>tc Server API must encrypt passwords during transmission.</t>
        </r>
      </text>
    </comment>
    <comment ref="AC111" authorId="0" shapeId="0" xr:uid="{00000000-0006-0000-0700-00006C000000}">
      <text>
        <r>
          <rPr>
            <sz val="11"/>
            <rFont val="Calibri"/>
          </rPr>
          <t>tc Server UI must use cryptographic modules that meet the requirements of applicable federal laws, Executive Orders, directives, policies, regulations, standards, and guidance when authenticating users and processes.</t>
        </r>
      </text>
    </comment>
    <comment ref="AD111" authorId="0" shapeId="0" xr:uid="{00000000-0006-0000-0700-00006D000000}">
      <text>
        <r>
          <rPr>
            <sz val="11"/>
            <rFont val="Calibri"/>
          </rPr>
          <t>tc Server CaSa must use cryptographic modules that meet the requirements of applicable federal laws, Executive Orders, directives, policies, regulations, standards, and guidance when authenticating users and processes.</t>
        </r>
      </text>
    </comment>
    <comment ref="AE111" authorId="0" shapeId="0" xr:uid="{00000000-0006-0000-0700-00006E000000}">
      <text>
        <r>
          <rPr>
            <sz val="11"/>
            <rFont val="Calibri"/>
          </rPr>
          <t>tc Server API must use cryptographic modules that meet the requirements of applicable federal laws, Executive Orders, directives, policies, regulations, standards, and guidance when authenticating users and processes.</t>
        </r>
      </text>
    </comment>
    <comment ref="AF111" authorId="0" shapeId="0" xr:uid="{00000000-0006-0000-0700-00006F000000}">
      <text>
        <r>
          <rPr>
            <sz val="11"/>
            <rFont val="Calibri"/>
          </rPr>
          <t>tc Server UI must be configured to use the https scheme.</t>
        </r>
      </text>
    </comment>
    <comment ref="AG111" authorId="0" shapeId="0" xr:uid="{00000000-0006-0000-0700-000070000000}">
      <text>
        <r>
          <rPr>
            <sz val="11"/>
            <rFont val="Calibri"/>
          </rPr>
          <t>tc Server CaSa must be configured to use the https scheme.</t>
        </r>
      </text>
    </comment>
    <comment ref="AH111" authorId="0" shapeId="0" xr:uid="{00000000-0006-0000-0700-000071000000}">
      <text>
        <r>
          <rPr>
            <sz val="11"/>
            <rFont val="Calibri"/>
          </rPr>
          <t>tc Server API must be configured to use the https scheme.</t>
        </r>
      </text>
    </comment>
    <comment ref="AI111" authorId="0" shapeId="0" xr:uid="{00000000-0006-0000-0700-000072000000}">
      <text>
        <r>
          <rPr>
            <sz val="11"/>
            <rFont val="Calibri"/>
          </rPr>
          <t>tc Server UI must use NSA Suite A cryptography when encrypting data that must be compartmentalized.</t>
        </r>
      </text>
    </comment>
    <comment ref="AJ111" authorId="0" shapeId="0" xr:uid="{00000000-0006-0000-0700-000073000000}">
      <text>
        <r>
          <rPr>
            <sz val="11"/>
            <rFont val="Calibri"/>
          </rPr>
          <t>tc Server CaSa must use NSA Suite A cryptography when encrypting data that must be compartmentalized.</t>
        </r>
      </text>
    </comment>
    <comment ref="AK111" authorId="0" shapeId="0" xr:uid="{00000000-0006-0000-0700-000074000000}">
      <text>
        <r>
          <rPr>
            <sz val="11"/>
            <rFont val="Calibri"/>
          </rPr>
          <t>tc Server API must use NSA Suite A cryptography when encrypting data that must be compartmentalized.</t>
        </r>
      </text>
    </comment>
    <comment ref="AL111" authorId="0" shapeId="0" xr:uid="{00000000-0006-0000-0700-00004E000000}">
      <text>
        <r>
          <rPr>
            <sz val="11"/>
            <rFont val="Calibri"/>
          </rPr>
          <t>tc Server UI must employ cryptographic mechanisms (TLS/DTLS/SSL) preventing the unauthorized disclosure of information during transmission.</t>
        </r>
      </text>
    </comment>
    <comment ref="AM111" authorId="0" shapeId="0" xr:uid="{00000000-0006-0000-0700-00004F000000}">
      <text>
        <r>
          <rPr>
            <sz val="11"/>
            <rFont val="Calibri"/>
          </rPr>
          <t>tc Server CaSa must employ cryptographic mechanisms (TLS/DTLS/SSL) preventing the unauthorized disclosure of information during transmission.</t>
        </r>
      </text>
    </comment>
    <comment ref="AN111" authorId="0" shapeId="0" xr:uid="{00000000-0006-0000-0700-000050000000}">
      <text>
        <r>
          <rPr>
            <sz val="11"/>
            <rFont val="Calibri"/>
          </rPr>
          <t>tc Server API must employ cryptographic mechanisms (TLS/DTLS/SSL) preventing the unauthorized disclosure of information during transmission.</t>
        </r>
      </text>
    </comment>
    <comment ref="AO111" authorId="0" shapeId="0" xr:uid="{00000000-0006-0000-0700-000051000000}">
      <text>
        <r>
          <rPr>
            <sz val="11"/>
            <rFont val="Calibri"/>
          </rPr>
          <t>tc Server UI session IDs must be sent to the client using SSL/TLS.</t>
        </r>
      </text>
    </comment>
    <comment ref="AP111" authorId="0" shapeId="0" xr:uid="{00000000-0006-0000-0700-000052000000}">
      <text>
        <r>
          <rPr>
            <sz val="11"/>
            <rFont val="Calibri"/>
          </rPr>
          <t>tc Server CaSa session IDs must be sent to the client using SSL/TLS.</t>
        </r>
      </text>
    </comment>
    <comment ref="AQ111" authorId="0" shapeId="0" xr:uid="{00000000-0006-0000-0700-000053000000}">
      <text>
        <r>
          <rPr>
            <sz val="11"/>
            <rFont val="Calibri"/>
          </rPr>
          <t>tc Server API session IDs must be sent to the client using SSL/TLS.</t>
        </r>
      </text>
    </comment>
    <comment ref="AR111" authorId="0" shapeId="0" xr:uid="{00000000-0006-0000-0700-000054000000}">
      <text>
        <r>
          <rPr>
            <sz val="11"/>
            <rFont val="Calibri"/>
          </rPr>
          <t>tc Server UI must set the secure flag for cookies.</t>
        </r>
      </text>
    </comment>
    <comment ref="AS111" authorId="0" shapeId="0" xr:uid="{00000000-0006-0000-0700-000055000000}">
      <text>
        <r>
          <rPr>
            <sz val="11"/>
            <rFont val="Calibri"/>
          </rPr>
          <t>tc Server CaSa must set the secure flag for cookies.</t>
        </r>
      </text>
    </comment>
    <comment ref="AT111" authorId="0" shapeId="0" xr:uid="{00000000-0006-0000-0700-000056000000}">
      <text>
        <r>
          <rPr>
            <sz val="11"/>
            <rFont val="Calibri"/>
          </rPr>
          <t>tc Server API must set the secure flag for cookies.</t>
        </r>
      </text>
    </comment>
    <comment ref="AU111" authorId="0" shapeId="0" xr:uid="{00000000-0006-0000-0700-000057000000}">
      <text>
        <r>
          <rPr>
            <sz val="11"/>
            <rFont val="Calibri"/>
          </rPr>
          <t>tc Server UI must set sslEnabledProtocols to an approved Transport Layer Security (TLS) version.</t>
        </r>
      </text>
    </comment>
    <comment ref="H113" authorId="0" shapeId="0" xr:uid="{00000000-0006-0000-0700-000075000000}">
      <text>
        <r>
          <rPr>
            <sz val="11"/>
            <rFont val="Calibri"/>
          </rPr>
          <t>The vROps PostgreSQL DB must limit the number of concurrent sessions to an organization-defined number per user for all accounts and/or account types.</t>
        </r>
      </text>
    </comment>
    <comment ref="I113" authorId="0" shapeId="0" xr:uid="{00000000-0006-0000-0700-000076000000}">
      <text>
        <r>
          <rPr>
            <sz val="11"/>
            <rFont val="Calibri"/>
          </rPr>
          <t>The SLES for vRealize must manage excess capacity, bandwidth, or other redundancy to limit the effects of information flooding types of Denial of Service (DoS) attacks.</t>
        </r>
      </text>
    </comment>
    <comment ref="J113" authorId="0" shapeId="0" xr:uid="{00000000-0006-0000-0700-000077000000}">
      <text>
        <r>
          <rPr>
            <sz val="11"/>
            <rFont val="Calibri"/>
          </rPr>
          <t>The SLES for vRealize must manage excess capacity, bandwidth, or other redundancy to limit the effects of information flooding types of Denial of Service (DoS) attacks.</t>
        </r>
      </text>
    </comment>
    <comment ref="K113" authorId="0" shapeId="0" xr:uid="{00000000-0006-0000-0700-000078000000}">
      <text>
        <r>
          <rPr>
            <sz val="11"/>
            <rFont val="Calibri"/>
          </rPr>
          <t>tc Server UI must limit the number of maximum concurrent connections permitted.</t>
        </r>
      </text>
    </comment>
    <comment ref="L113" authorId="0" shapeId="0" xr:uid="{00000000-0006-0000-0700-000079000000}">
      <text>
        <r>
          <rPr>
            <sz val="11"/>
            <rFont val="Calibri"/>
          </rPr>
          <t>tc Server CaSa must limit the number of maximum concurrent connections permitted.</t>
        </r>
      </text>
    </comment>
    <comment ref="M113" authorId="0" shapeId="0" xr:uid="{00000000-0006-0000-0700-00007A000000}">
      <text>
        <r>
          <rPr>
            <sz val="11"/>
            <rFont val="Calibri"/>
          </rPr>
          <t>tc Server API must limit the number of maximum concurrent connections permitted.</t>
        </r>
      </text>
    </comment>
    <comment ref="N113" authorId="0" shapeId="0" xr:uid="{00000000-0006-0000-0700-00007B000000}">
      <text>
        <r>
          <rPr>
            <sz val="11"/>
            <rFont val="Calibri"/>
          </rPr>
          <t>tc Server UI must be configured with memory leak protection.</t>
        </r>
      </text>
    </comment>
    <comment ref="O113" authorId="0" shapeId="0" xr:uid="{00000000-0006-0000-0700-00007C000000}">
      <text>
        <r>
          <rPr>
            <sz val="11"/>
            <rFont val="Calibri"/>
          </rPr>
          <t>tc Server CaSa must be configured with memory leak protection.</t>
        </r>
      </text>
    </comment>
    <comment ref="P113" authorId="0" shapeId="0" xr:uid="{00000000-0006-0000-0700-00007D000000}">
      <text>
        <r>
          <rPr>
            <sz val="11"/>
            <rFont val="Calibri"/>
          </rPr>
          <t>tc Server API must be configured with memory leak protection.</t>
        </r>
      </text>
    </comment>
    <comment ref="H115" authorId="0" shapeId="0" xr:uid="{00000000-0006-0000-0700-00007E000000}">
      <text>
        <r>
          <rPr>
            <sz val="11"/>
            <rFont val="Calibri"/>
          </rPr>
          <t>The RPM package management tool must cryptographically verify the authenticity of all software packages during installation.</t>
        </r>
      </text>
    </comment>
    <comment ref="I115" authorId="0" shapeId="0" xr:uid="{00000000-0006-0000-0700-00007F000000}">
      <text>
        <r>
          <rPr>
            <sz val="11"/>
            <rFont val="Calibri"/>
          </rPr>
          <t>tc Server ALL server files must be verified for their integrity (e.g., checksums and hashes) before becoming part of the production web server.</t>
        </r>
      </text>
    </comment>
    <comment ref="J115" authorId="0" shapeId="0" xr:uid="{00000000-0006-0000-0700-000080000000}">
      <text>
        <r>
          <rPr>
            <sz val="11"/>
            <rFont val="Calibri"/>
          </rPr>
          <t>tc Server ALL expansion modules must be fully reviewed, tested, and signed before they can exist on a production web server.</t>
        </r>
      </text>
    </comment>
    <comment ref="H142" authorId="0" shapeId="0" xr:uid="{00000000-0006-0000-0700-000081000000}">
      <text>
        <r>
          <rPr>
            <sz val="11"/>
            <rFont val="Calibri"/>
          </rPr>
          <t>The vRealize Operations server must be configured to perform complete application deployments.</t>
        </r>
      </text>
    </comment>
    <comment ref="I142" authorId="0" shapeId="0" xr:uid="{00000000-0006-0000-0700-000082000000}">
      <text>
        <r>
          <rPr>
            <sz val="11"/>
            <rFont val="Calibri"/>
          </rPr>
          <t>The vRealize Operations appliance must be configured in accordance with the security configuration settings based on DoD security configuration or implementation guidance, including STIGs, NSA configuration guides, CTOs, and DTMs.</t>
        </r>
      </text>
    </comment>
    <comment ref="J142" authorId="0" shapeId="0" xr:uid="{00000000-0006-0000-0700-000083000000}">
      <text>
        <r>
          <rPr>
            <sz val="11"/>
            <rFont val="Calibri"/>
          </rPr>
          <t>Default demonstration and sample databases, database objects, and applications must be removed.</t>
        </r>
      </text>
    </comment>
    <comment ref="K142" authorId="0" shapeId="0" xr:uid="{00000000-0006-0000-0700-000084000000}">
      <text>
        <r>
          <rPr>
            <sz val="11"/>
            <rFont val="Calibri"/>
          </rPr>
          <t>In the event of a system failure, the vROps PostgreSQL DB must preserve any information necessary to determine cause of failure and any information necessary to return to operations with least disruption to mission processes.</t>
        </r>
      </text>
    </comment>
    <comment ref="L142" authorId="0" shapeId="0" xr:uid="{00000000-0006-0000-0700-000085000000}">
      <text>
        <r>
          <rPr>
            <sz val="11"/>
            <rFont val="Calibri"/>
          </rPr>
          <t>The vROps PostgreSQL DB must isolate security functions from non-security functions.</t>
        </r>
      </text>
    </comment>
    <comment ref="M142" authorId="0" shapeId="0" xr:uid="{00000000-0006-0000-0700-000086000000}">
      <text>
        <r>
          <rPr>
            <sz val="11"/>
            <rFont val="Calibri"/>
          </rPr>
          <t>The vROps PostgreSQL DB must reveal detailed error messages only to the ISSO, ISSM, SA and DBA.</t>
        </r>
      </text>
    </comment>
    <comment ref="N142" authorId="0" shapeId="0" xr:uid="{00000000-0006-0000-0700-000087000000}">
      <text>
        <r>
          <rPr>
            <sz val="11"/>
            <rFont val="Calibri"/>
          </rPr>
          <t>The vROps PostgreSQL DB must disable network functions, ports, protocols, and services deemed by the organization to be nonsecure, in accord with the Ports, Protocols, and Services Management (PPSM) guidance.</t>
        </r>
      </text>
    </comment>
    <comment ref="O142" authorId="0" shapeId="0" xr:uid="{00000000-0006-0000-0700-000088000000}">
      <text>
        <r>
          <rPr>
            <sz val="11"/>
            <rFont val="Calibri"/>
          </rPr>
          <t>When invalid inputs are received, the vROps PostgreSQL DB must behave in a predictable and documented manner that reflects organizational and system objectives.</t>
        </r>
      </text>
    </comment>
    <comment ref="P142" authorId="0" shapeId="0" xr:uid="{00000000-0006-0000-0700-000089000000}">
      <text>
        <r>
          <rPr>
            <sz val="11"/>
            <rFont val="Calibri"/>
          </rPr>
          <t>The vROps PostgreSQL DB must be configured in accordance with the security configuration settings based on DoD security configuration and implementation guidance, including STIGs, NSA configuration guides, CTOs, DTMs, and IAVMs.</t>
        </r>
      </text>
    </comment>
    <comment ref="Q142" authorId="0" shapeId="0" xr:uid="{00000000-0006-0000-0700-00008A000000}">
      <text>
        <r>
          <rPr>
            <sz val="11"/>
            <rFont val="Calibri"/>
          </rPr>
          <t>Global settings defined in common- {account,auth,password,session} must be applied in the pam.d definition files.</t>
        </r>
      </text>
    </comment>
    <comment ref="R142" authorId="0" shapeId="0" xr:uid="{00000000-0006-0000-0700-00008B000000}">
      <text>
        <r>
          <rPr>
            <sz val="11"/>
            <rFont val="Calibri"/>
          </rPr>
          <t>The SLES for vRealize must require root password authentication upon booting into single-user mode.</t>
        </r>
      </text>
    </comment>
    <comment ref="S142" authorId="0" shapeId="0" xr:uid="{00000000-0006-0000-0700-00008C000000}">
      <text>
        <r>
          <rPr>
            <sz val="11"/>
            <rFont val="Calibri"/>
          </rPr>
          <t>Bootloader authentication must be enabled to prevent users without privilege to gain access restricted file system resources.</t>
        </r>
      </text>
    </comment>
    <comment ref="T142" authorId="0" shapeId="0" xr:uid="{00000000-0006-0000-0700-00008D000000}">
      <text>
        <r>
          <rPr>
            <sz val="11"/>
            <rFont val="Calibri"/>
          </rPr>
          <t>The SLES for the vRealize boot loader configuration file(s) must have mode 0600 or less permissive.</t>
        </r>
      </text>
    </comment>
    <comment ref="U142" authorId="0" shapeId="0" xr:uid="{00000000-0006-0000-0700-00008E000000}">
      <text>
        <r>
          <rPr>
            <sz val="11"/>
            <rFont val="Calibri"/>
          </rPr>
          <t>The SLES for the vRealize boot loader configuration files must be owned by root.</t>
        </r>
      </text>
    </comment>
    <comment ref="V142" authorId="0" shapeId="0" xr:uid="{00000000-0006-0000-0700-00008F000000}">
      <text>
        <r>
          <rPr>
            <sz val="11"/>
            <rFont val="Calibri"/>
          </rPr>
          <t>The SLES for the vRealize boot loader configuration file(s) must be group-owned by root, bin, sys, or system.</t>
        </r>
      </text>
    </comment>
    <comment ref="W142" authorId="0" shapeId="0" xr:uid="{00000000-0006-0000-0700-000090000000}">
      <text>
        <r>
          <rPr>
            <sz val="11"/>
            <rFont val="Calibri"/>
          </rPr>
          <t>The Bluetooth protocol handler must be disabled or not installed.</t>
        </r>
      </text>
    </comment>
    <comment ref="X142" authorId="0" shapeId="0" xr:uid="{00000000-0006-0000-0700-000091000000}">
      <text>
        <r>
          <rPr>
            <sz val="11"/>
            <rFont val="Calibri"/>
          </rPr>
          <t>The SLES for vRealize must have USB Mass Storage disabled unless needed.</t>
        </r>
      </text>
    </comment>
    <comment ref="Y142" authorId="0" shapeId="0" xr:uid="{00000000-0006-0000-0700-000092000000}">
      <text>
        <r>
          <rPr>
            <sz val="11"/>
            <rFont val="Calibri"/>
          </rPr>
          <t>The SLES for vRealize must have USB disabled unless needed.</t>
        </r>
      </text>
    </comment>
    <comment ref="Z142" authorId="0" shapeId="0" xr:uid="{00000000-0006-0000-0700-000093000000}">
      <text>
        <r>
          <rPr>
            <sz val="11"/>
            <rFont val="Calibri"/>
          </rPr>
          <t>The telnet-server package must not be installed.</t>
        </r>
      </text>
    </comment>
    <comment ref="AA142" authorId="0" shapeId="0" xr:uid="{00000000-0006-0000-0700-000094000000}">
      <text>
        <r>
          <rPr>
            <sz val="11"/>
            <rFont val="Calibri"/>
          </rPr>
          <t>The rsh-server package must not be installed.</t>
        </r>
      </text>
    </comment>
    <comment ref="AB142" authorId="0" shapeId="0" xr:uid="{00000000-0006-0000-0700-000095000000}">
      <text>
        <r>
          <rPr>
            <sz val="11"/>
            <rFont val="Calibri"/>
          </rPr>
          <t>The ypserv package must not be installed.</t>
        </r>
      </text>
    </comment>
    <comment ref="AC142" authorId="0" shapeId="0" xr:uid="{00000000-0006-0000-0700-000096000000}">
      <text>
        <r>
          <rPr>
            <sz val="11"/>
            <rFont val="Calibri"/>
          </rPr>
          <t>The yast2-tftp-server package must not be installed.</t>
        </r>
      </text>
    </comment>
    <comment ref="AD142" authorId="0" shapeId="0" xr:uid="{00000000-0006-0000-0700-000097000000}">
      <text>
        <r>
          <rPr>
            <sz val="11"/>
            <rFont val="Calibri"/>
          </rPr>
          <t>The Reliable Datagram Sockets (RDS) protocol must be disabled or not installed unless required.</t>
        </r>
      </text>
    </comment>
    <comment ref="AE142" authorId="0" shapeId="0" xr:uid="{00000000-0006-0000-0700-000098000000}">
      <text>
        <r>
          <rPr>
            <sz val="11"/>
            <rFont val="Calibri"/>
          </rPr>
          <t>The Transparent Inter-Process Communication (TIPC) must be disabled or not installed.</t>
        </r>
      </text>
    </comment>
    <comment ref="AF142" authorId="0" shapeId="0" xr:uid="{00000000-0006-0000-0700-000099000000}">
      <text>
        <r>
          <rPr>
            <sz val="11"/>
            <rFont val="Calibri"/>
          </rPr>
          <t>The xinetd service must be disabled if no network services utilizing it are enabled.</t>
        </r>
      </text>
    </comment>
    <comment ref="AG142" authorId="0" shapeId="0" xr:uid="{00000000-0006-0000-0700-00009A000000}">
      <text>
        <r>
          <rPr>
            <sz val="11"/>
            <rFont val="Calibri"/>
          </rPr>
          <t>The ypbind service must not be running if no network services utilizing it are enabled.</t>
        </r>
      </text>
    </comment>
    <comment ref="AH142" authorId="0" shapeId="0" xr:uid="{00000000-0006-0000-0700-00009B000000}">
      <text>
        <r>
          <rPr>
            <sz val="11"/>
            <rFont val="Calibri"/>
          </rPr>
          <t>NIS/NIS+/yp files must be owned by root, sys, or bin.</t>
        </r>
      </text>
    </comment>
    <comment ref="AI142" authorId="0" shapeId="0" xr:uid="{00000000-0006-0000-0700-00009C000000}">
      <text>
        <r>
          <rPr>
            <sz val="11"/>
            <rFont val="Calibri"/>
          </rPr>
          <t>The NIS/NIS+/yp command files must have mode 0755 or less permissive.</t>
        </r>
      </text>
    </comment>
    <comment ref="AJ142" authorId="0" shapeId="0" xr:uid="{00000000-0006-0000-0700-00009D000000}">
      <text>
        <r>
          <rPr>
            <sz val="11"/>
            <rFont val="Calibri"/>
          </rPr>
          <t>The SLES for vRealize must not use UDP for NIS/NIS+.</t>
        </r>
      </text>
    </comment>
    <comment ref="AK142" authorId="0" shapeId="0" xr:uid="{00000000-0006-0000-0700-00009E000000}">
      <text>
        <r>
          <rPr>
            <sz val="11"/>
            <rFont val="Calibri"/>
          </rPr>
          <t>NIS maps must be protected through hard-to-guess domain names.</t>
        </r>
      </text>
    </comment>
    <comment ref="AL142" authorId="0" shapeId="0" xr:uid="{00000000-0006-0000-0700-00009F000000}">
      <text>
        <r>
          <rPr>
            <sz val="11"/>
            <rFont val="Calibri"/>
          </rPr>
          <t>Mail relaying must be restricted.</t>
        </r>
      </text>
    </comment>
    <comment ref="AM142" authorId="0" shapeId="0" xr:uid="{00000000-0006-0000-0700-0000A0000000}">
      <text>
        <r>
          <rPr>
            <sz val="11"/>
            <rFont val="Calibri"/>
          </rPr>
          <t>The alias files must be owned by root.</t>
        </r>
      </text>
    </comment>
    <comment ref="AN142" authorId="0" shapeId="0" xr:uid="{00000000-0006-0000-0700-0000A1000000}">
      <text>
        <r>
          <rPr>
            <sz val="11"/>
            <rFont val="Calibri"/>
          </rPr>
          <t>The alias files must be group-owned by root, or a system group.</t>
        </r>
      </text>
    </comment>
    <comment ref="AO142" authorId="0" shapeId="0" xr:uid="{00000000-0006-0000-0700-0000A2000000}">
      <text>
        <r>
          <rPr>
            <sz val="11"/>
            <rFont val="Calibri"/>
          </rPr>
          <t>The alias files must have mode 0644 or less permissive.</t>
        </r>
      </text>
    </comment>
    <comment ref="AP142" authorId="0" shapeId="0" xr:uid="{00000000-0006-0000-0700-0000A3000000}">
      <text>
        <r>
          <rPr>
            <sz val="11"/>
            <rFont val="Calibri"/>
          </rPr>
          <t>Files executed through a mail aliases file must be owned by root and must reside within a directory owned and writable only by root.</t>
        </r>
      </text>
    </comment>
    <comment ref="AQ142" authorId="0" shapeId="0" xr:uid="{00000000-0006-0000-0700-0000A4000000}">
      <text>
        <r>
          <rPr>
            <sz val="11"/>
            <rFont val="Calibri"/>
          </rPr>
          <t>Files executed through a mail aliases file must be group-owned by root, bin, sys, or system, and must reside within a directory group-owned by root, bin, sys, or system.</t>
        </r>
      </text>
    </comment>
    <comment ref="AR142" authorId="0" shapeId="0" xr:uid="{00000000-0006-0000-0700-0000A5000000}">
      <text>
        <r>
          <rPr>
            <sz val="11"/>
            <rFont val="Calibri"/>
          </rPr>
          <t>Files executed through a mail aliases file must have mode 0755 or less permissive.</t>
        </r>
      </text>
    </comment>
    <comment ref="AS142" authorId="0" shapeId="0" xr:uid="{00000000-0006-0000-0700-0000A6000000}">
      <text>
        <r>
          <rPr>
            <sz val="11"/>
            <rFont val="Calibri"/>
          </rPr>
          <t>The SMTP service log files must be owned by root.</t>
        </r>
      </text>
    </comment>
    <comment ref="AT142" authorId="0" shapeId="0" xr:uid="{00000000-0006-0000-0700-0000A7000000}">
      <text>
        <r>
          <rPr>
            <sz val="11"/>
            <rFont val="Calibri"/>
          </rPr>
          <t>The SMTP service log file must have mode 0644 or less permissive.</t>
        </r>
      </text>
    </comment>
    <comment ref="AU142" authorId="0" shapeId="0" xr:uid="{00000000-0006-0000-0700-0000A8000000}">
      <text>
        <r>
          <rPr>
            <sz val="11"/>
            <rFont val="Calibri"/>
          </rPr>
          <t>The SMTP service HELP command must not be enabled.</t>
        </r>
      </text>
    </comment>
    <comment ref="H143" authorId="0" shapeId="0" xr:uid="{00000000-0006-0000-0700-0000A9000000}">
      <text>
        <r>
          <rPr>
            <sz val="11"/>
            <rFont val="Calibri"/>
          </rPr>
          <t>Security-relevant software updates to the vROps PostgreSQL DB must be installed within the time period directed by an authoritative source (e.g. IAVM, CTOs, DTMs, and STIGs).</t>
        </r>
      </text>
    </comment>
    <comment ref="I143" authorId="0" shapeId="0" xr:uid="{00000000-0006-0000-0700-0000AA000000}">
      <text>
        <r>
          <rPr>
            <sz val="11"/>
            <rFont val="Calibri"/>
          </rPr>
          <t>tc Server ALL must have all security-relevant software updates installed within the configured time period directed by an authoritative source.</t>
        </r>
      </text>
    </comment>
    <comment ref="H145" authorId="0" shapeId="0" xr:uid="{00000000-0006-0000-0700-0000AB000000}">
      <text>
        <r>
          <rPr>
            <sz val="11"/>
            <rFont val="Calibri"/>
          </rPr>
          <t>The vROps PostgreSQL DB must provide audit record generation for DoD-defined auditable events within all DBMS/database components.</t>
        </r>
      </text>
    </comment>
    <comment ref="I145" authorId="0" shapeId="0" xr:uid="{00000000-0006-0000-0700-0000AC000000}">
      <text>
        <r>
          <rPr>
            <sz val="11"/>
            <rFont val="Calibri"/>
          </rPr>
          <t>The vROps PostgreSQL DB must be able to generate audit records when privileges/permissions are retrieved.</t>
        </r>
      </text>
    </comment>
    <comment ref="J145" authorId="0" shapeId="0" xr:uid="{00000000-0006-0000-0700-0000AD000000}">
      <text>
        <r>
          <rPr>
            <sz val="11"/>
            <rFont val="Calibri"/>
          </rPr>
          <t>The vROps PostgreSQL DB must initiate session auditing upon startup.</t>
        </r>
      </text>
    </comment>
    <comment ref="K145" authorId="0" shapeId="0" xr:uid="{00000000-0006-0000-0700-0000AE000000}">
      <text>
        <r>
          <rPr>
            <sz val="11"/>
            <rFont val="Calibri"/>
          </rPr>
          <t>The vROps PostgreSQL DB must provide authorized users to capture, record, and log all content related to a user session.</t>
        </r>
      </text>
    </comment>
    <comment ref="L145" authorId="0" shapeId="0" xr:uid="{00000000-0006-0000-0700-0000AF000000}">
      <text>
        <r>
          <rPr>
            <sz val="11"/>
            <rFont val="Calibri"/>
          </rPr>
          <t>The vROps PostgreSQL DB must produce audit records containing sufficient information to establish what type of events occurred.</t>
        </r>
      </text>
    </comment>
    <comment ref="M145" authorId="0" shapeId="0" xr:uid="{00000000-0006-0000-0700-0000B0000000}">
      <text>
        <r>
          <rPr>
            <sz val="11"/>
            <rFont val="Calibri"/>
          </rPr>
          <t>The vROps PostgreSQL DB must produce audit records containing time stamps to establish when the events occurred.</t>
        </r>
      </text>
    </comment>
    <comment ref="N145" authorId="0" shapeId="0" xr:uid="{00000000-0006-0000-0700-0000B1000000}">
      <text>
        <r>
          <rPr>
            <sz val="11"/>
            <rFont val="Calibri"/>
          </rPr>
          <t>The vROps PostgreSQL DB must produce audit records containing sufficient information to establish where the events occurred.</t>
        </r>
      </text>
    </comment>
    <comment ref="O145" authorId="0" shapeId="0" xr:uid="{00000000-0006-0000-0700-0000B2000000}">
      <text>
        <r>
          <rPr>
            <sz val="11"/>
            <rFont val="Calibri"/>
          </rPr>
          <t>The vROps PostgreSQL DB must produce audit records containing sufficient information to establish the sources (origins) of the events.</t>
        </r>
      </text>
    </comment>
    <comment ref="P145" authorId="0" shapeId="0" xr:uid="{00000000-0006-0000-0700-0000B3000000}">
      <text>
        <r>
          <rPr>
            <sz val="11"/>
            <rFont val="Calibri"/>
          </rPr>
          <t>The vROps PostgreSQL DB must produce audit records containing sufficient information to establish the outcome (success or failure) of the events.</t>
        </r>
      </text>
    </comment>
    <comment ref="Q145" authorId="0" shapeId="0" xr:uid="{00000000-0006-0000-0700-0000B4000000}">
      <text>
        <r>
          <rPr>
            <sz val="11"/>
            <rFont val="Calibri"/>
          </rPr>
          <t>The vROps PostgreSQL DB must produce audit records containing sufficient information to establish the identity of any user/subject or process associated with the event.</t>
        </r>
      </text>
    </comment>
    <comment ref="R145" authorId="0" shapeId="0" xr:uid="{00000000-0006-0000-0700-0000B5000000}">
      <text>
        <r>
          <rPr>
            <sz val="11"/>
            <rFont val="Calibri"/>
          </rPr>
          <t>The vROps PostgreSQL DB must include additional, more detailed, organization-defined information in the audit records for audit events identified by type, location, or subject.</t>
        </r>
      </text>
    </comment>
    <comment ref="S145" authorId="0" shapeId="0" xr:uid="{00000000-0006-0000-0700-0000B6000000}">
      <text>
        <r>
          <rPr>
            <sz val="11"/>
            <rFont val="Calibri"/>
          </rPr>
          <t>The vROps PostgreSQL DB must be configurable to overwrite audit log records, oldest first (First-In-First-Out - FIFO), in the event of unavailability of space for more audit log records.</t>
        </r>
      </text>
    </comment>
    <comment ref="T145" authorId="0" shapeId="0" xr:uid="{00000000-0006-0000-0700-0000B7000000}">
      <text>
        <r>
          <rPr>
            <sz val="11"/>
            <rFont val="Calibri"/>
          </rPr>
          <t>The audit information produced by the vROps PostgreSQL DB must be protected from unauthorized deletion.</t>
        </r>
      </text>
    </comment>
    <comment ref="U145" authorId="0" shapeId="0" xr:uid="{00000000-0006-0000-0700-0000B8000000}">
      <text>
        <r>
          <rPr>
            <sz val="11"/>
            <rFont val="Calibri"/>
          </rPr>
          <t>The vROps PostgreSQL DB must be configured to prohibit or restrict the use of organization-defined functions, ports, protocols, and/or services, as defined in the PPSM CAL and vulnerability assessments.</t>
        </r>
      </text>
    </comment>
    <comment ref="V145" authorId="0" shapeId="0" xr:uid="{00000000-0006-0000-0700-0000B9000000}">
      <text>
        <r>
          <rPr>
            <sz val="11"/>
            <rFont val="Calibri"/>
          </rPr>
          <t>If passwords are used for authentication, the vROps PostgreSQL DB must store only hashed, salted representations of passwords.</t>
        </r>
      </text>
    </comment>
    <comment ref="W145" authorId="0" shapeId="0" xr:uid="{00000000-0006-0000-0700-0000BA000000}">
      <text>
        <r>
          <rPr>
            <sz val="11"/>
            <rFont val="Calibri"/>
          </rPr>
          <t>The vROps PostgreSQL DB must utilize centralized management of the content captured in audit records generated by all components of the DBMS.</t>
        </r>
      </text>
    </comment>
    <comment ref="X145" authorId="0" shapeId="0" xr:uid="{00000000-0006-0000-0700-0000BB000000}">
      <text>
        <r>
          <rPr>
            <sz val="11"/>
            <rFont val="Calibri"/>
          </rPr>
          <t>The vROps PostgreSQL DB must provide centralized configuration of the content to be captured in audit records generated by all components of the DBMS.</t>
        </r>
      </text>
    </comment>
    <comment ref="Y145" authorId="0" shapeId="0" xr:uid="{00000000-0006-0000-0700-0000BC000000}">
      <text>
        <r>
          <rPr>
            <sz val="11"/>
            <rFont val="Calibri"/>
          </rPr>
          <t>The vROps PostgreSQL DB must record time stamps, in audit records and application data that can be mapped to Coordinated Universal Time (UTC, formerly GMT).</t>
        </r>
      </text>
    </comment>
    <comment ref="Z145" authorId="0" shapeId="0" xr:uid="{00000000-0006-0000-0700-0000BD000000}">
      <text>
        <r>
          <rPr>
            <sz val="11"/>
            <rFont val="Calibri"/>
          </rPr>
          <t>The vROps PostgreSQL DB must generate time stamps, for audit records and application data, with a minimum granularity of one second.</t>
        </r>
      </text>
    </comment>
    <comment ref="AA145" authorId="0" shapeId="0" xr:uid="{00000000-0006-0000-0700-0000BE000000}">
      <text>
        <r>
          <rPr>
            <sz val="11"/>
            <rFont val="Calibri"/>
          </rPr>
          <t>The vROps PostgreSQL DB must be able to generate audit records when security objects are accessed.</t>
        </r>
      </text>
    </comment>
    <comment ref="AB145" authorId="0" shapeId="0" xr:uid="{00000000-0006-0000-0700-0000BF000000}">
      <text>
        <r>
          <rPr>
            <sz val="11"/>
            <rFont val="Calibri"/>
          </rPr>
          <t>The vROps PostgreSQL DB must generate audit records when unsuccessful attempts to access security objects occur.</t>
        </r>
      </text>
    </comment>
    <comment ref="AC145" authorId="0" shapeId="0" xr:uid="{00000000-0006-0000-0700-0000C0000000}">
      <text>
        <r>
          <rPr>
            <sz val="11"/>
            <rFont val="Calibri"/>
          </rPr>
          <t>The vROps PostgreSQL DB must generate audit records when privileges/permissions are added.</t>
        </r>
      </text>
    </comment>
    <comment ref="AD145" authorId="0" shapeId="0" xr:uid="{00000000-0006-0000-0700-0000C1000000}">
      <text>
        <r>
          <rPr>
            <sz val="11"/>
            <rFont val="Calibri"/>
          </rPr>
          <t>The vROps PostgreSQL DB must generate audit records when unsuccessful attempts to add privileges/permissions occur.</t>
        </r>
      </text>
    </comment>
    <comment ref="AE145" authorId="0" shapeId="0" xr:uid="{00000000-0006-0000-0700-0000C2000000}">
      <text>
        <r>
          <rPr>
            <sz val="11"/>
            <rFont val="Calibri"/>
          </rPr>
          <t>The vROps PostgreSQL DB must generate audit records when privileges/permissions are modified.</t>
        </r>
      </text>
    </comment>
    <comment ref="AF145" authorId="0" shapeId="0" xr:uid="{00000000-0006-0000-0700-0000C3000000}">
      <text>
        <r>
          <rPr>
            <sz val="11"/>
            <rFont val="Calibri"/>
          </rPr>
          <t>The vROps PostgreSQL DB must generate audit records when unsuccessful attempts to modify privileges/permissions occur.</t>
        </r>
      </text>
    </comment>
    <comment ref="AG145" authorId="0" shapeId="0" xr:uid="{00000000-0006-0000-0700-0000C4000000}">
      <text>
        <r>
          <rPr>
            <sz val="11"/>
            <rFont val="Calibri"/>
          </rPr>
          <t>The vROps PostgreSQL DB must generate audit records when security objects are modified.</t>
        </r>
      </text>
    </comment>
    <comment ref="AH145" authorId="0" shapeId="0" xr:uid="{00000000-0006-0000-0700-0000C5000000}">
      <text>
        <r>
          <rPr>
            <sz val="11"/>
            <rFont val="Calibri"/>
          </rPr>
          <t>The vROps PostgreSQL DB must generate audit records when unsuccessful attempts to modify security objects occur.</t>
        </r>
      </text>
    </comment>
    <comment ref="AI145" authorId="0" shapeId="0" xr:uid="{00000000-0006-0000-0700-0000C6000000}">
      <text>
        <r>
          <rPr>
            <sz val="11"/>
            <rFont val="Calibri"/>
          </rPr>
          <t>The vROps PostgreSQL DB must generate audit records when privileges/permissions are deleted.</t>
        </r>
      </text>
    </comment>
    <comment ref="AJ145" authorId="0" shapeId="0" xr:uid="{00000000-0006-0000-0700-0000C7000000}">
      <text>
        <r>
          <rPr>
            <sz val="11"/>
            <rFont val="Calibri"/>
          </rPr>
          <t>The vROps PostgreSQL DB must generate audit records when unsuccessful attempts to delete privileges/permissions occur.</t>
        </r>
      </text>
    </comment>
    <comment ref="AK145" authorId="0" shapeId="0" xr:uid="{00000000-0006-0000-0700-0000C8000000}">
      <text>
        <r>
          <rPr>
            <sz val="11"/>
            <rFont val="Calibri"/>
          </rPr>
          <t>The vROps PostgreSQL DB must generate audit records when security objects are deleted.</t>
        </r>
      </text>
    </comment>
    <comment ref="AL145" authorId="0" shapeId="0" xr:uid="{00000000-0006-0000-0700-0000C9000000}">
      <text>
        <r>
          <rPr>
            <sz val="11"/>
            <rFont val="Calibri"/>
          </rPr>
          <t>The vROps PostgreSQL DB must generate audit records when unsuccessful attempts to delete security objects occur.</t>
        </r>
      </text>
    </comment>
    <comment ref="AM145" authorId="0" shapeId="0" xr:uid="{00000000-0006-0000-0700-0000CA000000}">
      <text>
        <r>
          <rPr>
            <sz val="11"/>
            <rFont val="Calibri"/>
          </rPr>
          <t>The vROps PostgreSQL DB must generate audit records when categories of information (e.g., classification levels/security levels) are deleted.</t>
        </r>
      </text>
    </comment>
    <comment ref="AN145" authorId="0" shapeId="0" xr:uid="{00000000-0006-0000-0700-0000CB000000}">
      <text>
        <r>
          <rPr>
            <sz val="11"/>
            <rFont val="Calibri"/>
          </rPr>
          <t>The vROps PostgreSQL DB must generate audit records when successful logons or connections occur.</t>
        </r>
      </text>
    </comment>
    <comment ref="AO145" authorId="0" shapeId="0" xr:uid="{00000000-0006-0000-0700-0000CC000000}">
      <text>
        <r>
          <rPr>
            <sz val="11"/>
            <rFont val="Calibri"/>
          </rPr>
          <t>The vROps PostgreSQL DB must generate audit records when unsuccessful logons or connection attempts occur.</t>
        </r>
      </text>
    </comment>
    <comment ref="AP145" authorId="0" shapeId="0" xr:uid="{00000000-0006-0000-0700-0000CD000000}">
      <text>
        <r>
          <rPr>
            <sz val="11"/>
            <rFont val="Calibri"/>
          </rPr>
          <t>The vROps PostgreSQL DB must generate audit records for all privileged activities or other system-level access.</t>
        </r>
      </text>
    </comment>
    <comment ref="AQ145" authorId="0" shapeId="0" xr:uid="{00000000-0006-0000-0700-0000CE000000}">
      <text>
        <r>
          <rPr>
            <sz val="11"/>
            <rFont val="Calibri"/>
          </rPr>
          <t>The vROps PostgreSQL DB must generate audit records when unsuccessful attempts to execute privileged activities or other system-level access occur.</t>
        </r>
      </text>
    </comment>
    <comment ref="AR145" authorId="0" shapeId="0" xr:uid="{00000000-0006-0000-0700-0000CF000000}">
      <text>
        <r>
          <rPr>
            <sz val="11"/>
            <rFont val="Calibri"/>
          </rPr>
          <t>The vROps PostgreSQL DB must generate audit records showing starting and ending time for user access to the database(s).</t>
        </r>
      </text>
    </comment>
    <comment ref="AS145" authorId="0" shapeId="0" xr:uid="{00000000-0006-0000-0700-0000D0000000}">
      <text>
        <r>
          <rPr>
            <sz val="11"/>
            <rFont val="Calibri"/>
          </rPr>
          <t>The vROps PostgreSQL DB must generate audit records when concurrent logons/connections by the same user from different workstations occur.</t>
        </r>
      </text>
    </comment>
    <comment ref="AT145" authorId="0" shapeId="0" xr:uid="{00000000-0006-0000-0700-0000D1000000}">
      <text>
        <r>
          <rPr>
            <sz val="11"/>
            <rFont val="Calibri"/>
          </rPr>
          <t>The vROps PostgreSQL DB must be able to generate audit records when successful accesses to objects occur.</t>
        </r>
      </text>
    </comment>
    <comment ref="AU145" authorId="0" shapeId="0" xr:uid="{00000000-0006-0000-0700-0000D2000000}">
      <text>
        <r>
          <rPr>
            <sz val="11"/>
            <rFont val="Calibri"/>
          </rPr>
          <t>The vROps PostgreSQL DB must generate audit records when unsuccessful accesses to objects occur.</t>
        </r>
      </text>
    </comment>
    <comment ref="H161" authorId="0" shapeId="0" xr:uid="{00000000-0006-0000-0700-0000D3000000}">
      <text>
        <r>
          <rPr>
            <sz val="11"/>
            <rFont val="Calibri"/>
          </rPr>
          <t>The vROps PostgreSQL DB must provide a warning to appropriate support staff when allocated audit record storage volume reaches 75% of maximum audit record storage capacity.</t>
        </r>
      </text>
    </comment>
    <comment ref="I161" authorId="0" shapeId="0" xr:uid="{00000000-0006-0000-0700-0000D4000000}">
      <text>
        <r>
          <rPr>
            <sz val="11"/>
            <rFont val="Calibri"/>
          </rPr>
          <t>The vROps PostgreSQL DB must provide an immediate real-time alert to appropriate support staff of all audit failure events requiring real-time alerts.</t>
        </r>
      </text>
    </comment>
    <comment ref="J161" authorId="0" shapeId="0" xr:uid="{00000000-0006-0000-0700-0000D5000000}">
      <text>
        <r>
          <rPr>
            <sz val="11"/>
            <rFont val="Calibri"/>
          </rPr>
          <t>The SLES for vRealize must alert the ISSO and SA (at a minimum) in the event of an audit processing failure.</t>
        </r>
      </text>
    </comment>
    <comment ref="K161" authorId="0" shapeId="0" xr:uid="{00000000-0006-0000-0700-0000D6000000}">
      <text>
        <r>
          <rPr>
            <sz val="11"/>
            <rFont val="Calibri"/>
          </rPr>
          <t>The SLES for vRealize must shut down by default upon audit failure (unless availability is an overriding concern).</t>
        </r>
      </text>
    </comment>
    <comment ref="L161" authorId="0" shapeId="0" xr:uid="{00000000-0006-0000-0700-0000D7000000}">
      <text>
        <r>
          <rPr>
            <sz val="11"/>
            <rFont val="Calibri"/>
          </rPr>
          <t>The SLES for vRealize must notify System Administrators and Information Systems Security Officer when accounts are created.</t>
        </r>
      </text>
    </comment>
    <comment ref="M161" authorId="0" shapeId="0" xr:uid="{00000000-0006-0000-0700-0000D8000000}">
      <text>
        <r>
          <rPr>
            <sz val="11"/>
            <rFont val="Calibri"/>
          </rPr>
          <t>The SLES for vRealize must notify System Administrators and Information System Security Officers when accounts are modified.</t>
        </r>
      </text>
    </comment>
    <comment ref="N161" authorId="0" shapeId="0" xr:uid="{00000000-0006-0000-0700-0000D9000000}">
      <text>
        <r>
          <rPr>
            <sz val="11"/>
            <rFont val="Calibri"/>
          </rPr>
          <t>The SLES for vRealize must notify System Administrators and Information System Security Officers when accounts are disabled.</t>
        </r>
      </text>
    </comment>
    <comment ref="O161" authorId="0" shapeId="0" xr:uid="{00000000-0006-0000-0700-0000DA000000}">
      <text>
        <r>
          <rPr>
            <sz val="11"/>
            <rFont val="Calibri"/>
          </rPr>
          <t>The SLES for vRealize must notify System Administrators and Information System Security Officers when accounts are removed.</t>
        </r>
      </text>
    </comment>
    <comment ref="P161" authorId="0" shapeId="0" xr:uid="{00000000-0006-0000-0700-0000DB000000}">
      <text>
        <r>
          <rPr>
            <sz val="11"/>
            <rFont val="Calibri"/>
          </rPr>
          <t>The SLES for vRealize must notify System Administrators and Information System Security Officers when accounts are created, or enabled when previously disabled.</t>
        </r>
      </text>
    </comment>
    <comment ref="Q161" authorId="0" shapeId="0" xr:uid="{00000000-0006-0000-0700-0000DC000000}">
      <text>
        <r>
          <rPr>
            <sz val="11"/>
            <rFont val="Calibri"/>
          </rPr>
          <t>The SLES for vRealize must immediately notify the SA and ISSO (at a minimum) when allocated audit record storage volume reaches 75% of the repository maximum audit record storage capacity.</t>
        </r>
      </text>
    </comment>
    <comment ref="R161" authorId="0" shapeId="0" xr:uid="{00000000-0006-0000-0700-0000DD000000}">
      <text>
        <r>
          <rPr>
            <sz val="11"/>
            <rFont val="Calibri"/>
          </rPr>
          <t>The SLES for vRealize must provide an immediate real-time alert to the SA and ISSO, at a minimum, of all audit failure events requiring real-time alerts.</t>
        </r>
      </text>
    </comment>
    <comment ref="S161" authorId="0" shapeId="0" xr:uid="{00000000-0006-0000-0700-0000DE000000}">
      <text>
        <r>
          <rPr>
            <sz val="11"/>
            <rFont val="Calibri"/>
          </rPr>
          <t>The SLES for vRealize must notify designated personnel if baseline configurations are changed in an unauthorized manner.</t>
        </r>
      </text>
    </comment>
    <comment ref="T161" authorId="0" shapeId="0" xr:uid="{00000000-0006-0000-0700-0000DF000000}">
      <text>
        <r>
          <rPr>
            <sz val="11"/>
            <rFont val="Calibri"/>
          </rPr>
          <t>The SLES for vRealize must shut down the information system, restart the information system, and/or notify the system administrator when anomalies in the operation of any security functions are discovered.</t>
        </r>
      </text>
    </comment>
    <comment ref="U161" authorId="0" shapeId="0" xr:uid="{00000000-0006-0000-0700-0000E0000000}">
      <text>
        <r>
          <rPr>
            <sz val="11"/>
            <rFont val="Calibri"/>
          </rPr>
          <t>tc Server ALL must use a logging mechanism that is configured to alert the ISSO and SA in the event of a processing failure.</t>
        </r>
      </text>
    </comment>
    <comment ref="V161" authorId="0" shapeId="0" xr:uid="{00000000-0006-0000-0700-0000E1000000}">
      <text>
        <r>
          <rPr>
            <sz val="11"/>
            <rFont val="Calibri"/>
          </rPr>
          <t>tc Server ALL must use a logging mechanism that is configured to provide a warning to the ISSO and SA when allocated record storage volume reaches 75% of maximum log record storage capacity.</t>
        </r>
      </text>
    </comment>
    <comment ref="H167" authorId="0" shapeId="0" xr:uid="{00000000-0006-0000-0700-0000E2000000}">
      <text>
        <r>
          <rPr>
            <sz val="11"/>
            <rFont val="Calibri"/>
          </rPr>
          <t>The vROps PostgreSQL DB must allow only the ISSM (or individuals or roles appointed by the ISSM) to select which auditable events are to be audited.</t>
        </r>
      </text>
    </comment>
    <comment ref="I167" authorId="0" shapeId="0" xr:uid="{00000000-0006-0000-0700-0000E3000000}">
      <text>
        <r>
          <rPr>
            <sz val="11"/>
            <rFont val="Calibri"/>
          </rPr>
          <t>The vROps PostgreSQL DB must be able to generate audit records when privileges/permissions are retrieved.</t>
        </r>
      </text>
    </comment>
    <comment ref="J167" authorId="0" shapeId="0" xr:uid="{00000000-0006-0000-0700-0000E4000000}">
      <text>
        <r>
          <rPr>
            <sz val="11"/>
            <rFont val="Calibri"/>
          </rPr>
          <t>The audit information produced by the vROps PostgreSQL DB must be protected from unauthorized read access.</t>
        </r>
      </text>
    </comment>
    <comment ref="K167" authorId="0" shapeId="0" xr:uid="{00000000-0006-0000-0700-0000E5000000}">
      <text>
        <r>
          <rPr>
            <sz val="11"/>
            <rFont val="Calibri"/>
          </rPr>
          <t>The audit information produced by the vROps PostgreSQL DB must be protected from unauthorized modification.</t>
        </r>
      </text>
    </comment>
    <comment ref="L167" authorId="0" shapeId="0" xr:uid="{00000000-0006-0000-0700-0000E6000000}">
      <text>
        <r>
          <rPr>
            <sz val="11"/>
            <rFont val="Calibri"/>
          </rPr>
          <t>The vROps PostgreSQL DB must protect its audit features from unauthorized access.</t>
        </r>
      </text>
    </comment>
    <comment ref="M167" authorId="0" shapeId="0" xr:uid="{00000000-0006-0000-0700-0000E7000000}">
      <text>
        <r>
          <rPr>
            <sz val="11"/>
            <rFont val="Calibri"/>
          </rPr>
          <t>The vROps PostgreSQL DB must protect its audit configuration from unauthorized modification.</t>
        </r>
      </text>
    </comment>
    <comment ref="N167" authorId="0" shapeId="0" xr:uid="{00000000-0006-0000-0700-0000E8000000}">
      <text>
        <r>
          <rPr>
            <sz val="11"/>
            <rFont val="Calibri"/>
          </rPr>
          <t>The vROps PostgreSQL DB must protect its audit features from unauthorized removal.</t>
        </r>
      </text>
    </comment>
    <comment ref="O167" authorId="0" shapeId="0" xr:uid="{00000000-0006-0000-0700-0000E9000000}">
      <text>
        <r>
          <rPr>
            <sz val="11"/>
            <rFont val="Calibri"/>
          </rPr>
          <t>The vROps PostgreSQL DB must generate audit records when unsuccessful attempts to access security objects occur.</t>
        </r>
      </text>
    </comment>
    <comment ref="P167" authorId="0" shapeId="0" xr:uid="{00000000-0006-0000-0700-0000EA000000}">
      <text>
        <r>
          <rPr>
            <sz val="11"/>
            <rFont val="Calibri"/>
          </rPr>
          <t>The vROps PostgreSQL DB must generate audit records when privileges/permissions are added.</t>
        </r>
      </text>
    </comment>
    <comment ref="Q167" authorId="0" shapeId="0" xr:uid="{00000000-0006-0000-0700-0000EB000000}">
      <text>
        <r>
          <rPr>
            <sz val="11"/>
            <rFont val="Calibri"/>
          </rPr>
          <t>The vROps PostgreSQL DB must generate audit records when privileges/permissions are modified.</t>
        </r>
      </text>
    </comment>
    <comment ref="R167" authorId="0" shapeId="0" xr:uid="{00000000-0006-0000-0700-0000EC000000}">
      <text>
        <r>
          <rPr>
            <sz val="11"/>
            <rFont val="Calibri"/>
          </rPr>
          <t>The vROps PostgreSQL DB must generate audit records when unsuccessful attempts to modify privileges/permissions occur.</t>
        </r>
      </text>
    </comment>
    <comment ref="S167" authorId="0" shapeId="0" xr:uid="{00000000-0006-0000-0700-0000ED000000}">
      <text>
        <r>
          <rPr>
            <sz val="11"/>
            <rFont val="Calibri"/>
          </rPr>
          <t>The vROps PostgreSQL DB must generate audit records when security objects are modified.</t>
        </r>
      </text>
    </comment>
    <comment ref="T167" authorId="0" shapeId="0" xr:uid="{00000000-0006-0000-0700-0000EE000000}">
      <text>
        <r>
          <rPr>
            <sz val="11"/>
            <rFont val="Calibri"/>
          </rPr>
          <t>The vROps PostgreSQL DB must generate audit records when unsuccessful attempts to modify security objects occur.</t>
        </r>
      </text>
    </comment>
    <comment ref="U167" authorId="0" shapeId="0" xr:uid="{00000000-0006-0000-0700-0000EF000000}">
      <text>
        <r>
          <rPr>
            <sz val="11"/>
            <rFont val="Calibri"/>
          </rPr>
          <t>The vROps PostgreSQL DB must generate audit records when privileges/permissions are deleted.</t>
        </r>
      </text>
    </comment>
    <comment ref="V167" authorId="0" shapeId="0" xr:uid="{00000000-0006-0000-0700-0000F0000000}">
      <text>
        <r>
          <rPr>
            <sz val="11"/>
            <rFont val="Calibri"/>
          </rPr>
          <t>The vROps PostgreSQL DB must generate audit records when unsuccessful attempts to delete privileges/permissions occur.</t>
        </r>
      </text>
    </comment>
    <comment ref="W167" authorId="0" shapeId="0" xr:uid="{00000000-0006-0000-0700-0000F1000000}">
      <text>
        <r>
          <rPr>
            <sz val="11"/>
            <rFont val="Calibri"/>
          </rPr>
          <t>The vROps PostgreSQL DB must generate audit records when security objects are deleted.</t>
        </r>
      </text>
    </comment>
    <comment ref="X167" authorId="0" shapeId="0" xr:uid="{00000000-0006-0000-0700-0000F2000000}">
      <text>
        <r>
          <rPr>
            <sz val="11"/>
            <rFont val="Calibri"/>
          </rPr>
          <t>The vROps PostgreSQL DB must generate audit records when unsuccessful attempts to delete security objects occur.</t>
        </r>
      </text>
    </comment>
    <comment ref="Y167" authorId="0" shapeId="0" xr:uid="{00000000-0006-0000-0700-0000F3000000}">
      <text>
        <r>
          <rPr>
            <sz val="11"/>
            <rFont val="Calibri"/>
          </rPr>
          <t>The vROps PostgreSQL DB must generate audit records for all privileged activities or other system-level access.</t>
        </r>
      </text>
    </comment>
    <comment ref="Z167" authorId="0" shapeId="0" xr:uid="{00000000-0006-0000-0700-0000F4000000}">
      <text>
        <r>
          <rPr>
            <sz val="11"/>
            <rFont val="Calibri"/>
          </rPr>
          <t>The vROps PostgreSQL DB must generate audit records when unsuccessful attempts to execute privileged activities or other system-level access occur.</t>
        </r>
      </text>
    </comment>
    <comment ref="AA167" authorId="0" shapeId="0" xr:uid="{00000000-0006-0000-0700-0000F5000000}">
      <text>
        <r>
          <rPr>
            <sz val="11"/>
            <rFont val="Calibri"/>
          </rPr>
          <t>The SLES for vRealize must audit all account creations.</t>
        </r>
      </text>
    </comment>
    <comment ref="AB167" authorId="0" shapeId="0" xr:uid="{00000000-0006-0000-0700-0000F6000000}">
      <text>
        <r>
          <rPr>
            <sz val="11"/>
            <rFont val="Calibri"/>
          </rPr>
          <t>In addition to auditing new user and group accounts, these watches will alert the system administrator(s) to any modifications, any unexpected users, groups, or modifications must be investigated for legitimacy.</t>
        </r>
      </text>
    </comment>
    <comment ref="AC167" authorId="0" shapeId="0" xr:uid="{00000000-0006-0000-0700-0000F7000000}">
      <text>
        <r>
          <rPr>
            <sz val="11"/>
            <rFont val="Calibri"/>
          </rPr>
          <t>The SLES for vRealize must protect audit information from unauthorized read access - ownership.</t>
        </r>
      </text>
    </comment>
    <comment ref="AD167" authorId="0" shapeId="0" xr:uid="{00000000-0006-0000-0700-0000F8000000}">
      <text>
        <r>
          <rPr>
            <sz val="11"/>
            <rFont val="Calibri"/>
          </rPr>
          <t>The SLES for vRealize must protect audit information from unauthorized read access - group ownership.</t>
        </r>
      </text>
    </comment>
    <comment ref="AE167" authorId="0" shapeId="0" xr:uid="{00000000-0006-0000-0700-0000F9000000}">
      <text>
        <r>
          <rPr>
            <sz val="11"/>
            <rFont val="Calibri"/>
          </rPr>
          <t>The SLES for vRealize must protect audit information from unauthorized modification.</t>
        </r>
      </text>
    </comment>
    <comment ref="AF167" authorId="0" shapeId="0" xr:uid="{00000000-0006-0000-0700-0000FA000000}">
      <text>
        <r>
          <rPr>
            <sz val="11"/>
            <rFont val="Calibri"/>
          </rPr>
          <t>The SLES for vRealize must protect audit information from unauthorized deletion.</t>
        </r>
      </text>
    </comment>
    <comment ref="AG167" authorId="0" shapeId="0" xr:uid="{00000000-0006-0000-0700-0000FB000000}">
      <text>
        <r>
          <rPr>
            <sz val="11"/>
            <rFont val="Calibri"/>
          </rPr>
          <t>The SLES for vRealize must protect audit information from unauthorized deletion - log directories.</t>
        </r>
      </text>
    </comment>
    <comment ref="AH167" authorId="0" shapeId="0" xr:uid="{00000000-0006-0000-0700-0000FC000000}">
      <text>
        <r>
          <rPr>
            <sz val="11"/>
            <rFont val="Calibri"/>
          </rPr>
          <t>The SLES for vRealize audit system must be configured to audit all administrative, privileged, and security actions.</t>
        </r>
      </text>
    </comment>
    <comment ref="AI167" authorId="0" shapeId="0" xr:uid="{00000000-0006-0000-0700-0000FD000000}">
      <text>
        <r>
          <rPr>
            <sz val="11"/>
            <rFont val="Calibri"/>
          </rPr>
          <t>The SLES for vRealize must allow only the ISSM (or individuals or roles appointed by the ISSM) to select which auditable events are to be audited - Permissions.</t>
        </r>
      </text>
    </comment>
    <comment ref="AJ167" authorId="0" shapeId="0" xr:uid="{00000000-0006-0000-0700-0000FE000000}">
      <text>
        <r>
          <rPr>
            <sz val="11"/>
            <rFont val="Calibri"/>
          </rPr>
          <t>The SLES for vRealize must allow only the ISSM (or individuals or roles appointed by the ISSM) to select which auditable events are to be audited - ownership.</t>
        </r>
      </text>
    </comment>
    <comment ref="AK167" authorId="0" shapeId="0" xr:uid="{00000000-0006-0000-0700-0000FF000000}">
      <text>
        <r>
          <rPr>
            <sz val="11"/>
            <rFont val="Calibri"/>
          </rPr>
          <t>The SLES for vRealize must allow only the ISSM (or individuals or roles appointed by the ISSM) to select which auditable events are to be audited - group ownership.</t>
        </r>
      </text>
    </comment>
    <comment ref="AL167" authorId="0" shapeId="0" xr:uid="{00000000-0006-0000-0700-000000010000}">
      <text>
        <r>
          <rPr>
            <sz val="11"/>
            <rFont val="Calibri"/>
          </rPr>
          <t>The /var/log directory must be group-owned by root.</t>
        </r>
      </text>
    </comment>
    <comment ref="AM167" authorId="0" shapeId="0" xr:uid="{00000000-0006-0000-0700-000001010000}">
      <text>
        <r>
          <rPr>
            <sz val="11"/>
            <rFont val="Calibri"/>
          </rPr>
          <t>The /var/log directory must be owned by root.</t>
        </r>
      </text>
    </comment>
    <comment ref="AN167" authorId="0" shapeId="0" xr:uid="{00000000-0006-0000-0700-000002010000}">
      <text>
        <r>
          <rPr>
            <sz val="11"/>
            <rFont val="Calibri"/>
          </rPr>
          <t>The /var/log directory must have mode 0750 or less permissive.</t>
        </r>
      </text>
    </comment>
    <comment ref="AO167" authorId="0" shapeId="0" xr:uid="{00000000-0006-0000-0700-000003010000}">
      <text>
        <r>
          <rPr>
            <sz val="11"/>
            <rFont val="Calibri"/>
          </rPr>
          <t>The /var/log/messages file must be group-owned by root.</t>
        </r>
      </text>
    </comment>
    <comment ref="AP167" authorId="0" shapeId="0" xr:uid="{00000000-0006-0000-0700-000004010000}">
      <text>
        <r>
          <rPr>
            <sz val="11"/>
            <rFont val="Calibri"/>
          </rPr>
          <t>The /var/log/messages file must be owned by root.</t>
        </r>
      </text>
    </comment>
    <comment ref="AQ167" authorId="0" shapeId="0" xr:uid="{00000000-0006-0000-0700-000005010000}">
      <text>
        <r>
          <rPr>
            <sz val="11"/>
            <rFont val="Calibri"/>
          </rPr>
          <t>The /var/log/messages file must have mode 0640 or less permissive.</t>
        </r>
      </text>
    </comment>
    <comment ref="AR167" authorId="0" shapeId="0" xr:uid="{00000000-0006-0000-0700-000006010000}">
      <text>
        <r>
          <rPr>
            <sz val="11"/>
            <rFont val="Calibri"/>
          </rPr>
          <t>The SLES for vRealize must audit all account modifications.</t>
        </r>
      </text>
    </comment>
    <comment ref="AS167" authorId="0" shapeId="0" xr:uid="{00000000-0006-0000-0700-000007010000}">
      <text>
        <r>
          <rPr>
            <sz val="11"/>
            <rFont val="Calibri"/>
          </rPr>
          <t>The SLES for vRealize must audit all account modifications.</t>
        </r>
      </text>
    </comment>
    <comment ref="AT167" authorId="0" shapeId="0" xr:uid="{00000000-0006-0000-0700-000008010000}">
      <text>
        <r>
          <rPr>
            <sz val="11"/>
            <rFont val="Calibri"/>
          </rPr>
          <t>The SLES for vRealize must audit all account-disabling actions.</t>
        </r>
      </text>
    </comment>
    <comment ref="AU167" authorId="0" shapeId="0" xr:uid="{00000000-0006-0000-0700-000009010000}">
      <text>
        <r>
          <rPr>
            <sz val="11"/>
            <rFont val="Calibri"/>
          </rPr>
          <t>The SLES for vRealize must audit all account removal actions.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52" authorId="0" shapeId="0" xr:uid="{00000000-0006-0000-0800-000001000000}">
      <text>
        <r>
          <rPr>
            <sz val="11"/>
            <rFont val="Calibri"/>
          </rPr>
          <t>The telnet-server package must not be installed.</t>
        </r>
      </text>
    </comment>
    <comment ref="H52" authorId="0" shapeId="0" xr:uid="{00000000-0006-0000-0800-000011000000}">
      <text>
        <r>
          <rPr>
            <sz val="11"/>
            <rFont val="Calibri"/>
          </rPr>
          <t>The rsh-server package must not be installed.</t>
        </r>
      </text>
    </comment>
    <comment ref="I52" authorId="0" shapeId="0" xr:uid="{00000000-0006-0000-0800-000002000000}">
      <text>
        <r>
          <rPr>
            <sz val="11"/>
            <rFont val="Calibri"/>
          </rPr>
          <t>tc Server ALL must only contain services and functions necessary for operation.</t>
        </r>
      </text>
    </comment>
    <comment ref="J52" authorId="0" shapeId="0" xr:uid="{00000000-0006-0000-0800-000003000000}">
      <text>
        <r>
          <rPr>
            <sz val="11"/>
            <rFont val="Calibri"/>
          </rPr>
          <t>tc Server ALL must exclude documentation, sample code, example applications, and tutorials.</t>
        </r>
      </text>
    </comment>
    <comment ref="K52" authorId="0" shapeId="0" xr:uid="{00000000-0006-0000-0800-000004000000}">
      <text>
        <r>
          <rPr>
            <sz val="11"/>
            <rFont val="Calibri"/>
          </rPr>
          <t>tc Server ALL must exclude installation of utility programs, services, plug-ins, and modules not necessary for operation.</t>
        </r>
      </text>
    </comment>
    <comment ref="L52" authorId="0" shapeId="0" xr:uid="{00000000-0006-0000-0800-000005000000}">
      <text>
        <r>
          <rPr>
            <sz val="11"/>
            <rFont val="Calibri"/>
          </rPr>
          <t>tc Server ALL must have Multipurpose Internet Mail Extensions (MIME) that invoke OS shell programs disabled.</t>
        </r>
      </text>
    </comment>
    <comment ref="M52" authorId="0" shapeId="0" xr:uid="{00000000-0006-0000-0800-000006000000}">
      <text>
        <r>
          <rPr>
            <sz val="11"/>
            <rFont val="Calibri"/>
          </rPr>
          <t>tc Server ALL must have all mappings to unused and vulnerable scripts to be removed.</t>
        </r>
      </text>
    </comment>
    <comment ref="N52" authorId="0" shapeId="0" xr:uid="{00000000-0006-0000-0800-000007000000}">
      <text>
        <r>
          <rPr>
            <sz val="11"/>
            <rFont val="Calibri"/>
          </rPr>
          <t>tc Server ALL must not have the Web Distributed Authoring (WebDAV) servlet installed.</t>
        </r>
      </text>
    </comment>
    <comment ref="O52" authorId="0" shapeId="0" xr:uid="{00000000-0006-0000-0800-000008000000}">
      <text>
        <r>
          <rPr>
            <sz val="11"/>
            <rFont val="Calibri"/>
          </rPr>
          <t>tc Server UI must have the allowTrace parameter set to false.</t>
        </r>
      </text>
    </comment>
    <comment ref="P52" authorId="0" shapeId="0" xr:uid="{00000000-0006-0000-0800-000009000000}">
      <text>
        <r>
          <rPr>
            <sz val="11"/>
            <rFont val="Calibri"/>
          </rPr>
          <t>tc Server CaSa must have the allowTrace parameter set to false.</t>
        </r>
      </text>
    </comment>
    <comment ref="Q52" authorId="0" shapeId="0" xr:uid="{00000000-0006-0000-0800-00000A000000}">
      <text>
        <r>
          <rPr>
            <sz val="11"/>
            <rFont val="Calibri"/>
          </rPr>
          <t>tc Server API must have the allowTrace parameter set to false.</t>
        </r>
      </text>
    </comment>
    <comment ref="R52" authorId="0" shapeId="0" xr:uid="{00000000-0006-0000-0800-00000B000000}">
      <text>
        <r>
          <rPr>
            <sz val="11"/>
            <rFont val="Calibri"/>
          </rPr>
          <t>tc Server UI must have the debug option turned off.</t>
        </r>
      </text>
    </comment>
    <comment ref="S52" authorId="0" shapeId="0" xr:uid="{00000000-0006-0000-0800-00000C000000}">
      <text>
        <r>
          <rPr>
            <sz val="11"/>
            <rFont val="Calibri"/>
          </rPr>
          <t>tc Server CaSa must have the debug option turned off.</t>
        </r>
      </text>
    </comment>
    <comment ref="T52" authorId="0" shapeId="0" xr:uid="{00000000-0006-0000-0800-00000D000000}">
      <text>
        <r>
          <rPr>
            <sz val="11"/>
            <rFont val="Calibri"/>
          </rPr>
          <t>tc Server API must have the debug option turned off.</t>
        </r>
      </text>
    </comment>
    <comment ref="U52" authorId="0" shapeId="0" xr:uid="{00000000-0006-0000-0800-00000E000000}">
      <text>
        <r>
          <rPr>
            <sz val="11"/>
            <rFont val="Calibri"/>
          </rPr>
          <t>tc Server UI must disable the shutdown port.</t>
        </r>
      </text>
    </comment>
    <comment ref="V52" authorId="0" shapeId="0" xr:uid="{00000000-0006-0000-0800-00000F000000}">
      <text>
        <r>
          <rPr>
            <sz val="11"/>
            <rFont val="Calibri"/>
          </rPr>
          <t>tc Server CaSa must disable the shutdown port.</t>
        </r>
      </text>
    </comment>
    <comment ref="W52" authorId="0" shapeId="0" xr:uid="{00000000-0006-0000-0800-000010000000}">
      <text>
        <r>
          <rPr>
            <sz val="11"/>
            <rFont val="Calibri"/>
          </rPr>
          <t>tc Server API must disable the shutdown port.</t>
        </r>
      </text>
    </comment>
    <comment ref="G74" authorId="0" shapeId="0" xr:uid="{00000000-0006-0000-0800-000012000000}">
      <text>
        <r>
          <rPr>
            <sz val="11"/>
            <rFont val="Calibri"/>
          </rPr>
          <t>Security-relevant software updates to the vROps PostgreSQL DB must be installed within the time period directed by an authoritative source (e.g. IAVM, CTOs, DTMs, and STIGs).</t>
        </r>
      </text>
    </comment>
    <comment ref="H74" authorId="0" shapeId="0" xr:uid="{00000000-0006-0000-0800-000013000000}">
      <text>
        <r>
          <rPr>
            <sz val="11"/>
            <rFont val="Calibri"/>
          </rPr>
          <t>tc Server ALL must have all security-relevant software updates installed within the configured time period directed by an authoritative source.</t>
        </r>
      </text>
    </comment>
    <comment ref="G86" authorId="0" shapeId="0" xr:uid="{00000000-0006-0000-0800-000014000000}">
      <text>
        <r>
          <rPr>
            <sz val="11"/>
            <rFont val="Calibri"/>
          </rPr>
          <t>The SLES for vRealize must prevent direct logon into the root account.</t>
        </r>
      </text>
    </comment>
    <comment ref="G91" authorId="0" shapeId="0" xr:uid="{00000000-0006-0000-0800-000015000000}">
      <text>
        <r>
          <rPr>
            <sz val="11"/>
            <rFont val="Calibri"/>
          </rPr>
          <t>SLES for vRealize must enforce a 60-day maximum password lifetime restriction.</t>
        </r>
      </text>
    </comment>
    <comment ref="H91" authorId="0" shapeId="0" xr:uid="{00000000-0006-0000-0800-000016000000}">
      <text>
        <r>
          <rPr>
            <sz val="11"/>
            <rFont val="Calibri"/>
          </rPr>
          <t>The SLES for vRealize must prohibit password reuse for a minimum of five generations.</t>
        </r>
      </text>
    </comment>
    <comment ref="I91" authorId="0" shapeId="0" xr:uid="{00000000-0006-0000-0800-000017000000}">
      <text>
        <r>
          <rPr>
            <sz val="11"/>
            <rFont val="Calibri"/>
          </rPr>
          <t>The SLES for vRealize must prohibit password reuse for a minimum of five generations. Ensure the old passwords are being stored.</t>
        </r>
      </text>
    </comment>
    <comment ref="G92" authorId="0" shapeId="0" xr:uid="{00000000-0006-0000-0800-000018000000}">
      <text>
        <r>
          <rPr>
            <sz val="11"/>
            <rFont val="Calibri"/>
          </rPr>
          <t>The SLES for vRealize must enforce password complexity by requiring that at least one upper-case character be used.</t>
        </r>
      </text>
    </comment>
    <comment ref="H92" authorId="0" shapeId="0" xr:uid="{00000000-0006-0000-0800-000019000000}">
      <text>
        <r>
          <rPr>
            <sz val="11"/>
            <rFont val="Calibri"/>
          </rPr>
          <t>The SLES for vRealize must enforce password complexity by requiring that at least one lower-case character be used.</t>
        </r>
      </text>
    </comment>
    <comment ref="I92" authorId="0" shapeId="0" xr:uid="{00000000-0006-0000-0800-00001A000000}">
      <text>
        <r>
          <rPr>
            <sz val="11"/>
            <rFont val="Calibri"/>
          </rPr>
          <t>The SLES for vRealize must enforce password complexity by requiring that at least one numeric character be used.</t>
        </r>
      </text>
    </comment>
    <comment ref="J92" authorId="0" shapeId="0" xr:uid="{00000000-0006-0000-0800-00001B000000}">
      <text>
        <r>
          <rPr>
            <sz val="11"/>
            <rFont val="Calibri"/>
          </rPr>
          <t>The SLES for vRealize must enforce a minimum 15-character password length.</t>
        </r>
      </text>
    </comment>
    <comment ref="K92" authorId="0" shapeId="0" xr:uid="{00000000-0006-0000-0800-00001C000000}">
      <text>
        <r>
          <rPr>
            <sz val="11"/>
            <rFont val="Calibri"/>
          </rPr>
          <t>The SLES for vRealize must enforce password complexity by requiring that at least one special character be used.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35" authorId="0" shapeId="0" xr:uid="{00000000-0006-0000-0A00-000001000000}">
      <text>
        <r>
          <rPr>
            <sz val="11"/>
            <rFont val="Calibri"/>
          </rPr>
          <t>The telnet-server package must not be installed.</t>
        </r>
      </text>
    </comment>
    <comment ref="M35" authorId="0" shapeId="0" xr:uid="{00000000-0006-0000-0A00-000014000000}">
      <text>
        <r>
          <rPr>
            <sz val="11"/>
            <rFont val="Calibri"/>
          </rPr>
          <t>The rsh-server package must not be installed.</t>
        </r>
      </text>
    </comment>
    <comment ref="N35" authorId="0" shapeId="0" xr:uid="{00000000-0006-0000-0A00-000002000000}">
      <text>
        <r>
          <rPr>
            <sz val="11"/>
            <rFont val="Calibri"/>
          </rPr>
          <t>The ypserv package must not be installed.</t>
        </r>
      </text>
    </comment>
    <comment ref="O35" authorId="0" shapeId="0" xr:uid="{00000000-0006-0000-0A00-000003000000}">
      <text>
        <r>
          <rPr>
            <sz val="11"/>
            <rFont val="Calibri"/>
          </rPr>
          <t>The yast2-tftp-server package must not be installed.</t>
        </r>
      </text>
    </comment>
    <comment ref="P35" authorId="0" shapeId="0" xr:uid="{00000000-0006-0000-0A00-000004000000}">
      <text>
        <r>
          <rPr>
            <sz val="11"/>
            <rFont val="Calibri"/>
          </rPr>
          <t>The xinetd service must be disabled if no network services utilizing it are enabled.</t>
        </r>
      </text>
    </comment>
    <comment ref="Q35" authorId="0" shapeId="0" xr:uid="{00000000-0006-0000-0A00-000005000000}">
      <text>
        <r>
          <rPr>
            <sz val="11"/>
            <rFont val="Calibri"/>
          </rPr>
          <t>tc Server ALL must only contain services and functions necessary for operation.</t>
        </r>
      </text>
    </comment>
    <comment ref="R35" authorId="0" shapeId="0" xr:uid="{00000000-0006-0000-0A00-000006000000}">
      <text>
        <r>
          <rPr>
            <sz val="11"/>
            <rFont val="Calibri"/>
          </rPr>
          <t>tc Server ALL must exclude documentation, sample code, example applications, and tutorials.</t>
        </r>
      </text>
    </comment>
    <comment ref="S35" authorId="0" shapeId="0" xr:uid="{00000000-0006-0000-0A00-000007000000}">
      <text>
        <r>
          <rPr>
            <sz val="11"/>
            <rFont val="Calibri"/>
          </rPr>
          <t>tc Server ALL must exclude installation of utility programs, services, plug-ins, and modules not necessary for operation.</t>
        </r>
      </text>
    </comment>
    <comment ref="T35" authorId="0" shapeId="0" xr:uid="{00000000-0006-0000-0A00-000008000000}">
      <text>
        <r>
          <rPr>
            <sz val="11"/>
            <rFont val="Calibri"/>
          </rPr>
          <t>tc Server ALL must have Multipurpose Internet Mail Extensions (MIME) that invoke OS shell programs disabled.</t>
        </r>
      </text>
    </comment>
    <comment ref="U35" authorId="0" shapeId="0" xr:uid="{00000000-0006-0000-0A00-000009000000}">
      <text>
        <r>
          <rPr>
            <sz val="11"/>
            <rFont val="Calibri"/>
          </rPr>
          <t>tc Server ALL must have all mappings to unused and vulnerable scripts to be removed.</t>
        </r>
      </text>
    </comment>
    <comment ref="V35" authorId="0" shapeId="0" xr:uid="{00000000-0006-0000-0A00-00000A000000}">
      <text>
        <r>
          <rPr>
            <sz val="11"/>
            <rFont val="Calibri"/>
          </rPr>
          <t>tc Server ALL must not have the Web Distributed Authoring (WebDAV) servlet installed.</t>
        </r>
      </text>
    </comment>
    <comment ref="W35" authorId="0" shapeId="0" xr:uid="{00000000-0006-0000-0A00-00000B000000}">
      <text>
        <r>
          <rPr>
            <sz val="11"/>
            <rFont val="Calibri"/>
          </rPr>
          <t>tc Server UI must have the allowTrace parameter set to false.</t>
        </r>
      </text>
    </comment>
    <comment ref="X35" authorId="0" shapeId="0" xr:uid="{00000000-0006-0000-0A00-00000C000000}">
      <text>
        <r>
          <rPr>
            <sz val="11"/>
            <rFont val="Calibri"/>
          </rPr>
          <t>tc Server CaSa must have the allowTrace parameter set to false.</t>
        </r>
      </text>
    </comment>
    <comment ref="Y35" authorId="0" shapeId="0" xr:uid="{00000000-0006-0000-0A00-00000D000000}">
      <text>
        <r>
          <rPr>
            <sz val="11"/>
            <rFont val="Calibri"/>
          </rPr>
          <t>tc Server API must have the allowTrace parameter set to false.</t>
        </r>
      </text>
    </comment>
    <comment ref="Z35" authorId="0" shapeId="0" xr:uid="{00000000-0006-0000-0A00-00000E000000}">
      <text>
        <r>
          <rPr>
            <sz val="11"/>
            <rFont val="Calibri"/>
          </rPr>
          <t>tc Server UI must have the debug option turned off.</t>
        </r>
      </text>
    </comment>
    <comment ref="AA35" authorId="0" shapeId="0" xr:uid="{00000000-0006-0000-0A00-00000F000000}">
      <text>
        <r>
          <rPr>
            <sz val="11"/>
            <rFont val="Calibri"/>
          </rPr>
          <t>tc Server CaSa must have the debug option turned off.</t>
        </r>
      </text>
    </comment>
    <comment ref="AB35" authorId="0" shapeId="0" xr:uid="{00000000-0006-0000-0A00-000010000000}">
      <text>
        <r>
          <rPr>
            <sz val="11"/>
            <rFont val="Calibri"/>
          </rPr>
          <t>tc Server API must have the debug option turned off.</t>
        </r>
      </text>
    </comment>
    <comment ref="AC35" authorId="0" shapeId="0" xr:uid="{00000000-0006-0000-0A00-000011000000}">
      <text>
        <r>
          <rPr>
            <sz val="11"/>
            <rFont val="Calibri"/>
          </rPr>
          <t>tc Server UI must disable the shutdown port.</t>
        </r>
      </text>
    </comment>
    <comment ref="AD35" authorId="0" shapeId="0" xr:uid="{00000000-0006-0000-0A00-000012000000}">
      <text>
        <r>
          <rPr>
            <sz val="11"/>
            <rFont val="Calibri"/>
          </rPr>
          <t>tc Server CaSa must disable the shutdown port.</t>
        </r>
      </text>
    </comment>
    <comment ref="AE35" authorId="0" shapeId="0" xr:uid="{00000000-0006-0000-0A00-000013000000}">
      <text>
        <r>
          <rPr>
            <sz val="11"/>
            <rFont val="Calibri"/>
          </rPr>
          <t>tc Server API must disable the shutdown port.</t>
        </r>
      </text>
    </comment>
    <comment ref="L84" authorId="0" shapeId="0" xr:uid="{00000000-0006-0000-0A00-000015000000}">
      <text>
        <r>
          <rPr>
            <sz val="11"/>
            <rFont val="Calibri"/>
          </rPr>
          <t>The vROps PostgreSQL DB must use NIST FIPS 140-2 validated cryptographic modules for cryptographic operations.</t>
        </r>
      </text>
    </comment>
    <comment ref="M84" authorId="0" shapeId="0" xr:uid="{00000000-0006-0000-0A00-00002A000000}">
      <text>
        <r>
          <rPr>
            <sz val="11"/>
            <rFont val="Calibri"/>
          </rPr>
          <t>The vROps PostgreSQL DB must implement NIST FIPS 140-2 validated cryptographic modules to provision digital signatures.</t>
        </r>
      </text>
    </comment>
    <comment ref="N84" authorId="0" shapeId="0" xr:uid="{00000000-0006-0000-0A00-00002B000000}">
      <text>
        <r>
          <rPr>
            <sz val="11"/>
            <rFont val="Calibri"/>
          </rPr>
          <t>The vROps PostgreSQL DB must implement NIST FIPS 140-2 validated cryptographic modules to generate and validate cryptographic hashes.</t>
        </r>
      </text>
    </comment>
    <comment ref="O84" authorId="0" shapeId="0" xr:uid="{00000000-0006-0000-0A00-00002C000000}">
      <text>
        <r>
          <rPr>
            <sz val="11"/>
            <rFont val="Calibri"/>
          </rPr>
          <t>The vROps PostgreSQL DB must implement NIST FIPS 140-2 validated cryptographic modules to protect unclassified information requiring confidentiality and cryptographic protection, in accordance with the data owners requirements.</t>
        </r>
      </text>
    </comment>
    <comment ref="P84" authorId="0" shapeId="0" xr:uid="{00000000-0006-0000-0A00-00002D000000}">
      <text>
        <r>
          <rPr>
            <sz val="11"/>
            <rFont val="Calibri"/>
          </rPr>
          <t>The SLES for vRealize must implement DoD-approved encryption to protect the confidentiality of remote access sessions - SSH Daemon.</t>
        </r>
      </text>
    </comment>
    <comment ref="Q84" authorId="0" shapeId="0" xr:uid="{00000000-0006-0000-0A00-00002E000000}">
      <text>
        <r>
          <rPr>
            <sz val="11"/>
            <rFont val="Calibri"/>
          </rPr>
          <t>The SLES for vRealize must implement DoD-approved encryption to protect the confidentiality of remote access sessions - SSH Client.</t>
        </r>
      </text>
    </comment>
    <comment ref="R84" authorId="0" shapeId="0" xr:uid="{00000000-0006-0000-0A00-00002F000000}">
      <text>
        <r>
          <rPr>
            <sz val="11"/>
            <rFont val="Calibri"/>
          </rPr>
          <t>The SLES for vRealize must use cryptographic mechanisms to protect the integrity of audit tools.</t>
        </r>
      </text>
    </comment>
    <comment ref="S84" authorId="0" shapeId="0" xr:uid="{00000000-0006-0000-0A00-000030000000}">
      <text>
        <r>
          <rPr>
            <sz val="11"/>
            <rFont val="Calibri"/>
          </rPr>
          <t>The SLES for vRealize must implement cryptographic mechanisms to protect the integrity of nonlocal maintenance and diagnostic communications, when used for nonlocal maintenance sessions.</t>
        </r>
      </text>
    </comment>
    <comment ref="T84" authorId="0" shapeId="0" xr:uid="{00000000-0006-0000-0A00-000031000000}">
      <text>
        <r>
          <rPr>
            <sz val="11"/>
            <rFont val="Calibri"/>
          </rPr>
          <t>The SLES for vRealize must implement cryptographic mechanisms to protect the confidentiality of nonlocal maintenance and diagnostic communications, when used for nonlocal maintenance sessions.</t>
        </r>
      </text>
    </comment>
    <comment ref="U84" authorId="0" shapeId="0" xr:uid="{00000000-0006-0000-0A00-000032000000}">
      <text>
        <r>
          <rPr>
            <sz val="11"/>
            <rFont val="Calibri"/>
          </rPr>
          <t>The SLES for vRealize must implement NSA-approved cryptography to protect classified information in accordance with applicable federal laws, Executive Orders, directives, policies, regulations, and standards.</t>
        </r>
      </text>
    </comment>
    <comment ref="V84" authorId="0" shapeId="0" xr:uid="{00000000-0006-0000-0A00-000033000000}">
      <text>
        <r>
          <rPr>
            <sz val="11"/>
            <rFont val="Calibri"/>
          </rPr>
          <t>The SLES for vRealize must protect the confidentiality and integrity of transmitted information.</t>
        </r>
      </text>
    </comment>
    <comment ref="W84" authorId="0" shapeId="0" xr:uid="{00000000-0006-0000-0A00-000034000000}">
      <text>
        <r>
          <rPr>
            <sz val="11"/>
            <rFont val="Calibri"/>
          </rPr>
          <t>tc Server UI must be configured with FIPS 140-2 compliant ciphers for HTTPS connections.</t>
        </r>
      </text>
    </comment>
    <comment ref="X84" authorId="0" shapeId="0" xr:uid="{00000000-0006-0000-0A00-000035000000}">
      <text>
        <r>
          <rPr>
            <sz val="11"/>
            <rFont val="Calibri"/>
          </rPr>
          <t>tc Server CaSa must be configured with FIPS 140-2 compliant ciphers for HTTPS connections.</t>
        </r>
      </text>
    </comment>
    <comment ref="Y84" authorId="0" shapeId="0" xr:uid="{00000000-0006-0000-0A00-000036000000}">
      <text>
        <r>
          <rPr>
            <sz val="11"/>
            <rFont val="Calibri"/>
          </rPr>
          <t>tc Server API must be configured with FIPS 140-2 compliant ciphers for HTTPS connections.</t>
        </r>
      </text>
    </comment>
    <comment ref="Z84" authorId="0" shapeId="0" xr:uid="{00000000-0006-0000-0A00-000037000000}">
      <text>
        <r>
          <rPr>
            <sz val="11"/>
            <rFont val="Calibri"/>
          </rPr>
          <t>tc Server UI must use cryptography to protect the integrity of remote sessions.</t>
        </r>
      </text>
    </comment>
    <comment ref="AA84" authorId="0" shapeId="0" xr:uid="{00000000-0006-0000-0A00-000038000000}">
      <text>
        <r>
          <rPr>
            <sz val="11"/>
            <rFont val="Calibri"/>
          </rPr>
          <t>tc Server CaSa must use cryptography to protect the integrity of remote sessions.</t>
        </r>
      </text>
    </comment>
    <comment ref="AB84" authorId="0" shapeId="0" xr:uid="{00000000-0006-0000-0A00-000039000000}">
      <text>
        <r>
          <rPr>
            <sz val="11"/>
            <rFont val="Calibri"/>
          </rPr>
          <t>tc Server API must use cryptography to protect the integrity of remote sessions.</t>
        </r>
      </text>
    </comment>
    <comment ref="AC84" authorId="0" shapeId="0" xr:uid="{00000000-0006-0000-0A00-00003A000000}">
      <text>
        <r>
          <rPr>
            <sz val="11"/>
            <rFont val="Calibri"/>
          </rPr>
          <t>tc Server UI must encrypt passwords during transmission.</t>
        </r>
      </text>
    </comment>
    <comment ref="AD84" authorId="0" shapeId="0" xr:uid="{00000000-0006-0000-0A00-00003B000000}">
      <text>
        <r>
          <rPr>
            <sz val="11"/>
            <rFont val="Calibri"/>
          </rPr>
          <t>tc Server CaSa must encrypt passwords during transmission.</t>
        </r>
      </text>
    </comment>
    <comment ref="AE84" authorId="0" shapeId="0" xr:uid="{00000000-0006-0000-0A00-00003C000000}">
      <text>
        <r>
          <rPr>
            <sz val="11"/>
            <rFont val="Calibri"/>
          </rPr>
          <t>tc Server API must encrypt passwords during transmission.</t>
        </r>
      </text>
    </comment>
    <comment ref="AF84" authorId="0" shapeId="0" xr:uid="{00000000-0006-0000-0A00-000016000000}">
      <text>
        <r>
          <rPr>
            <sz val="11"/>
            <rFont val="Calibri"/>
          </rPr>
          <t>tc Server UI must use cryptographic modules that meet the requirements of applicable federal laws, Executive Orders, directives, policies, regulations, standards, and guidance when authenticating users and processes.</t>
        </r>
      </text>
    </comment>
    <comment ref="AG84" authorId="0" shapeId="0" xr:uid="{00000000-0006-0000-0A00-000017000000}">
      <text>
        <r>
          <rPr>
            <sz val="11"/>
            <rFont val="Calibri"/>
          </rPr>
          <t>tc Server CaSa must use cryptographic modules that meet the requirements of applicable federal laws, Executive Orders, directives, policies, regulations, standards, and guidance when authenticating users and processes.</t>
        </r>
      </text>
    </comment>
    <comment ref="AH84" authorId="0" shapeId="0" xr:uid="{00000000-0006-0000-0A00-000018000000}">
      <text>
        <r>
          <rPr>
            <sz val="11"/>
            <rFont val="Calibri"/>
          </rPr>
          <t>tc Server API must use cryptographic modules that meet the requirements of applicable federal laws, Executive Orders, directives, policies, regulations, standards, and guidance when authenticating users and processes.</t>
        </r>
      </text>
    </comment>
    <comment ref="AI84" authorId="0" shapeId="0" xr:uid="{00000000-0006-0000-0A00-000019000000}">
      <text>
        <r>
          <rPr>
            <sz val="11"/>
            <rFont val="Calibri"/>
          </rPr>
          <t>tc Server UI must be configured to use the https scheme.</t>
        </r>
      </text>
    </comment>
    <comment ref="AJ84" authorId="0" shapeId="0" xr:uid="{00000000-0006-0000-0A00-00001A000000}">
      <text>
        <r>
          <rPr>
            <sz val="11"/>
            <rFont val="Calibri"/>
          </rPr>
          <t>tc Server CaSa must be configured to use the https scheme.</t>
        </r>
      </text>
    </comment>
    <comment ref="AK84" authorId="0" shapeId="0" xr:uid="{00000000-0006-0000-0A00-00001B000000}">
      <text>
        <r>
          <rPr>
            <sz val="11"/>
            <rFont val="Calibri"/>
          </rPr>
          <t>tc Server API must be configured to use the https scheme.</t>
        </r>
      </text>
    </comment>
    <comment ref="AL84" authorId="0" shapeId="0" xr:uid="{00000000-0006-0000-0A00-00001C000000}">
      <text>
        <r>
          <rPr>
            <sz val="11"/>
            <rFont val="Calibri"/>
          </rPr>
          <t>tc Server UI must use NSA Suite A cryptography when encrypting data that must be compartmentalized.</t>
        </r>
      </text>
    </comment>
    <comment ref="AM84" authorId="0" shapeId="0" xr:uid="{00000000-0006-0000-0A00-00001D000000}">
      <text>
        <r>
          <rPr>
            <sz val="11"/>
            <rFont val="Calibri"/>
          </rPr>
          <t>tc Server CaSa must use NSA Suite A cryptography when encrypting data that must be compartmentalized.</t>
        </r>
      </text>
    </comment>
    <comment ref="AN84" authorId="0" shapeId="0" xr:uid="{00000000-0006-0000-0A00-00001E000000}">
      <text>
        <r>
          <rPr>
            <sz val="11"/>
            <rFont val="Calibri"/>
          </rPr>
          <t>tc Server API must use NSA Suite A cryptography when encrypting data that must be compartmentalized.</t>
        </r>
      </text>
    </comment>
    <comment ref="AO84" authorId="0" shapeId="0" xr:uid="{00000000-0006-0000-0A00-00001F000000}">
      <text>
        <r>
          <rPr>
            <sz val="11"/>
            <rFont val="Calibri"/>
          </rPr>
          <t>tc Server UI must employ cryptographic mechanisms (TLS/DTLS/SSL) preventing the unauthorized disclosure of information during transmission.</t>
        </r>
      </text>
    </comment>
    <comment ref="AP84" authorId="0" shapeId="0" xr:uid="{00000000-0006-0000-0A00-000020000000}">
      <text>
        <r>
          <rPr>
            <sz val="11"/>
            <rFont val="Calibri"/>
          </rPr>
          <t>tc Server CaSa must employ cryptographic mechanisms (TLS/DTLS/SSL) preventing the unauthorized disclosure of information during transmission.</t>
        </r>
      </text>
    </comment>
    <comment ref="AQ84" authorId="0" shapeId="0" xr:uid="{00000000-0006-0000-0A00-000021000000}">
      <text>
        <r>
          <rPr>
            <sz val="11"/>
            <rFont val="Calibri"/>
          </rPr>
          <t>tc Server API must employ cryptographic mechanisms (TLS/DTLS/SSL) preventing the unauthorized disclosure of information during transmission.</t>
        </r>
      </text>
    </comment>
    <comment ref="AR84" authorId="0" shapeId="0" xr:uid="{00000000-0006-0000-0A00-000022000000}">
      <text>
        <r>
          <rPr>
            <sz val="11"/>
            <rFont val="Calibri"/>
          </rPr>
          <t>tc Server UI must set sslEnabledProtocols to an approved Transport Layer Security (TLS) version.</t>
        </r>
      </text>
    </comment>
    <comment ref="AS84" authorId="0" shapeId="0" xr:uid="{00000000-0006-0000-0A00-000023000000}">
      <text>
        <r>
          <rPr>
            <sz val="11"/>
            <rFont val="Calibri"/>
          </rPr>
          <t>tc Server CaSa must set sslEnabledProtocols to an approved Transport Layer Security (TLS) version.</t>
        </r>
      </text>
    </comment>
    <comment ref="AT84" authorId="0" shapeId="0" xr:uid="{00000000-0006-0000-0A00-000024000000}">
      <text>
        <r>
          <rPr>
            <sz val="11"/>
            <rFont val="Calibri"/>
          </rPr>
          <t>tc Server API must set sslEnabledProtocols to an approved Transport Layer Security (TLS) version.</t>
        </r>
      </text>
    </comment>
    <comment ref="AU84" authorId="0" shapeId="0" xr:uid="{00000000-0006-0000-0A00-000025000000}">
      <text>
        <r>
          <rPr>
            <sz val="11"/>
            <rFont val="Calibri"/>
          </rPr>
          <t>tc Server UI must remove all export ciphers to protect the confidentiality and integrity of transmitted information.</t>
        </r>
      </text>
    </comment>
    <comment ref="AV84" authorId="0" shapeId="0" xr:uid="{00000000-0006-0000-0A00-000026000000}">
      <text>
        <r>
          <rPr>
            <sz val="11"/>
            <rFont val="Calibri"/>
          </rPr>
          <t>tc Server CaSa must remove all export ciphers to protect the confidentiality and integrity of transmitted information.</t>
        </r>
      </text>
    </comment>
    <comment ref="AW84" authorId="0" shapeId="0" xr:uid="{00000000-0006-0000-0A00-000027000000}">
      <text>
        <r>
          <rPr>
            <sz val="11"/>
            <rFont val="Calibri"/>
          </rPr>
          <t>tc Server API must remove all export ciphers to protect the confidentiality and integrity of transmitted information.</t>
        </r>
      </text>
    </comment>
    <comment ref="AX84" authorId="0" shapeId="0" xr:uid="{00000000-0006-0000-0A00-000028000000}">
      <text>
        <r>
          <rPr>
            <sz val="11"/>
            <rFont val="Calibri"/>
          </rPr>
          <t>tc Server UI must use approved Transport Layer Security (TLS) versions to maintain the confidentiality and integrity of information during reception.</t>
        </r>
      </text>
    </comment>
    <comment ref="AY84" authorId="0" shapeId="0" xr:uid="{00000000-0006-0000-0A00-000029000000}">
      <text>
        <r>
          <rPr>
            <sz val="11"/>
            <rFont val="Calibri"/>
          </rPr>
          <t>tc Server CaSa must use approved Transport Layer Security (TLS) versions to maintain the confidentiality and integrity of information during reception.</t>
        </r>
      </text>
    </comment>
    <comment ref="L119" authorId="0" shapeId="0" xr:uid="{00000000-0006-0000-0A00-00003D000000}">
      <text>
        <r>
          <rPr>
            <sz val="11"/>
            <rFont val="Calibri"/>
          </rPr>
          <t>Security-relevant software updates to the vROps PostgreSQL DB must be installed within the time period directed by an authoritative source (e.g. IAVM, CTOs, DTMs, and STIGs).</t>
        </r>
      </text>
    </comment>
    <comment ref="M119" authorId="0" shapeId="0" xr:uid="{00000000-0006-0000-0A00-00003E000000}">
      <text>
        <r>
          <rPr>
            <sz val="11"/>
            <rFont val="Calibri"/>
          </rPr>
          <t>tc Server ALL must have all security-relevant software updates installed within the configured time period directed by an authoritative source.</t>
        </r>
      </text>
    </comment>
    <comment ref="L159" authorId="0" shapeId="0" xr:uid="{00000000-0006-0000-0A00-00003F000000}">
      <text>
        <r>
          <rPr>
            <sz val="11"/>
            <rFont val="Calibri"/>
          </rPr>
          <t>The vRealize Operations server session timeout must be configured.</t>
        </r>
      </text>
    </comment>
    <comment ref="M159" authorId="0" shapeId="0" xr:uid="{00000000-0006-0000-0A00-000040000000}">
      <text>
        <r>
          <rPr>
            <sz val="11"/>
            <rFont val="Calibri"/>
          </rPr>
          <t>The SLES for vRealize must initiate a session lock after a 15-minute period of inactivity for all connection types.</t>
        </r>
      </text>
    </comment>
    <comment ref="N159" authorId="0" shapeId="0" xr:uid="{00000000-0006-0000-0A00-000041000000}">
      <text>
        <r>
          <rPr>
            <sz val="11"/>
            <rFont val="Calibri"/>
          </rPr>
          <t>The SLES for vRealize must initiate a session lock after a 15-minute period of inactivity for an SSH connection.</t>
        </r>
      </text>
    </comment>
    <comment ref="O159" authorId="0" shapeId="0" xr:uid="{00000000-0006-0000-0A00-000042000000}">
      <text>
        <r>
          <rPr>
            <sz val="11"/>
            <rFont val="Calibri"/>
          </rPr>
          <t>The SLES for vRealize must terminate all network connections associated with a communications session at the end of the session, or as follows: for in-band management sessions (privileged sessions), the session must be terminated after 10 minutes of inactivity; and for user sessions (non-privileged session), the session must be terminated after 15 minutes of inactivity, except to fulfill documented and validated mission requirements.</t>
        </r>
      </text>
    </comment>
    <comment ref="P159" authorId="0" shapeId="0" xr:uid="{00000000-0006-0000-0A00-000043000000}">
      <text>
        <r>
          <rPr>
            <sz val="11"/>
            <rFont val="Calibri"/>
          </rPr>
          <t>The SLES for vRealize must automatically terminate a user session after inactivity time-outs have expired or at shutdown.</t>
        </r>
      </text>
    </comment>
    <comment ref="Q159" authorId="0" shapeId="0" xr:uid="{00000000-0006-0000-0A00-000044000000}">
      <text>
        <r>
          <rPr>
            <sz val="11"/>
            <rFont val="Calibri"/>
          </rPr>
          <t>tc Server UI must limit the amount of time that each TCP connection is kept alive.</t>
        </r>
      </text>
    </comment>
    <comment ref="R159" authorId="0" shapeId="0" xr:uid="{00000000-0006-0000-0A00-000045000000}">
      <text>
        <r>
          <rPr>
            <sz val="11"/>
            <rFont val="Calibri"/>
          </rPr>
          <t>tc Server CaSa must limit the amount of time that each TCP connection is kept alive.</t>
        </r>
      </text>
    </comment>
    <comment ref="S159" authorId="0" shapeId="0" xr:uid="{00000000-0006-0000-0A00-000046000000}">
      <text>
        <r>
          <rPr>
            <sz val="11"/>
            <rFont val="Calibri"/>
          </rPr>
          <t>tc Server API must limit the amount of time that each TCP connection is kept alive.</t>
        </r>
      </text>
    </comment>
    <comment ref="T159" authorId="0" shapeId="0" xr:uid="{00000000-0006-0000-0A00-000047000000}">
      <text>
        <r>
          <rPr>
            <sz val="11"/>
            <rFont val="Calibri"/>
          </rPr>
          <t>tc Server UI must limit the number of times that each TCP connection is kept alive.</t>
        </r>
      </text>
    </comment>
    <comment ref="U159" authorId="0" shapeId="0" xr:uid="{00000000-0006-0000-0A00-000048000000}">
      <text>
        <r>
          <rPr>
            <sz val="11"/>
            <rFont val="Calibri"/>
          </rPr>
          <t>tc Server CaSa must limit the number of times that each TCP connection is kept alive.</t>
        </r>
      </text>
    </comment>
    <comment ref="V159" authorId="0" shapeId="0" xr:uid="{00000000-0006-0000-0A00-000049000000}">
      <text>
        <r>
          <rPr>
            <sz val="11"/>
            <rFont val="Calibri"/>
          </rPr>
          <t>tc Server API must limit the number of times that each TCP connection is kept alive.</t>
        </r>
      </text>
    </comment>
    <comment ref="W159" authorId="0" shapeId="0" xr:uid="{00000000-0006-0000-0A00-00004A000000}">
      <text>
        <r>
          <rPr>
            <sz val="11"/>
            <rFont val="Calibri"/>
          </rPr>
          <t>tc Server UI must set an inactive timeout for sessions.</t>
        </r>
      </text>
    </comment>
    <comment ref="X159" authorId="0" shapeId="0" xr:uid="{00000000-0006-0000-0A00-00004B000000}">
      <text>
        <r>
          <rPr>
            <sz val="11"/>
            <rFont val="Calibri"/>
          </rPr>
          <t>tc Server CaSa must set an inactive timeout for sessions.</t>
        </r>
      </text>
    </comment>
    <comment ref="Y159" authorId="0" shapeId="0" xr:uid="{00000000-0006-0000-0A00-00004C000000}">
      <text>
        <r>
          <rPr>
            <sz val="11"/>
            <rFont val="Calibri"/>
          </rPr>
          <t>tc Server API must set an inactive timeout for sessions.</t>
        </r>
      </text>
    </comment>
    <comment ref="L162" authorId="0" shapeId="0" xr:uid="{00000000-0006-0000-0A00-00004D000000}">
      <text>
        <r>
          <rPr>
            <sz val="11"/>
            <rFont val="Calibri"/>
          </rPr>
          <t>If passwords are used for authentication, the vROps PostgreSQL DB must transmit only encrypted representations of passwords.</t>
        </r>
      </text>
    </comment>
    <comment ref="M162" authorId="0" shapeId="0" xr:uid="{00000000-0006-0000-0A00-00004E000000}">
      <text>
        <r>
          <rPr>
            <sz val="11"/>
            <rFont val="Calibri"/>
          </rPr>
          <t>The SLES for vRealize must store only encrypted representations of passwords.</t>
        </r>
      </text>
    </comment>
    <comment ref="L164" authorId="0" shapeId="0" xr:uid="{00000000-0006-0000-0A00-00004F000000}">
      <text>
        <r>
          <rPr>
            <sz val="11"/>
            <rFont val="Calibri"/>
          </rPr>
          <t>The SLES for vRealize must enforce the limit of three consecutive invalid logon attempts by a user during a 15-minute time period.</t>
        </r>
      </text>
    </comment>
    <comment ref="M164" authorId="0" shapeId="0" xr:uid="{00000000-0006-0000-0A00-000050000000}">
      <text>
        <r>
          <rPr>
            <sz val="11"/>
            <rFont val="Calibri"/>
          </rPr>
          <t>The SLES for vRealize must automatically lock an account until the locked account is released by an administrator when three unsuccessful logon attempts in 15 minutes occur.</t>
        </r>
      </text>
    </comment>
    <comment ref="L166" authorId="0" shapeId="0" xr:uid="{00000000-0006-0000-0A00-000051000000}">
      <text>
        <r>
          <rPr>
            <sz val="11"/>
            <rFont val="Calibri"/>
          </rPr>
          <t>The SLES for vRealize must enforce password complexity by requiring that at least one upper-case character be used.</t>
        </r>
      </text>
    </comment>
    <comment ref="M166" authorId="0" shapeId="0" xr:uid="{00000000-0006-0000-0A00-000052000000}">
      <text>
        <r>
          <rPr>
            <sz val="11"/>
            <rFont val="Calibri"/>
          </rPr>
          <t>The SLES for vRealize must enforce password complexity by requiring that at least one lower-case character be used.</t>
        </r>
      </text>
    </comment>
    <comment ref="N166" authorId="0" shapeId="0" xr:uid="{00000000-0006-0000-0A00-000053000000}">
      <text>
        <r>
          <rPr>
            <sz val="11"/>
            <rFont val="Calibri"/>
          </rPr>
          <t>The SLES for vRealize must enforce password complexity by requiring that at least one numeric character be used.</t>
        </r>
      </text>
    </comment>
    <comment ref="O166" authorId="0" shapeId="0" xr:uid="{00000000-0006-0000-0A00-000054000000}">
      <text>
        <r>
          <rPr>
            <sz val="11"/>
            <rFont val="Calibri"/>
          </rPr>
          <t>The SLES for vRealize must enforce a minimum 15-character password length.</t>
        </r>
      </text>
    </comment>
    <comment ref="P166" authorId="0" shapeId="0" xr:uid="{00000000-0006-0000-0A00-000055000000}">
      <text>
        <r>
          <rPr>
            <sz val="11"/>
            <rFont val="Calibri"/>
          </rPr>
          <t>The SLES for vRealize must enforce password complexity by requiring that at least one special character be used.</t>
        </r>
      </text>
    </comment>
    <comment ref="L167" authorId="0" shapeId="0" xr:uid="{00000000-0006-0000-0A00-000056000000}">
      <text>
        <r>
          <rPr>
            <sz val="11"/>
            <rFont val="Calibri"/>
          </rPr>
          <t>The SLES for vRealize must prohibit password reuse for a minimum of five generations.</t>
        </r>
      </text>
    </comment>
    <comment ref="M167" authorId="0" shapeId="0" xr:uid="{00000000-0006-0000-0A00-000057000000}">
      <text>
        <r>
          <rPr>
            <sz val="11"/>
            <rFont val="Calibri"/>
          </rPr>
          <t>The SLES for vRealize must prohibit password reuse for a minimum of five generations. Ensure the old passwords are being stored.</t>
        </r>
      </text>
    </comment>
    <comment ref="L169" authorId="0" shapeId="0" xr:uid="{00000000-0006-0000-0A00-000058000000}">
      <text>
        <r>
          <rPr>
            <sz val="11"/>
            <rFont val="Calibri"/>
          </rPr>
          <t>SLES for vRealize must enforce a 60-day maximum password lifetime restriction.</t>
        </r>
      </text>
    </comment>
    <comment ref="M169" authorId="0" shapeId="0" xr:uid="{00000000-0006-0000-0A00-000059000000}">
      <text>
        <r>
          <rPr>
            <sz val="11"/>
            <rFont val="Calibri"/>
          </rPr>
          <t>User passwords must be changed at least every 60 days.</t>
        </r>
      </text>
    </comment>
    <comment ref="L174" authorId="0" shapeId="0" xr:uid="{00000000-0006-0000-0A00-00005A000000}">
      <text>
        <r>
          <rPr>
            <sz val="11"/>
            <rFont val="Calibri"/>
          </rPr>
          <t>The SLES for vRealize must employ strong authenticators in the establishment of nonlocal maintenance and diagnostic sessions.</t>
        </r>
      </text>
    </comment>
    <comment ref="L221" authorId="0" shapeId="0" xr:uid="{00000000-0006-0000-0A00-00005B000000}">
      <text>
        <r>
          <rPr>
            <sz val="11"/>
            <rFont val="Calibri"/>
          </rPr>
          <t>The vROps PostgreSQL DB must provide audit record generation for DoD-defined auditable events within all DBMS/database components.</t>
        </r>
      </text>
    </comment>
    <comment ref="M221" authorId="0" shapeId="0" xr:uid="{00000000-0006-0000-0A00-00005C000000}">
      <text>
        <r>
          <rPr>
            <sz val="11"/>
            <rFont val="Calibri"/>
          </rPr>
          <t>The vROps PostgreSQL DB must initiate session auditing upon startup.</t>
        </r>
      </text>
    </comment>
    <comment ref="N221" authorId="0" shapeId="0" xr:uid="{00000000-0006-0000-0A00-00005D000000}">
      <text>
        <r>
          <rPr>
            <sz val="11"/>
            <rFont val="Calibri"/>
          </rPr>
          <t>The vROps PostgreSQL DB must provide authorized users to capture, record, and log all content related to a user session.</t>
        </r>
      </text>
    </comment>
    <comment ref="O221" authorId="0" shapeId="0" xr:uid="{00000000-0006-0000-0A00-00005E000000}">
      <text>
        <r>
          <rPr>
            <sz val="11"/>
            <rFont val="Calibri"/>
          </rPr>
          <t>The vROps PostgreSQL DB must produce audit records containing sufficient information to establish what type of events occurred.</t>
        </r>
      </text>
    </comment>
    <comment ref="P221" authorId="0" shapeId="0" xr:uid="{00000000-0006-0000-0A00-00005F000000}">
      <text>
        <r>
          <rPr>
            <sz val="11"/>
            <rFont val="Calibri"/>
          </rPr>
          <t>The vROps PostgreSQL DB must produce audit records containing sufficient information to establish where the events occurred.</t>
        </r>
      </text>
    </comment>
    <comment ref="Q221" authorId="0" shapeId="0" xr:uid="{00000000-0006-0000-0A00-000060000000}">
      <text>
        <r>
          <rPr>
            <sz val="11"/>
            <rFont val="Calibri"/>
          </rPr>
          <t>The vROps PostgreSQL DB must produce audit records containing sufficient information to establish the sources (origins) of the events.</t>
        </r>
      </text>
    </comment>
    <comment ref="R221" authorId="0" shapeId="0" xr:uid="{00000000-0006-0000-0A00-000061000000}">
      <text>
        <r>
          <rPr>
            <sz val="11"/>
            <rFont val="Calibri"/>
          </rPr>
          <t>The vROps PostgreSQL DB must produce audit records containing sufficient information to establish the outcome (success or failure) of the events.</t>
        </r>
      </text>
    </comment>
    <comment ref="S221" authorId="0" shapeId="0" xr:uid="{00000000-0006-0000-0A00-000062000000}">
      <text>
        <r>
          <rPr>
            <sz val="11"/>
            <rFont val="Calibri"/>
          </rPr>
          <t>The vROps PostgreSQL DB must produce audit records containing sufficient information to establish the identity of any user/subject or process associated with the event.</t>
        </r>
      </text>
    </comment>
    <comment ref="T221" authorId="0" shapeId="0" xr:uid="{00000000-0006-0000-0A00-000063000000}">
      <text>
        <r>
          <rPr>
            <sz val="11"/>
            <rFont val="Calibri"/>
          </rPr>
          <t>The vROps PostgreSQL DB must include additional, more detailed, organization-defined information in the audit records for audit events identified by type, location, or subject.</t>
        </r>
      </text>
    </comment>
    <comment ref="U221" authorId="0" shapeId="0" xr:uid="{00000000-0006-0000-0A00-000064000000}">
      <text>
        <r>
          <rPr>
            <sz val="11"/>
            <rFont val="Calibri"/>
          </rPr>
          <t>The vROps PostgreSQL DB must be configurable to overwrite audit log records, oldest first (First-In-First-Out - FIFO), in the event of unavailability of space for more audit log records.</t>
        </r>
      </text>
    </comment>
    <comment ref="V221" authorId="0" shapeId="0" xr:uid="{00000000-0006-0000-0A00-000065000000}">
      <text>
        <r>
          <rPr>
            <sz val="11"/>
            <rFont val="Calibri"/>
          </rPr>
          <t>The audit information produced by the vROps PostgreSQL DB must be protected from unauthorized deletion.</t>
        </r>
      </text>
    </comment>
    <comment ref="W221" authorId="0" shapeId="0" xr:uid="{00000000-0006-0000-0A00-000066000000}">
      <text>
        <r>
          <rPr>
            <sz val="11"/>
            <rFont val="Calibri"/>
          </rPr>
          <t>The vROps PostgreSQL DB must be configured to prohibit or restrict the use of organization-defined functions, ports, protocols, and/or services, as defined in the PPSM CAL and vulnerability assessments.</t>
        </r>
      </text>
    </comment>
    <comment ref="X221" authorId="0" shapeId="0" xr:uid="{00000000-0006-0000-0A00-000067000000}">
      <text>
        <r>
          <rPr>
            <sz val="11"/>
            <rFont val="Calibri"/>
          </rPr>
          <t>If passwords are used for authentication, the vROps PostgreSQL DB must store only hashed, salted representations of passwords.</t>
        </r>
      </text>
    </comment>
    <comment ref="Y221" authorId="0" shapeId="0" xr:uid="{00000000-0006-0000-0A00-000068000000}">
      <text>
        <r>
          <rPr>
            <sz val="11"/>
            <rFont val="Calibri"/>
          </rPr>
          <t>The vROps PostgreSQL DB must be able to generate audit records when security objects are accessed.</t>
        </r>
      </text>
    </comment>
    <comment ref="Z221" authorId="0" shapeId="0" xr:uid="{00000000-0006-0000-0A00-000069000000}">
      <text>
        <r>
          <rPr>
            <sz val="11"/>
            <rFont val="Calibri"/>
          </rPr>
          <t>The vROps PostgreSQL DB must generate audit records when unsuccessful attempts to add privileges/permissions occur.</t>
        </r>
      </text>
    </comment>
    <comment ref="AA221" authorId="0" shapeId="0" xr:uid="{00000000-0006-0000-0A00-00006A000000}">
      <text>
        <r>
          <rPr>
            <sz val="11"/>
            <rFont val="Calibri"/>
          </rPr>
          <t>The vROps PostgreSQL DB must generate audit records when categories of information (e.g., classification levels/security levels) are deleted.</t>
        </r>
      </text>
    </comment>
    <comment ref="AB221" authorId="0" shapeId="0" xr:uid="{00000000-0006-0000-0A00-00006B000000}">
      <text>
        <r>
          <rPr>
            <sz val="11"/>
            <rFont val="Calibri"/>
          </rPr>
          <t>The vROps PostgreSQL DB must generate audit records when successful logons or connections occur.</t>
        </r>
      </text>
    </comment>
    <comment ref="AC221" authorId="0" shapeId="0" xr:uid="{00000000-0006-0000-0A00-00006C000000}">
      <text>
        <r>
          <rPr>
            <sz val="11"/>
            <rFont val="Calibri"/>
          </rPr>
          <t>The vROps PostgreSQL DB must generate audit records when unsuccessful logons or connection attempts occur.</t>
        </r>
      </text>
    </comment>
    <comment ref="AD221" authorId="0" shapeId="0" xr:uid="{00000000-0006-0000-0A00-00006D000000}">
      <text>
        <r>
          <rPr>
            <sz val="11"/>
            <rFont val="Calibri"/>
          </rPr>
          <t>The vROps PostgreSQL DB must generate audit records showing starting and ending time for user access to the database(s).</t>
        </r>
      </text>
    </comment>
    <comment ref="AE221" authorId="0" shapeId="0" xr:uid="{00000000-0006-0000-0A00-00006E000000}">
      <text>
        <r>
          <rPr>
            <sz val="11"/>
            <rFont val="Calibri"/>
          </rPr>
          <t>The vROps PostgreSQL DB must generate audit records when concurrent logons/connections by the same user from different workstations occur.</t>
        </r>
      </text>
    </comment>
    <comment ref="AF221" authorId="0" shapeId="0" xr:uid="{00000000-0006-0000-0A00-00006F000000}">
      <text>
        <r>
          <rPr>
            <sz val="11"/>
            <rFont val="Calibri"/>
          </rPr>
          <t>The vROps PostgreSQL DB must be able to generate audit records when successful accesses to objects occur.</t>
        </r>
      </text>
    </comment>
    <comment ref="AG221" authorId="0" shapeId="0" xr:uid="{00000000-0006-0000-0A00-000070000000}">
      <text>
        <r>
          <rPr>
            <sz val="11"/>
            <rFont val="Calibri"/>
          </rPr>
          <t>The vROps PostgreSQL DB must generate audit records when unsuccessful accesses to objects occur.</t>
        </r>
      </text>
    </comment>
    <comment ref="AH221" authorId="0" shapeId="0" xr:uid="{00000000-0006-0000-0A00-000071000000}">
      <text>
        <r>
          <rPr>
            <sz val="11"/>
            <rFont val="Calibri"/>
          </rPr>
          <t>The vROps PostgreSQL DB must generate audit records for all direct access to the database(s).</t>
        </r>
      </text>
    </comment>
    <comment ref="AI221" authorId="0" shapeId="0" xr:uid="{00000000-0006-0000-0A00-000072000000}">
      <text>
        <r>
          <rPr>
            <sz val="11"/>
            <rFont val="Calibri"/>
          </rPr>
          <t>The SLES for vRealize must audit all account creations.</t>
        </r>
      </text>
    </comment>
    <comment ref="AJ221" authorId="0" shapeId="0" xr:uid="{00000000-0006-0000-0A00-000073000000}">
      <text>
        <r>
          <rPr>
            <sz val="11"/>
            <rFont val="Calibri"/>
          </rPr>
          <t>In addition to auditing new user and group accounts, these watches will alert the system administrator(s) to any modifications, any unexpected users, groups, or modifications must be investigated for legitimacy.</t>
        </r>
      </text>
    </comment>
    <comment ref="AK221" authorId="0" shapeId="0" xr:uid="{00000000-0006-0000-0A00-000074000000}">
      <text>
        <r>
          <rPr>
            <sz val="11"/>
            <rFont val="Calibri"/>
          </rPr>
          <t>The SLES for vRealize must generate audit records when successful/unsuccessful attempts to access privileges occur. The operating system must generate audit records for all discretionary access control permission modifications using chmod.</t>
        </r>
      </text>
    </comment>
    <comment ref="AL221" authorId="0" shapeId="0" xr:uid="{00000000-0006-0000-0A00-000075000000}">
      <text>
        <r>
          <rPr>
            <sz val="11"/>
            <rFont val="Calibri"/>
          </rPr>
          <t>The SLES for vRealize must generate audit records when successful/unsuccessful attempts to access privileges occur. The SLES for vRealize must generate audit records for all discretionary access control permission modifications using chown.</t>
        </r>
      </text>
    </comment>
    <comment ref="AM221" authorId="0" shapeId="0" xr:uid="{00000000-0006-0000-0A00-000076000000}">
      <text>
        <r>
          <rPr>
            <sz val="11"/>
            <rFont val="Calibri"/>
          </rPr>
          <t>The SLES for vRealize must generate audit records when successful/unsuccessful attempts to access privileges occur. The SLES for vRealize must generate audit records for all discretionary access control permission modifications using fchmod.</t>
        </r>
      </text>
    </comment>
    <comment ref="AN221" authorId="0" shapeId="0" xr:uid="{00000000-0006-0000-0A00-000077000000}">
      <text>
        <r>
          <rPr>
            <sz val="11"/>
            <rFont val="Calibri"/>
          </rPr>
          <t>The SLES for vRealize must generate audit records when successful/unsuccessful attempts to access privileges occur. The SLES for vRealize must generate audit records for all discretionary access control permission modifications using fchmodat.</t>
        </r>
      </text>
    </comment>
    <comment ref="AO221" authorId="0" shapeId="0" xr:uid="{00000000-0006-0000-0A00-000078000000}">
      <text>
        <r>
          <rPr>
            <sz val="11"/>
            <rFont val="Calibri"/>
          </rPr>
          <t>The SLES for vRealize must generate audit records when successful/unsuccessful attempts to access privileges occur. The SLES for vRealize must generate audit records for all discretionary access control permission modifications using fchown.</t>
        </r>
      </text>
    </comment>
    <comment ref="AP221" authorId="0" shapeId="0" xr:uid="{00000000-0006-0000-0A00-000079000000}">
      <text>
        <r>
          <rPr>
            <sz val="11"/>
            <rFont val="Calibri"/>
          </rPr>
          <t>The SLES for vRealize must generate audit records when successful/unsuccessful attempts to access privileges occur. The SLES for vRealize must generate audit records for all discretionary access control permission modifications using fchownat.</t>
        </r>
      </text>
    </comment>
    <comment ref="AQ221" authorId="0" shapeId="0" xr:uid="{00000000-0006-0000-0A00-00007A000000}">
      <text>
        <r>
          <rPr>
            <sz val="11"/>
            <rFont val="Calibri"/>
          </rPr>
          <t>The SLES for vRealize must generate audit records when successful/unsuccessful attempts to access privileges occur. The SLES for vRealize must generate audit records for all discretionary access control permission modifications using fremovexattr.</t>
        </r>
      </text>
    </comment>
    <comment ref="AR221" authorId="0" shapeId="0" xr:uid="{00000000-0006-0000-0A00-00007B000000}">
      <text>
        <r>
          <rPr>
            <sz val="11"/>
            <rFont val="Calibri"/>
          </rPr>
          <t>The SLES for vRealize must generate audit records when successful/unsuccessful attempts to access privileges occur. The SLES for vRealize must generate audit records for all discretionary access control permission modifications using fsetxattr.</t>
        </r>
      </text>
    </comment>
    <comment ref="AS221" authorId="0" shapeId="0" xr:uid="{00000000-0006-0000-0A00-00007C000000}">
      <text>
        <r>
          <rPr>
            <sz val="11"/>
            <rFont val="Calibri"/>
          </rPr>
          <t>The SLES for vRealize must generate audit records when successful/unsuccessful attempts to access privileges occur. The SLES for vRealize must generate audit records for all discretionary access control permission modifications using lchown.</t>
        </r>
      </text>
    </comment>
    <comment ref="AT221" authorId="0" shapeId="0" xr:uid="{00000000-0006-0000-0A00-00007D000000}">
      <text>
        <r>
          <rPr>
            <sz val="11"/>
            <rFont val="Calibri"/>
          </rPr>
          <t>The SLES for vRealize must generate audit records when successful/unsuccessful attempts to access privileges occur. The SLES for vRealize must generate audit records for all discretionary access control permission modifications using lremovexattr.</t>
        </r>
      </text>
    </comment>
    <comment ref="AU221" authorId="0" shapeId="0" xr:uid="{00000000-0006-0000-0A00-00007E000000}">
      <text>
        <r>
          <rPr>
            <sz val="11"/>
            <rFont val="Calibri"/>
          </rPr>
          <t>The SLES for vRealize must generate audit records when successful/unsuccessful attempts to access privileges occur. The SLES for vRealize must generate audit records for all discretionary access control permission modifications using lsetxattr.</t>
        </r>
      </text>
    </comment>
    <comment ref="AV221" authorId="0" shapeId="0" xr:uid="{00000000-0006-0000-0A00-00007F000000}">
      <text>
        <r>
          <rPr>
            <sz val="11"/>
            <rFont val="Calibri"/>
          </rPr>
          <t>The SLES for vRealize must generate audit records when successful/unsuccessful attempts to access privileges occur. The SLES for vRealize must generate audit records for all discretionary access control permission modifications using removexattr.</t>
        </r>
      </text>
    </comment>
    <comment ref="AW221" authorId="0" shapeId="0" xr:uid="{00000000-0006-0000-0A00-000080000000}">
      <text>
        <r>
          <rPr>
            <sz val="11"/>
            <rFont val="Calibri"/>
          </rPr>
          <t>The SLES for vRealize must generate audit records when successful/unsuccessful attempts to access privileges occur. The SLES for vRealize must generate audit records for all discretionary access control permission modifications using setxattr.</t>
        </r>
      </text>
    </comment>
    <comment ref="AX221" authorId="0" shapeId="0" xr:uid="{00000000-0006-0000-0A00-000081000000}">
      <text>
        <r>
          <rPr>
            <sz val="11"/>
            <rFont val="Calibri"/>
          </rPr>
          <t>The SLES for vRealize must generate audit records when successful/unsuccessful attempts to access privileges occur. The SLES for vRealize must generate audit records for all failed attempts to access files and programs.</t>
        </r>
      </text>
    </comment>
    <comment ref="AY221" authorId="0" shapeId="0" xr:uid="{00000000-0006-0000-0A00-000082000000}">
      <text>
        <r>
          <rPr>
            <sz val="11"/>
            <rFont val="Calibri"/>
          </rPr>
          <t>The SLES for vRealize must audit all account modifications.</t>
        </r>
      </text>
    </comment>
    <comment ref="L229" authorId="0" shapeId="0" xr:uid="{00000000-0006-0000-0A00-000083000000}">
      <text>
        <r>
          <rPr>
            <sz val="11"/>
            <rFont val="Calibri"/>
          </rPr>
          <t>The vROps PostgreSQL DB must provide audit record generation for DoD-defined auditable events within all DBMS/database components.</t>
        </r>
      </text>
    </comment>
    <comment ref="M229" authorId="0" shapeId="0" xr:uid="{00000000-0006-0000-0A00-000084000000}">
      <text>
        <r>
          <rPr>
            <sz val="11"/>
            <rFont val="Calibri"/>
          </rPr>
          <t>The vROps PostgreSQL DB must initiate session auditing upon startup.</t>
        </r>
      </text>
    </comment>
    <comment ref="N229" authorId="0" shapeId="0" xr:uid="{00000000-0006-0000-0A00-000085000000}">
      <text>
        <r>
          <rPr>
            <sz val="11"/>
            <rFont val="Calibri"/>
          </rPr>
          <t>The vROps PostgreSQL DB must provide authorized users to capture, record, and log all content related to a user session.</t>
        </r>
      </text>
    </comment>
    <comment ref="O229" authorId="0" shapeId="0" xr:uid="{00000000-0006-0000-0A00-000086000000}">
      <text>
        <r>
          <rPr>
            <sz val="11"/>
            <rFont val="Calibri"/>
          </rPr>
          <t>The vROps PostgreSQL DB must produce audit records containing sufficient information to establish what type of events occurred.</t>
        </r>
      </text>
    </comment>
    <comment ref="P229" authorId="0" shapeId="0" xr:uid="{00000000-0006-0000-0A00-000087000000}">
      <text>
        <r>
          <rPr>
            <sz val="11"/>
            <rFont val="Calibri"/>
          </rPr>
          <t>The vROps PostgreSQL DB must produce audit records containing sufficient information to establish where the events occurred.</t>
        </r>
      </text>
    </comment>
    <comment ref="Q229" authorId="0" shapeId="0" xr:uid="{00000000-0006-0000-0A00-000088000000}">
      <text>
        <r>
          <rPr>
            <sz val="11"/>
            <rFont val="Calibri"/>
          </rPr>
          <t>The vROps PostgreSQL DB must produce audit records containing sufficient information to establish the sources (origins) of the events.</t>
        </r>
      </text>
    </comment>
    <comment ref="R229" authorId="0" shapeId="0" xr:uid="{00000000-0006-0000-0A00-000089000000}">
      <text>
        <r>
          <rPr>
            <sz val="11"/>
            <rFont val="Calibri"/>
          </rPr>
          <t>The vROps PostgreSQL DB must produce audit records containing sufficient information to establish the outcome (success or failure) of the events.</t>
        </r>
      </text>
    </comment>
    <comment ref="S229" authorId="0" shapeId="0" xr:uid="{00000000-0006-0000-0A00-00008A000000}">
      <text>
        <r>
          <rPr>
            <sz val="11"/>
            <rFont val="Calibri"/>
          </rPr>
          <t>The vROps PostgreSQL DB must produce audit records containing sufficient information to establish the identity of any user/subject or process associated with the event.</t>
        </r>
      </text>
    </comment>
    <comment ref="T229" authorId="0" shapeId="0" xr:uid="{00000000-0006-0000-0A00-00008B000000}">
      <text>
        <r>
          <rPr>
            <sz val="11"/>
            <rFont val="Calibri"/>
          </rPr>
          <t>The vROps PostgreSQL DB must include additional, more detailed, organization-defined information in the audit records for audit events identified by type, location, or subject.</t>
        </r>
      </text>
    </comment>
    <comment ref="U229" authorId="0" shapeId="0" xr:uid="{00000000-0006-0000-0A00-00008C000000}">
      <text>
        <r>
          <rPr>
            <sz val="11"/>
            <rFont val="Calibri"/>
          </rPr>
          <t>The vROps PostgreSQL DB must be configurable to overwrite audit log records, oldest first (First-In-First-Out - FIFO), in the event of unavailability of space for more audit log records.</t>
        </r>
      </text>
    </comment>
    <comment ref="V229" authorId="0" shapeId="0" xr:uid="{00000000-0006-0000-0A00-00008D000000}">
      <text>
        <r>
          <rPr>
            <sz val="11"/>
            <rFont val="Calibri"/>
          </rPr>
          <t>The audit information produced by the vROps PostgreSQL DB must be protected from unauthorized deletion.</t>
        </r>
      </text>
    </comment>
    <comment ref="W229" authorId="0" shapeId="0" xr:uid="{00000000-0006-0000-0A00-00008E000000}">
      <text>
        <r>
          <rPr>
            <sz val="11"/>
            <rFont val="Calibri"/>
          </rPr>
          <t>The vROps PostgreSQL DB must be configured to prohibit or restrict the use of organization-defined functions, ports, protocols, and/or services, as defined in the PPSM CAL and vulnerability assessments.</t>
        </r>
      </text>
    </comment>
    <comment ref="X229" authorId="0" shapeId="0" xr:uid="{00000000-0006-0000-0A00-00008F000000}">
      <text>
        <r>
          <rPr>
            <sz val="11"/>
            <rFont val="Calibri"/>
          </rPr>
          <t>If passwords are used for authentication, the vROps PostgreSQL DB must store only hashed, salted representations of passwords.</t>
        </r>
      </text>
    </comment>
    <comment ref="Y229" authorId="0" shapeId="0" xr:uid="{00000000-0006-0000-0A00-000090000000}">
      <text>
        <r>
          <rPr>
            <sz val="11"/>
            <rFont val="Calibri"/>
          </rPr>
          <t>The vROps PostgreSQL DB must be able to generate audit records when security objects are accessed.</t>
        </r>
      </text>
    </comment>
    <comment ref="Z229" authorId="0" shapeId="0" xr:uid="{00000000-0006-0000-0A00-000091000000}">
      <text>
        <r>
          <rPr>
            <sz val="11"/>
            <rFont val="Calibri"/>
          </rPr>
          <t>The vROps PostgreSQL DB must generate audit records when unsuccessful attempts to add privileges/permissions occur.</t>
        </r>
      </text>
    </comment>
    <comment ref="AA229" authorId="0" shapeId="0" xr:uid="{00000000-0006-0000-0A00-000092000000}">
      <text>
        <r>
          <rPr>
            <sz val="11"/>
            <rFont val="Calibri"/>
          </rPr>
          <t>The vROps PostgreSQL DB must generate audit records when categories of information (e.g., classification levels/security levels) are deleted.</t>
        </r>
      </text>
    </comment>
    <comment ref="AB229" authorId="0" shapeId="0" xr:uid="{00000000-0006-0000-0A00-000093000000}">
      <text>
        <r>
          <rPr>
            <sz val="11"/>
            <rFont val="Calibri"/>
          </rPr>
          <t>The vROps PostgreSQL DB must generate audit records when successful logons or connections occur.</t>
        </r>
      </text>
    </comment>
    <comment ref="AC229" authorId="0" shapeId="0" xr:uid="{00000000-0006-0000-0A00-000094000000}">
      <text>
        <r>
          <rPr>
            <sz val="11"/>
            <rFont val="Calibri"/>
          </rPr>
          <t>The vROps PostgreSQL DB must generate audit records when unsuccessful logons or connection attempts occur.</t>
        </r>
      </text>
    </comment>
    <comment ref="AD229" authorId="0" shapeId="0" xr:uid="{00000000-0006-0000-0A00-000095000000}">
      <text>
        <r>
          <rPr>
            <sz val="11"/>
            <rFont val="Calibri"/>
          </rPr>
          <t>The vROps PostgreSQL DB must generate audit records showing starting and ending time for user access to the database(s).</t>
        </r>
      </text>
    </comment>
    <comment ref="AE229" authorId="0" shapeId="0" xr:uid="{00000000-0006-0000-0A00-000096000000}">
      <text>
        <r>
          <rPr>
            <sz val="11"/>
            <rFont val="Calibri"/>
          </rPr>
          <t>The vROps PostgreSQL DB must generate audit records when concurrent logons/connections by the same user from different workstations occur.</t>
        </r>
      </text>
    </comment>
    <comment ref="AF229" authorId="0" shapeId="0" xr:uid="{00000000-0006-0000-0A00-000097000000}">
      <text>
        <r>
          <rPr>
            <sz val="11"/>
            <rFont val="Calibri"/>
          </rPr>
          <t>The vROps PostgreSQL DB must be able to generate audit records when successful accesses to objects occur.</t>
        </r>
      </text>
    </comment>
    <comment ref="AG229" authorId="0" shapeId="0" xr:uid="{00000000-0006-0000-0A00-000098000000}">
      <text>
        <r>
          <rPr>
            <sz val="11"/>
            <rFont val="Calibri"/>
          </rPr>
          <t>The vROps PostgreSQL DB must generate audit records when unsuccessful accesses to objects occur.</t>
        </r>
      </text>
    </comment>
    <comment ref="AH229" authorId="0" shapeId="0" xr:uid="{00000000-0006-0000-0A00-000099000000}">
      <text>
        <r>
          <rPr>
            <sz val="11"/>
            <rFont val="Calibri"/>
          </rPr>
          <t>The vROps PostgreSQL DB must generate audit records for all direct access to the database(s).</t>
        </r>
      </text>
    </comment>
    <comment ref="AI229" authorId="0" shapeId="0" xr:uid="{00000000-0006-0000-0A00-00009A000000}">
      <text>
        <r>
          <rPr>
            <sz val="11"/>
            <rFont val="Calibri"/>
          </rPr>
          <t>tc Server UI must record user access in a format that enables monitoring of remote access.</t>
        </r>
      </text>
    </comment>
    <comment ref="AJ229" authorId="0" shapeId="0" xr:uid="{00000000-0006-0000-0A00-00009B000000}">
      <text>
        <r>
          <rPr>
            <sz val="11"/>
            <rFont val="Calibri"/>
          </rPr>
          <t>tc Server CaSa must record user access in a format that enables monitoring of remote access.</t>
        </r>
      </text>
    </comment>
    <comment ref="AK229" authorId="0" shapeId="0" xr:uid="{00000000-0006-0000-0A00-00009C000000}">
      <text>
        <r>
          <rPr>
            <sz val="11"/>
            <rFont val="Calibri"/>
          </rPr>
          <t>tc Server API must record user access in a format that enables monitoring of remote access.</t>
        </r>
      </text>
    </comment>
    <comment ref="AL229" authorId="0" shapeId="0" xr:uid="{00000000-0006-0000-0A00-00009D000000}">
      <text>
        <r>
          <rPr>
            <sz val="11"/>
            <rFont val="Calibri"/>
          </rPr>
          <t>tc Server UI must generate log records for user access and authentication events.</t>
        </r>
      </text>
    </comment>
    <comment ref="AM229" authorId="0" shapeId="0" xr:uid="{00000000-0006-0000-0A00-00009E000000}">
      <text>
        <r>
          <rPr>
            <sz val="11"/>
            <rFont val="Calibri"/>
          </rPr>
          <t>tc Server CaSa must generate log records for user access and authentication events.</t>
        </r>
      </text>
    </comment>
    <comment ref="AN229" authorId="0" shapeId="0" xr:uid="{00000000-0006-0000-0A00-00009F000000}">
      <text>
        <r>
          <rPr>
            <sz val="11"/>
            <rFont val="Calibri"/>
          </rPr>
          <t>tc Server API must generate log records for user access and authentication events.</t>
        </r>
      </text>
    </comment>
    <comment ref="AO229" authorId="0" shapeId="0" xr:uid="{00000000-0006-0000-0A00-0000A0000000}">
      <text>
        <r>
          <rPr>
            <sz val="11"/>
            <rFont val="Calibri"/>
          </rPr>
          <t>tc Server UI must capture, record, and log all content related to a user session.</t>
        </r>
      </text>
    </comment>
    <comment ref="AP229" authorId="0" shapeId="0" xr:uid="{00000000-0006-0000-0A00-0000A1000000}">
      <text>
        <r>
          <rPr>
            <sz val="11"/>
            <rFont val="Calibri"/>
          </rPr>
          <t>tc Server CaSa must capture, record, and log all content related to a user session.</t>
        </r>
      </text>
    </comment>
    <comment ref="AQ229" authorId="0" shapeId="0" xr:uid="{00000000-0006-0000-0A00-0000A2000000}">
      <text>
        <r>
          <rPr>
            <sz val="11"/>
            <rFont val="Calibri"/>
          </rPr>
          <t>tc Server API must capture, record, and log all content related to a user session.</t>
        </r>
      </text>
    </comment>
    <comment ref="AR229" authorId="0" shapeId="0" xr:uid="{00000000-0006-0000-0A00-0000A3000000}">
      <text>
        <r>
          <rPr>
            <sz val="11"/>
            <rFont val="Calibri"/>
          </rPr>
          <t>tc Server UI must produce log records containing sufficient information to establish what type of events occurred.</t>
        </r>
      </text>
    </comment>
    <comment ref="AS229" authorId="0" shapeId="0" xr:uid="{00000000-0006-0000-0A00-0000A4000000}">
      <text>
        <r>
          <rPr>
            <sz val="11"/>
            <rFont val="Calibri"/>
          </rPr>
          <t>tc Server CaSa must produce log records containing sufficient information to establish what type of events occurred.</t>
        </r>
      </text>
    </comment>
    <comment ref="AT229" authorId="0" shapeId="0" xr:uid="{00000000-0006-0000-0A00-0000A5000000}">
      <text>
        <r>
          <rPr>
            <sz val="11"/>
            <rFont val="Calibri"/>
          </rPr>
          <t>tc Server API must produce log records containing sufficient information to establish what type of events occurred.</t>
        </r>
      </text>
    </comment>
    <comment ref="AU229" authorId="0" shapeId="0" xr:uid="{00000000-0006-0000-0A00-0000A6000000}">
      <text>
        <r>
          <rPr>
            <sz val="11"/>
            <rFont val="Calibri"/>
          </rPr>
          <t>tc Server UI must produce log records containing sufficient information to establish when (date and time) events occurred.</t>
        </r>
      </text>
    </comment>
    <comment ref="AV229" authorId="0" shapeId="0" xr:uid="{00000000-0006-0000-0A00-0000A7000000}">
      <text>
        <r>
          <rPr>
            <sz val="11"/>
            <rFont val="Calibri"/>
          </rPr>
          <t>tc Server CaSa must produce log records containing sufficient information to establish when (date and time) events occurred.</t>
        </r>
      </text>
    </comment>
    <comment ref="AW229" authorId="0" shapeId="0" xr:uid="{00000000-0006-0000-0A00-0000A8000000}">
      <text>
        <r>
          <rPr>
            <sz val="11"/>
            <rFont val="Calibri"/>
          </rPr>
          <t>tc Server API must produce log records containing sufficient information to establish when (date and time) events occurred.</t>
        </r>
      </text>
    </comment>
    <comment ref="AX229" authorId="0" shapeId="0" xr:uid="{00000000-0006-0000-0A00-0000A9000000}">
      <text>
        <r>
          <rPr>
            <sz val="11"/>
            <rFont val="Calibri"/>
          </rPr>
          <t>tc Server UI must produce log records containing sufficient information to establish where within the web server the events occurred.</t>
        </r>
      </text>
    </comment>
    <comment ref="AY229" authorId="0" shapeId="0" xr:uid="{00000000-0006-0000-0A00-0000AA000000}">
      <text>
        <r>
          <rPr>
            <sz val="11"/>
            <rFont val="Calibri"/>
          </rPr>
          <t>tc Server CaSa must produce log records containing sufficient information to establish where within the web server the events occurred.</t>
        </r>
      </text>
    </comment>
    <comment ref="L244" authorId="0" shapeId="0" xr:uid="{00000000-0006-0000-0A00-0000AB000000}">
      <text>
        <r>
          <rPr>
            <sz val="11"/>
            <rFont val="Calibri"/>
          </rPr>
          <t>The SLES for vRealize must, for networked systems, compare internal information system clocks at least every 24 hours with a server which is synchronized to one of the redundant United States Naval Observatory (USNO) time servers, or a time server designated for the appropriate DoD network (NIPRNet/SIPRNet), and/or the Global Positioning System (GPS).</t>
        </r>
      </text>
    </comment>
    <comment ref="M244" authorId="0" shapeId="0" xr:uid="{00000000-0006-0000-0A00-0000AC000000}">
      <text>
        <r>
          <rPr>
            <sz val="11"/>
            <rFont val="Calibri"/>
          </rPr>
          <t>The SLES for vRealize must synchronize internal information system clocks to the authoritative time source when the time difference is greater than one second.</t>
        </r>
      </text>
    </comment>
    <comment ref="L245" authorId="0" shapeId="0" xr:uid="{00000000-0006-0000-0A00-0000AD000000}">
      <text>
        <r>
          <rPr>
            <sz val="11"/>
            <rFont val="Calibri"/>
          </rPr>
          <t>The SLES for vRealize must synchronize internal information system clocks to the authoritative time source when the time difference is greater than one second.</t>
        </r>
      </text>
    </comment>
    <comment ref="L249" authorId="0" shapeId="0" xr:uid="{00000000-0006-0000-0A00-0000AE000000}">
      <text>
        <r>
          <rPr>
            <sz val="11"/>
            <rFont val="Calibri"/>
          </rPr>
          <t>The vROps PostgreSQL DB must provide a warning to appropriate support staff when allocated audit record storage volume reaches 75% of maximum audit record storage capacity.</t>
        </r>
      </text>
    </comment>
    <comment ref="M249" authorId="0" shapeId="0" xr:uid="{00000000-0006-0000-0A00-0000AF000000}">
      <text>
        <r>
          <rPr>
            <sz val="11"/>
            <rFont val="Calibri"/>
          </rPr>
          <t>The vROps PostgreSQL DB must provide an immediate real-time alert to appropriate support staff of all audit failure events requiring real-time alerts.</t>
        </r>
      </text>
    </comment>
    <comment ref="N249" authorId="0" shapeId="0" xr:uid="{00000000-0006-0000-0A00-0000B0000000}">
      <text>
        <r>
          <rPr>
            <sz val="11"/>
            <rFont val="Calibri"/>
          </rPr>
          <t>The SLES for vRealize must alert the ISSO and SA (at a minimum) in the event of an audit processing failure.</t>
        </r>
      </text>
    </comment>
    <comment ref="O249" authorId="0" shapeId="0" xr:uid="{00000000-0006-0000-0A00-0000B1000000}">
      <text>
        <r>
          <rPr>
            <sz val="11"/>
            <rFont val="Calibri"/>
          </rPr>
          <t>The SLES for vRealize must immediately notify the SA and ISSO (at a minimum) when allocated audit record storage volume reaches 75% of the repository maximum audit record storage capacity.</t>
        </r>
      </text>
    </comment>
    <comment ref="P249" authorId="0" shapeId="0" xr:uid="{00000000-0006-0000-0A00-0000B2000000}">
      <text>
        <r>
          <rPr>
            <sz val="11"/>
            <rFont val="Calibri"/>
          </rPr>
          <t>The SLES for vRealize must provide an immediate real-time alert to the SA and ISSO, at a minimum, of all audit failure events requiring real-time alerts.</t>
        </r>
      </text>
    </comment>
    <comment ref="Q249" authorId="0" shapeId="0" xr:uid="{00000000-0006-0000-0A00-0000B3000000}">
      <text>
        <r>
          <rPr>
            <sz val="11"/>
            <rFont val="Calibri"/>
          </rPr>
          <t>tc Server ALL must use a logging mechanism that is configured to alert the ISSO and SA in the event of a processing failure.</t>
        </r>
      </text>
    </comment>
    <comment ref="R249" authorId="0" shapeId="0" xr:uid="{00000000-0006-0000-0A00-0000B4000000}">
      <text>
        <r>
          <rPr>
            <sz val="11"/>
            <rFont val="Calibri"/>
          </rPr>
          <t>tc Server ALL must use a logging mechanism that is configured to provide a warning to the ISSO and SA when allocated record storage volume reaches 75% of maximum log record storage capacity.</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52" authorId="0" shapeId="0" xr:uid="{00000000-0006-0000-0B00-000001000000}">
      <text>
        <r>
          <rPr>
            <sz val="11"/>
            <rFont val="Calibri"/>
          </rPr>
          <t>Security-relevant software updates to the vROps PostgreSQL DB must be installed within the time period directed by an authoritative source (e.g. IAVM, CTOs, DTMs, and STIGs).</t>
        </r>
      </text>
    </comment>
    <comment ref="I252" authorId="0" shapeId="0" xr:uid="{00000000-0006-0000-0B00-000002000000}">
      <text>
        <r>
          <rPr>
            <sz val="11"/>
            <rFont val="Calibri"/>
          </rPr>
          <t>tc Server ALL must have all security-relevant software updates installed within the configured time period directed by an authoritative source.</t>
        </r>
      </text>
    </comment>
    <comment ref="H309" authorId="0" shapeId="0" xr:uid="{00000000-0006-0000-0B00-000003000000}">
      <text>
        <r>
          <rPr>
            <sz val="11"/>
            <rFont val="Calibri"/>
          </rPr>
          <t>The SLES for vRealize must prevent direct logon into the root account.</t>
        </r>
      </text>
    </comment>
    <comment ref="I309" authorId="0" shapeId="0" xr:uid="{00000000-0006-0000-0B00-000008000000}">
      <text>
        <r>
          <rPr>
            <sz val="11"/>
            <rFont val="Calibri"/>
          </rPr>
          <t>tc Server ALL must only allow authenticated system administrators to have access to the keystore.</t>
        </r>
      </text>
    </comment>
    <comment ref="J309" authorId="0" shapeId="0" xr:uid="{00000000-0006-0000-0B00-000004000000}">
      <text>
        <r>
          <rPr>
            <sz val="11"/>
            <rFont val="Calibri"/>
          </rPr>
          <t>tc Server ALL must only allow authenticated system administrators to have access to the truststore.</t>
        </r>
      </text>
    </comment>
    <comment ref="K309" authorId="0" shapeId="0" xr:uid="{00000000-0006-0000-0B00-000005000000}">
      <text>
        <r>
          <rPr>
            <sz val="11"/>
            <rFont val="Calibri"/>
          </rPr>
          <t>tc Server UI accounts accessing the directory tree, the shell, or other operating system functions and utilities must be administrative accounts.</t>
        </r>
      </text>
    </comment>
    <comment ref="L309" authorId="0" shapeId="0" xr:uid="{00000000-0006-0000-0B00-000006000000}">
      <text>
        <r>
          <rPr>
            <sz val="11"/>
            <rFont val="Calibri"/>
          </rPr>
          <t>tc Server CaSa accounts accessing the directory tree, the shell, or other operating system functions and utilities must be administrative accounts.</t>
        </r>
      </text>
    </comment>
    <comment ref="M309" authorId="0" shapeId="0" xr:uid="{00000000-0006-0000-0B00-000007000000}">
      <text>
        <r>
          <rPr>
            <sz val="11"/>
            <rFont val="Calibri"/>
          </rPr>
          <t>tc Server API accounts accessing the directory tree, the shell, or other operating system functions and utilities must be administrative accounts.</t>
        </r>
      </text>
    </comment>
    <comment ref="H349" authorId="0" shapeId="0" xr:uid="{00000000-0006-0000-0B00-000009000000}">
      <text>
        <r>
          <rPr>
            <sz val="11"/>
            <rFont val="Calibri"/>
          </rPr>
          <t>The vROps PostgreSQL DB must use NIST FIPS 140-2 validated cryptographic modules for cryptographic operations.</t>
        </r>
      </text>
    </comment>
    <comment ref="I349" authorId="0" shapeId="0" xr:uid="{00000000-0006-0000-0B00-00002C000000}">
      <text>
        <r>
          <rPr>
            <sz val="11"/>
            <rFont val="Calibri"/>
          </rPr>
          <t>The vROps PostgreSQL DB must implement NIST FIPS 140-2 validated cryptographic modules to provision digital signatures.</t>
        </r>
      </text>
    </comment>
    <comment ref="J349" authorId="0" shapeId="0" xr:uid="{00000000-0006-0000-0B00-00002D000000}">
      <text>
        <r>
          <rPr>
            <sz val="11"/>
            <rFont val="Calibri"/>
          </rPr>
          <t>The vROps PostgreSQL DB must implement NIST FIPS 140-2 validated cryptographic modules to generate and validate cryptographic hashes.</t>
        </r>
      </text>
    </comment>
    <comment ref="K349" authorId="0" shapeId="0" xr:uid="{00000000-0006-0000-0B00-00002E000000}">
      <text>
        <r>
          <rPr>
            <sz val="11"/>
            <rFont val="Calibri"/>
          </rPr>
          <t>The vROps PostgreSQL DB must implement NIST FIPS 140-2 validated cryptographic modules to protect unclassified information requiring confidentiality and cryptographic protection, in accordance with the data owners requirements.</t>
        </r>
      </text>
    </comment>
    <comment ref="L349" authorId="0" shapeId="0" xr:uid="{00000000-0006-0000-0B00-00002F000000}">
      <text>
        <r>
          <rPr>
            <sz val="11"/>
            <rFont val="Calibri"/>
          </rPr>
          <t>The SLES for vRealize must implement DoD-approved encryption to protect the confidentiality of remote access sessions - SSH Daemon.</t>
        </r>
      </text>
    </comment>
    <comment ref="M349" authorId="0" shapeId="0" xr:uid="{00000000-0006-0000-0B00-000030000000}">
      <text>
        <r>
          <rPr>
            <sz val="11"/>
            <rFont val="Calibri"/>
          </rPr>
          <t>The SLES for vRealize must implement DoD-approved encryption to protect the confidentiality of remote access sessions - SSH Client.</t>
        </r>
      </text>
    </comment>
    <comment ref="N349" authorId="0" shapeId="0" xr:uid="{00000000-0006-0000-0B00-00000A000000}">
      <text>
        <r>
          <rPr>
            <sz val="11"/>
            <rFont val="Calibri"/>
          </rPr>
          <t>The SLES for vRealize must implement cryptographic mechanisms to protect the integrity of nonlocal maintenance and diagnostic communications, when used for nonlocal maintenance sessions.</t>
        </r>
      </text>
    </comment>
    <comment ref="O349" authorId="0" shapeId="0" xr:uid="{00000000-0006-0000-0B00-00000B000000}">
      <text>
        <r>
          <rPr>
            <sz val="11"/>
            <rFont val="Calibri"/>
          </rPr>
          <t>The SLES for vRealize must implement cryptographic mechanisms to protect the confidentiality of nonlocal maintenance and diagnostic communications, when used for nonlocal maintenance sessions.</t>
        </r>
      </text>
    </comment>
    <comment ref="P349" authorId="0" shapeId="0" xr:uid="{00000000-0006-0000-0B00-00000C000000}">
      <text>
        <r>
          <rPr>
            <sz val="11"/>
            <rFont val="Calibri"/>
          </rPr>
          <t>The SLES for vRealize must implement NSA-approved cryptography to protect classified information in accordance with applicable federal laws, Executive Orders, directives, policies, regulations, and standards.</t>
        </r>
      </text>
    </comment>
    <comment ref="Q349" authorId="0" shapeId="0" xr:uid="{00000000-0006-0000-0B00-00000D000000}">
      <text>
        <r>
          <rPr>
            <sz val="11"/>
            <rFont val="Calibri"/>
          </rPr>
          <t>The SLES for vRealize must implement NIST FIPS-validated cryptography for the following: to provision digital signatures, to generate cryptographic hashes, and to protect unclassified information requiring confidentiality and cryptographic protection in accordance with applicable federal laws, Executive Orders, directives, policies, regulations, and standards.</t>
        </r>
      </text>
    </comment>
    <comment ref="R349" authorId="0" shapeId="0" xr:uid="{00000000-0006-0000-0B00-00000E000000}">
      <text>
        <r>
          <rPr>
            <sz val="11"/>
            <rFont val="Calibri"/>
          </rPr>
          <t>tc Server UI must be configured with FIPS 140-2 compliant ciphers for HTTPS connections.</t>
        </r>
      </text>
    </comment>
    <comment ref="S349" authorId="0" shapeId="0" xr:uid="{00000000-0006-0000-0B00-00000F000000}">
      <text>
        <r>
          <rPr>
            <sz val="11"/>
            <rFont val="Calibri"/>
          </rPr>
          <t>tc Server CaSa must be configured with FIPS 140-2 compliant ciphers for HTTPS connections.</t>
        </r>
      </text>
    </comment>
    <comment ref="T349" authorId="0" shapeId="0" xr:uid="{00000000-0006-0000-0B00-000010000000}">
      <text>
        <r>
          <rPr>
            <sz val="11"/>
            <rFont val="Calibri"/>
          </rPr>
          <t>tc Server API must be configured with FIPS 140-2 compliant ciphers for HTTPS connections.</t>
        </r>
      </text>
    </comment>
    <comment ref="U349" authorId="0" shapeId="0" xr:uid="{00000000-0006-0000-0B00-000011000000}">
      <text>
        <r>
          <rPr>
            <sz val="11"/>
            <rFont val="Calibri"/>
          </rPr>
          <t>tc Server UI must use cryptography to protect the integrity of remote sessions.</t>
        </r>
      </text>
    </comment>
    <comment ref="V349" authorId="0" shapeId="0" xr:uid="{00000000-0006-0000-0B00-000012000000}">
      <text>
        <r>
          <rPr>
            <sz val="11"/>
            <rFont val="Calibri"/>
          </rPr>
          <t>tc Server CaSa must use cryptography to protect the integrity of remote sessions.</t>
        </r>
      </text>
    </comment>
    <comment ref="W349" authorId="0" shapeId="0" xr:uid="{00000000-0006-0000-0B00-000013000000}">
      <text>
        <r>
          <rPr>
            <sz val="11"/>
            <rFont val="Calibri"/>
          </rPr>
          <t>tc Server API must use cryptography to protect the integrity of remote sessions.</t>
        </r>
      </text>
    </comment>
    <comment ref="X349" authorId="0" shapeId="0" xr:uid="{00000000-0006-0000-0B00-000014000000}">
      <text>
        <r>
          <rPr>
            <sz val="11"/>
            <rFont val="Calibri"/>
          </rPr>
          <t>tc Server UI must encrypt passwords during transmission.</t>
        </r>
      </text>
    </comment>
    <comment ref="Y349" authorId="0" shapeId="0" xr:uid="{00000000-0006-0000-0B00-000015000000}">
      <text>
        <r>
          <rPr>
            <sz val="11"/>
            <rFont val="Calibri"/>
          </rPr>
          <t>tc Server CaSa must encrypt passwords during transmission.</t>
        </r>
      </text>
    </comment>
    <comment ref="Z349" authorId="0" shapeId="0" xr:uid="{00000000-0006-0000-0B00-000016000000}">
      <text>
        <r>
          <rPr>
            <sz val="11"/>
            <rFont val="Calibri"/>
          </rPr>
          <t>tc Server API must encrypt passwords during transmission.</t>
        </r>
      </text>
    </comment>
    <comment ref="AA349" authorId="0" shapeId="0" xr:uid="{00000000-0006-0000-0B00-000017000000}">
      <text>
        <r>
          <rPr>
            <sz val="11"/>
            <rFont val="Calibri"/>
          </rPr>
          <t>tc Server UI must use cryptographic modules that meet the requirements of applicable federal laws, Executive Orders, directives, policies, regulations, standards, and guidance when authenticating users and processes.</t>
        </r>
      </text>
    </comment>
    <comment ref="AB349" authorId="0" shapeId="0" xr:uid="{00000000-0006-0000-0B00-000018000000}">
      <text>
        <r>
          <rPr>
            <sz val="11"/>
            <rFont val="Calibri"/>
          </rPr>
          <t>tc Server CaSa must use cryptographic modules that meet the requirements of applicable federal laws, Executive Orders, directives, policies, regulations, standards, and guidance when authenticating users and processes.</t>
        </r>
      </text>
    </comment>
    <comment ref="AC349" authorId="0" shapeId="0" xr:uid="{00000000-0006-0000-0B00-000019000000}">
      <text>
        <r>
          <rPr>
            <sz val="11"/>
            <rFont val="Calibri"/>
          </rPr>
          <t>tc Server API must use cryptographic modules that meet the requirements of applicable federal laws, Executive Orders, directives, policies, regulations, standards, and guidance when authenticating users and processes.</t>
        </r>
      </text>
    </comment>
    <comment ref="AD349" authorId="0" shapeId="0" xr:uid="{00000000-0006-0000-0B00-00001A000000}">
      <text>
        <r>
          <rPr>
            <sz val="11"/>
            <rFont val="Calibri"/>
          </rPr>
          <t>tc Server UI must be configured to use the https scheme.</t>
        </r>
      </text>
    </comment>
    <comment ref="AE349" authorId="0" shapeId="0" xr:uid="{00000000-0006-0000-0B00-00001B000000}">
      <text>
        <r>
          <rPr>
            <sz val="11"/>
            <rFont val="Calibri"/>
          </rPr>
          <t>tc Server CaSa must be configured to use the https scheme.</t>
        </r>
      </text>
    </comment>
    <comment ref="AF349" authorId="0" shapeId="0" xr:uid="{00000000-0006-0000-0B00-00001C000000}">
      <text>
        <r>
          <rPr>
            <sz val="11"/>
            <rFont val="Calibri"/>
          </rPr>
          <t>tc Server API must be configured to use the https scheme.</t>
        </r>
      </text>
    </comment>
    <comment ref="AG349" authorId="0" shapeId="0" xr:uid="{00000000-0006-0000-0B00-00001D000000}">
      <text>
        <r>
          <rPr>
            <sz val="11"/>
            <rFont val="Calibri"/>
          </rPr>
          <t>tc Server UI must use NSA Suite A cryptography when encrypting data that must be compartmentalized.</t>
        </r>
      </text>
    </comment>
    <comment ref="AH349" authorId="0" shapeId="0" xr:uid="{00000000-0006-0000-0B00-00001E000000}">
      <text>
        <r>
          <rPr>
            <sz val="11"/>
            <rFont val="Calibri"/>
          </rPr>
          <t>tc Server CaSa must use NSA Suite A cryptography when encrypting data that must be compartmentalized.</t>
        </r>
      </text>
    </comment>
    <comment ref="AI349" authorId="0" shapeId="0" xr:uid="{00000000-0006-0000-0B00-00001F000000}">
      <text>
        <r>
          <rPr>
            <sz val="11"/>
            <rFont val="Calibri"/>
          </rPr>
          <t>tc Server API must use NSA Suite A cryptography when encrypting data that must be compartmentalized.</t>
        </r>
      </text>
    </comment>
    <comment ref="AJ349" authorId="0" shapeId="0" xr:uid="{00000000-0006-0000-0B00-000020000000}">
      <text>
        <r>
          <rPr>
            <sz val="11"/>
            <rFont val="Calibri"/>
          </rPr>
          <t>tc Server UI must employ cryptographic mechanisms (TLS/DTLS/SSL) preventing the unauthorized disclosure of information during transmission.</t>
        </r>
      </text>
    </comment>
    <comment ref="AK349" authorId="0" shapeId="0" xr:uid="{00000000-0006-0000-0B00-000021000000}">
      <text>
        <r>
          <rPr>
            <sz val="11"/>
            <rFont val="Calibri"/>
          </rPr>
          <t>tc Server CaSa must employ cryptographic mechanisms (TLS/DTLS/SSL) preventing the unauthorized disclosure of information during transmission.</t>
        </r>
      </text>
    </comment>
    <comment ref="AL349" authorId="0" shapeId="0" xr:uid="{00000000-0006-0000-0B00-000022000000}">
      <text>
        <r>
          <rPr>
            <sz val="11"/>
            <rFont val="Calibri"/>
          </rPr>
          <t>tc Server API must employ cryptographic mechanisms (TLS/DTLS/SSL) preventing the unauthorized disclosure of information during transmission.</t>
        </r>
      </text>
    </comment>
    <comment ref="AM349" authorId="0" shapeId="0" xr:uid="{00000000-0006-0000-0B00-000023000000}">
      <text>
        <r>
          <rPr>
            <sz val="11"/>
            <rFont val="Calibri"/>
          </rPr>
          <t>tc Server UI must set sslEnabledProtocols to an approved Transport Layer Security (TLS) version.</t>
        </r>
      </text>
    </comment>
    <comment ref="AN349" authorId="0" shapeId="0" xr:uid="{00000000-0006-0000-0B00-000024000000}">
      <text>
        <r>
          <rPr>
            <sz val="11"/>
            <rFont val="Calibri"/>
          </rPr>
          <t>tc Server CaSa must set sslEnabledProtocols to an approved Transport Layer Security (TLS) version.</t>
        </r>
      </text>
    </comment>
    <comment ref="AO349" authorId="0" shapeId="0" xr:uid="{00000000-0006-0000-0B00-000025000000}">
      <text>
        <r>
          <rPr>
            <sz val="11"/>
            <rFont val="Calibri"/>
          </rPr>
          <t>tc Server API must set sslEnabledProtocols to an approved Transport Layer Security (TLS) version.</t>
        </r>
      </text>
    </comment>
    <comment ref="AP349" authorId="0" shapeId="0" xr:uid="{00000000-0006-0000-0B00-000026000000}">
      <text>
        <r>
          <rPr>
            <sz val="11"/>
            <rFont val="Calibri"/>
          </rPr>
          <t>tc Server UI must remove all export ciphers to protect the confidentiality and integrity of transmitted information.</t>
        </r>
      </text>
    </comment>
    <comment ref="AQ349" authorId="0" shapeId="0" xr:uid="{00000000-0006-0000-0B00-000027000000}">
      <text>
        <r>
          <rPr>
            <sz val="11"/>
            <rFont val="Calibri"/>
          </rPr>
          <t>tc Server CaSa must remove all export ciphers to protect the confidentiality and integrity of transmitted information.</t>
        </r>
      </text>
    </comment>
    <comment ref="AR349" authorId="0" shapeId="0" xr:uid="{00000000-0006-0000-0B00-000028000000}">
      <text>
        <r>
          <rPr>
            <sz val="11"/>
            <rFont val="Calibri"/>
          </rPr>
          <t>tc Server API must remove all export ciphers to protect the confidentiality and integrity of transmitted information.</t>
        </r>
      </text>
    </comment>
    <comment ref="AS349" authorId="0" shapeId="0" xr:uid="{00000000-0006-0000-0B00-000029000000}">
      <text>
        <r>
          <rPr>
            <sz val="11"/>
            <rFont val="Calibri"/>
          </rPr>
          <t>tc Server UI must use approved Transport Layer Security (TLS) versions to maintain the confidentiality and integrity of information during reception.</t>
        </r>
      </text>
    </comment>
    <comment ref="AT349" authorId="0" shapeId="0" xr:uid="{00000000-0006-0000-0B00-00002A000000}">
      <text>
        <r>
          <rPr>
            <sz val="11"/>
            <rFont val="Calibri"/>
          </rPr>
          <t>tc Server CaSa must use approved Transport Layer Security (TLS) versions to maintain the confidentiality and integrity of information during reception.</t>
        </r>
      </text>
    </comment>
    <comment ref="AU349" authorId="0" shapeId="0" xr:uid="{00000000-0006-0000-0B00-00002B000000}">
      <text>
        <r>
          <rPr>
            <sz val="11"/>
            <rFont val="Calibri"/>
          </rPr>
          <t>tc Server API must use approved Transport Layer Security (TLS) versions to maintain the confidentiality and integrity of information during reception.</t>
        </r>
      </text>
    </comment>
    <comment ref="H355" authorId="0" shapeId="0" xr:uid="{00000000-0006-0000-0B00-000031000000}">
      <text>
        <r>
          <rPr>
            <sz val="11"/>
            <rFont val="Calibri"/>
          </rPr>
          <t>The SLES for vRealize must synchronize internal information system clocks to the authoritative time source when the time difference is greater than one second.</t>
        </r>
      </text>
    </comment>
    <comment ref="H360" authorId="0" shapeId="0" xr:uid="{00000000-0006-0000-0B00-000032000000}">
      <text>
        <r>
          <rPr>
            <sz val="11"/>
            <rFont val="Calibri"/>
          </rPr>
          <t>The vROps PostgreSQL DB must utilize centralized management of the content captured in audit records generated by all components of the DBMS.</t>
        </r>
      </text>
    </comment>
    <comment ref="I360" authorId="0" shapeId="0" xr:uid="{00000000-0006-0000-0B00-000033000000}">
      <text>
        <r>
          <rPr>
            <sz val="11"/>
            <rFont val="Calibri"/>
          </rPr>
          <t>The vROps PostgreSQL DB must provide centralized configuration of the content to be captured in audit records generated by all components of the DBMS.</t>
        </r>
      </text>
    </comment>
    <comment ref="J360" authorId="0" shapeId="0" xr:uid="{00000000-0006-0000-0B00-000034000000}">
      <text>
        <r>
          <rPr>
            <sz val="11"/>
            <rFont val="Calibri"/>
          </rPr>
          <t>The vROps PostgreSQL DB must off-load audit data to a separate log management facility; this must be continuous and in near real time for systems with a network connection to the storage facility and weekly or more often for stand-alone systems.</t>
        </r>
      </text>
    </comment>
    <comment ref="K360" authorId="0" shapeId="0" xr:uid="{00000000-0006-0000-0B00-000035000000}">
      <text>
        <r>
          <rPr>
            <sz val="11"/>
            <rFont val="Calibri"/>
          </rPr>
          <t>The SLES for vRealize must off-load audit records onto a different system or media from the system being audited.</t>
        </r>
      </text>
    </comment>
    <comment ref="L360" authorId="0" shapeId="0" xr:uid="{00000000-0006-0000-0B00-000036000000}">
      <text>
        <r>
          <rPr>
            <sz val="11"/>
            <rFont val="Calibri"/>
          </rPr>
          <t>The SLES for vRealize must, at a minimum, off-load interconnected systems in real time and off-load standalone systems weekly.</t>
        </r>
      </text>
    </comment>
    <comment ref="M360" authorId="0" shapeId="0" xr:uid="{00000000-0006-0000-0B00-000037000000}">
      <text>
        <r>
          <rPr>
            <sz val="11"/>
            <rFont val="Calibri"/>
          </rPr>
          <t>tc Server ALL log data and records must be backed up onto a different system or media.</t>
        </r>
      </text>
    </comment>
    <comment ref="N360" authorId="0" shapeId="0" xr:uid="{00000000-0006-0000-0B00-000038000000}">
      <text>
        <r>
          <rPr>
            <sz val="11"/>
            <rFont val="Calibri"/>
          </rPr>
          <t>tc Server ALL log files must be moved to a permanent repository in accordance with site policy.</t>
        </r>
      </text>
    </comment>
  </commentList>
</comments>
</file>

<file path=xl/sharedStrings.xml><?xml version="1.0" encoding="utf-8"?>
<sst xmlns="http://schemas.openxmlformats.org/spreadsheetml/2006/main" count="18067" uniqueCount="7677">
  <si>
    <t>Id</t>
  </si>
  <si>
    <t>Title</t>
  </si>
  <si>
    <t>Severity</t>
  </si>
  <si>
    <t>Component</t>
  </si>
  <si>
    <t>MoSCoW</t>
  </si>
  <si>
    <t>OpsImpact</t>
  </si>
  <si>
    <t>Phase</t>
  </si>
  <si>
    <t>ImplStatus</t>
  </si>
  <si>
    <t>Notes</t>
  </si>
  <si>
    <t>Remediation</t>
  </si>
  <si>
    <t>Description</t>
  </si>
  <si>
    <t>Audit</t>
  </si>
  <si>
    <t>Status</t>
  </si>
  <si>
    <t>LogID</t>
  </si>
  <si>
    <t>V-88205</t>
  </si>
  <si>
    <r>
      <rPr>
        <sz val="11"/>
        <rFont val="Calibri"/>
      </rPr>
      <t>The vRealize Operations server must use an enterprise user management system to uniquely identify and authenticate users (or processes acting on behalf of organizational users).</t>
    </r>
  </si>
  <si>
    <t>CAT II (Medium)</t>
  </si>
  <si>
    <t>VMware vRealize Operations Manager 6.x Application</t>
  </si>
  <si>
    <t>Unassigned</t>
  </si>
  <si>
    <t>Unassessed</t>
  </si>
  <si>
    <t>Pending</t>
  </si>
  <si>
    <t/>
  </si>
  <si>
    <r>
      <rPr>
        <sz val="11"/>
        <color rgb="FF000000"/>
        <rFont val="Calibri"/>
      </rPr>
      <t>Configure vROps to use an enterprise user management system and document this in the site configuration control policy.</t>
    </r>
  </si>
  <si>
    <r>
      <rPr>
        <sz val="11"/>
        <color rgb="FF000000"/>
        <rFont val="Calibri"/>
      </rPr>
      <t>To assure accountability and prevent unauthorized access, application server users must be uniquely identified and authenticated.  This is typically accomplished via the use of a user store that is either local (OS-based) or centralized (LDAP) in nature.</t>
    </r>
    <r>
      <rPr>
        <sz val="11"/>
        <color rgb="FF000000"/>
        <rFont val="Calibri"/>
      </rPr>
      <t xml:space="preserve">
</t>
    </r>
    <r>
      <rPr>
        <sz val="11"/>
        <color rgb="FF000000"/>
        <rFont val="Calibri"/>
      </rPr>
      <t>To ensure support to the enterprise, the authentication must utilize an enterprise solution.</t>
    </r>
  </si>
  <si>
    <r>
      <rPr>
        <sz val="11"/>
        <color rgb="FF000000"/>
        <rFont val="Calibri"/>
      </rPr>
      <t>Obtain the site configuration control policy from the ISSO.</t>
    </r>
    <r>
      <rPr>
        <sz val="11"/>
        <color rgb="FF000000"/>
        <rFont val="Calibri"/>
      </rPr>
      <t xml:space="preserve">
</t>
    </r>
    <r>
      <rPr>
        <sz val="11"/>
        <color rgb="FF000000"/>
        <rFont val="Calibri"/>
      </rPr>
      <t>Review site procedures to determine if an enterprise management system is used to uniquely identify and authenticate users.</t>
    </r>
    <r>
      <rPr>
        <sz val="11"/>
        <color rgb="FF000000"/>
        <rFont val="Calibri"/>
      </rPr>
      <t xml:space="preserve">
</t>
    </r>
    <r>
      <rPr>
        <sz val="11"/>
        <color rgb="FF000000"/>
        <rFont val="Calibri"/>
      </rPr>
      <t>If an enterprise management solution is not used, this is a finding.</t>
    </r>
  </si>
  <si>
    <t>V-88207</t>
  </si>
  <si>
    <r>
      <rPr>
        <sz val="11"/>
        <rFont val="Calibri"/>
      </rPr>
      <t>The vRealize Operations server session timeout must be configured.</t>
    </r>
  </si>
  <si>
    <r>
      <rPr>
        <sz val="11"/>
        <color rgb="FF000000"/>
        <rFont val="Calibri"/>
      </rPr>
      <t>To edit the session timeout, use the following steps:</t>
    </r>
    <r>
      <rPr>
        <sz val="11"/>
        <color rgb="FF000000"/>
        <rFont val="Calibri"/>
      </rPr>
      <t xml:space="preserve">
</t>
    </r>
    <r>
      <rPr>
        <sz val="11"/>
        <color rgb="FF000000"/>
        <rFont val="Calibri"/>
      </rPr>
      <t>1. Log on to the admin UI as the administrator.</t>
    </r>
    <r>
      <rPr>
        <sz val="11"/>
        <color rgb="FF000000"/>
        <rFont val="Calibri"/>
      </rPr>
      <t xml:space="preserve">
</t>
    </r>
    <r>
      <rPr>
        <sz val="11"/>
        <color rgb="FF000000"/>
        <rFont val="Calibri"/>
      </rPr>
      <t>2. Navigate to "Global Settings".</t>
    </r>
    <r>
      <rPr>
        <sz val="11"/>
        <color rgb="FF000000"/>
        <rFont val="Calibri"/>
      </rPr>
      <t xml:space="preserve">
</t>
    </r>
    <r>
      <rPr>
        <sz val="11"/>
        <color rgb="FF000000"/>
        <rFont val="Calibri"/>
      </rPr>
      <t>3. Select "Edit Global Settings".</t>
    </r>
    <r>
      <rPr>
        <sz val="11"/>
        <color rgb="FF000000"/>
        <rFont val="Calibri"/>
      </rPr>
      <t xml:space="preserve">
</t>
    </r>
    <r>
      <rPr>
        <sz val="11"/>
        <color rgb="FF000000"/>
        <rFont val="Calibri"/>
      </rPr>
      <t>4. Set the "Session Timeout:" setting to "15" minutes.</t>
    </r>
    <r>
      <rPr>
        <sz val="11"/>
        <color rgb="FF000000"/>
        <rFont val="Calibri"/>
      </rPr>
      <t xml:space="preserve">
</t>
    </r>
    <r>
      <rPr>
        <sz val="11"/>
        <color rgb="FF000000"/>
        <rFont val="Calibri"/>
      </rPr>
      <t>5. Select "OK".</t>
    </r>
  </si>
  <si>
    <r>
      <rPr>
        <sz val="11"/>
        <color rgb="FF000000"/>
        <rFont val="Calibri"/>
      </rPr>
      <t>If communications sessions remain open for extended periods of time even when unused, there is the potential for an adversary to hijack the session and use it to gain access to the device or networks to which it is attached. Terminating sessions after a logout event or after a certain period of inactivity is a method for mitigating the risk of this vulnerability. When a user management session becomes idle, or when a user logs out of the management interface, the application server must terminate the session.</t>
    </r>
  </si>
  <si>
    <r>
      <rPr>
        <sz val="11"/>
        <color rgb="FF000000"/>
        <rFont val="Calibri"/>
      </rPr>
      <t>Verify that the session timeout is set to "15" minutes with the following steps:</t>
    </r>
    <r>
      <rPr>
        <sz val="11"/>
        <color rgb="FF000000"/>
        <rFont val="Calibri"/>
      </rPr>
      <t xml:space="preserve">
</t>
    </r>
    <r>
      <rPr>
        <sz val="11"/>
        <color rgb="FF000000"/>
        <rFont val="Calibri"/>
      </rPr>
      <t>1. Log on to the admin UI as the administrator.</t>
    </r>
    <r>
      <rPr>
        <sz val="11"/>
        <color rgb="FF000000"/>
        <rFont val="Calibri"/>
      </rPr>
      <t xml:space="preserve">
</t>
    </r>
    <r>
      <rPr>
        <sz val="11"/>
        <color rgb="FF000000"/>
        <rFont val="Calibri"/>
      </rPr>
      <t>2. Navigate to "Global Settings".</t>
    </r>
    <r>
      <rPr>
        <sz val="11"/>
        <color rgb="FF000000"/>
        <rFont val="Calibri"/>
      </rPr>
      <t xml:space="preserve">
</t>
    </r>
    <r>
      <rPr>
        <sz val="11"/>
        <color rgb="FF000000"/>
        <rFont val="Calibri"/>
      </rPr>
      <t>3. Review the session timeout value in mins.</t>
    </r>
    <r>
      <rPr>
        <sz val="11"/>
        <color rgb="FF000000"/>
        <rFont val="Calibri"/>
      </rPr>
      <t xml:space="preserve">
</t>
    </r>
    <r>
      <rPr>
        <sz val="11"/>
        <color rgb="FF000000"/>
        <rFont val="Calibri"/>
      </rPr>
      <t>If the "Session Timeout:" setting is not "15" minutes, this is a finding.</t>
    </r>
  </si>
  <si>
    <t>V-88209</t>
  </si>
  <si>
    <r>
      <rPr>
        <sz val="11"/>
        <rFont val="Calibri"/>
      </rPr>
      <t>The vRealize Operations server must be configured to perform complete application deployments.</t>
    </r>
  </si>
  <si>
    <r>
      <rPr>
        <sz val="11"/>
        <color rgb="FF000000"/>
        <rFont val="Calibri"/>
      </rPr>
      <t>Develop a site configuration control policy to ensure deployments are completed before allowing users to use the production environment.</t>
    </r>
  </si>
  <si>
    <r>
      <rPr>
        <sz val="11"/>
        <color rgb="FF000000"/>
        <rFont val="Calibri"/>
      </rPr>
      <t>Failure to a known secure state helps prevent a loss of confidentiality, integrity, or availability in the event of a failure of the information system or a component of the system.</t>
    </r>
    <r>
      <rPr>
        <sz val="11"/>
        <color rgb="FF000000"/>
        <rFont val="Calibri"/>
      </rPr>
      <t xml:space="preserve">
</t>
    </r>
    <r>
      <rPr>
        <sz val="11"/>
        <color rgb="FF000000"/>
        <rFont val="Calibri"/>
      </rPr>
      <t>When an application is deployed to the application server, if the deployment process does not complete properly and without errors, there is the potential that some application files may not be deployed or may be corrupted and an application error may occur during runtime.</t>
    </r>
    <r>
      <rPr>
        <sz val="11"/>
        <color rgb="FF000000"/>
        <rFont val="Calibri"/>
      </rPr>
      <t xml:space="preserve">
</t>
    </r>
    <r>
      <rPr>
        <sz val="11"/>
        <color rgb="FF000000"/>
        <rFont val="Calibri"/>
      </rPr>
      <t>The application server must be able to perform complete application deployments. A partial deployment can leave the server in an inconsistent state. Application servers may provide a transaction rollback function to address this issue.</t>
    </r>
  </si>
  <si>
    <r>
      <rPr>
        <sz val="11"/>
        <color rgb="FF000000"/>
        <rFont val="Calibri"/>
      </rPr>
      <t>Obtain the site configuration control policy from the ISSO.</t>
    </r>
    <r>
      <rPr>
        <sz val="11"/>
        <color rgb="FF000000"/>
        <rFont val="Calibri"/>
      </rPr>
      <t xml:space="preserve">
</t>
    </r>
    <r>
      <rPr>
        <sz val="11"/>
        <color rgb="FF000000"/>
        <rFont val="Calibri"/>
      </rPr>
      <t>Review site procedures to determine if a site policy exists to verify vROps installation after release into a production environment. The site policy should ensure that the installation was a complete application deployment before users are allowed to conduct business.</t>
    </r>
    <r>
      <rPr>
        <sz val="11"/>
        <color rgb="FF000000"/>
        <rFont val="Calibri"/>
      </rPr>
      <t xml:space="preserve">
</t>
    </r>
    <r>
      <rPr>
        <sz val="11"/>
        <color rgb="FF000000"/>
        <rFont val="Calibri"/>
      </rPr>
      <t>If a site policy does not exist or is not being followed, this is a finding.</t>
    </r>
  </si>
  <si>
    <t>V-88211</t>
  </si>
  <si>
    <r>
      <rPr>
        <sz val="11"/>
        <rFont val="Calibri"/>
      </rPr>
      <t>The vRealize Operations server must only allow the use of DoD PKI-established certificate authorities for verification of the establishment of protected sessions.</t>
    </r>
  </si>
  <si>
    <r>
      <rPr>
        <sz val="11"/>
        <color rgb="FF000000"/>
        <rFont val="Calibri"/>
      </rPr>
      <t>Configure vROps Single Sign-On (SSO) with the following steps:</t>
    </r>
    <r>
      <rPr>
        <sz val="11"/>
        <color rgb="FF000000"/>
        <rFont val="Calibri"/>
      </rPr>
      <t xml:space="preserve">
</t>
    </r>
    <r>
      <rPr>
        <sz val="11"/>
        <color rgb="FF000000"/>
        <rFont val="Calibri"/>
      </rPr>
      <t>1. Log on to vRealize Operations Manager as an administrator.</t>
    </r>
    <r>
      <rPr>
        <sz val="11"/>
        <color rgb="FF000000"/>
        <rFont val="Calibri"/>
      </rPr>
      <t xml:space="preserve">
</t>
    </r>
    <r>
      <rPr>
        <sz val="11"/>
        <color rgb="FF000000"/>
        <rFont val="Calibri"/>
      </rPr>
      <t>2. In the menu, click Administration, and then in the left pane click Access &gt;&gt; Authentication Sources.</t>
    </r>
    <r>
      <rPr>
        <sz val="11"/>
        <color rgb="FF000000"/>
        <rFont val="Calibri"/>
      </rPr>
      <t xml:space="preserve">
</t>
    </r>
    <r>
      <rPr>
        <sz val="11"/>
        <color rgb="FF000000"/>
        <rFont val="Calibri"/>
      </rPr>
      <t>3. Click "Add".</t>
    </r>
    <r>
      <rPr>
        <sz val="11"/>
        <color rgb="FF000000"/>
        <rFont val="Calibri"/>
      </rPr>
      <t xml:space="preserve">
</t>
    </r>
    <r>
      <rPr>
        <sz val="11"/>
        <color rgb="FF000000"/>
        <rFont val="Calibri"/>
      </rPr>
      <t>4. In the Add Source for User and Group Import dialog box, provide information for the single sign-on source.</t>
    </r>
    <r>
      <rPr>
        <sz val="11"/>
        <color rgb="FF000000"/>
        <rFont val="Calibri"/>
      </rPr>
      <t xml:space="preserve">
</t>
    </r>
    <r>
      <rPr>
        <sz val="11"/>
        <color rgb="FF000000"/>
        <rFont val="Calibri"/>
      </rPr>
      <t>5. Click "Test" to test the source connection.</t>
    </r>
    <r>
      <rPr>
        <sz val="11"/>
        <color rgb="FF000000"/>
        <rFont val="Calibri"/>
      </rPr>
      <t xml:space="preserve">
</t>
    </r>
    <r>
      <rPr>
        <sz val="11"/>
        <color rgb="FF000000"/>
        <rFont val="Calibri"/>
      </rPr>
      <t>6. Click "OK". The certificate details are displayed.</t>
    </r>
    <r>
      <rPr>
        <sz val="11"/>
        <color rgb="FF000000"/>
        <rFont val="Calibri"/>
      </rPr>
      <t xml:space="preserve">
</t>
    </r>
    <r>
      <rPr>
        <sz val="11"/>
        <color rgb="FF000000"/>
        <rFont val="Calibri"/>
      </rPr>
      <t>7. Select the "Accept this Certificate" check box.</t>
    </r>
    <r>
      <rPr>
        <sz val="11"/>
        <color rgb="FF000000"/>
        <rFont val="Calibri"/>
      </rPr>
      <t xml:space="preserve">
</t>
    </r>
    <r>
      <rPr>
        <sz val="11"/>
        <color rgb="FF000000"/>
        <rFont val="Calibri"/>
      </rPr>
      <t>8. Click "OK".</t>
    </r>
    <r>
      <rPr>
        <sz val="11"/>
        <color rgb="FF000000"/>
        <rFont val="Calibri"/>
      </rPr>
      <t xml:space="preserve">
</t>
    </r>
    <r>
      <rPr>
        <sz val="11"/>
        <color rgb="FF000000"/>
        <rFont val="Calibri"/>
      </rPr>
      <t>9. In the "Import User Groups" dialog box, import user accounts from an SSO server on another machine.</t>
    </r>
    <r>
      <rPr>
        <sz val="11"/>
        <color rgb="FF000000"/>
        <rFont val="Calibri"/>
      </rPr>
      <t xml:space="preserve">
</t>
    </r>
    <r>
      <rPr>
        <sz val="11"/>
        <color rgb="FF000000"/>
        <rFont val="Calibri"/>
      </rPr>
      <t>10. In the list of user groups displayed, select at least one user group.</t>
    </r>
    <r>
      <rPr>
        <sz val="11"/>
        <color rgb="FF000000"/>
        <rFont val="Calibri"/>
      </rPr>
      <t xml:space="preserve">
</t>
    </r>
    <r>
      <rPr>
        <sz val="11"/>
        <color rgb="FF000000"/>
        <rFont val="Calibri"/>
      </rPr>
      <t>11. Click "Next".</t>
    </r>
    <r>
      <rPr>
        <sz val="11"/>
        <color rgb="FF000000"/>
        <rFont val="Calibri"/>
      </rPr>
      <t xml:space="preserve">
</t>
    </r>
    <r>
      <rPr>
        <sz val="11"/>
        <color rgb="FF000000"/>
        <rFont val="Calibri"/>
      </rPr>
      <t>12. In the "Roles and Objects" pane, select a role from the "Select Role" drop-down menu.</t>
    </r>
    <r>
      <rPr>
        <sz val="11"/>
        <color rgb="FF000000"/>
        <rFont val="Calibri"/>
      </rPr>
      <t xml:space="preserve">
</t>
    </r>
    <r>
      <rPr>
        <sz val="11"/>
        <color rgb="FF000000"/>
        <rFont val="Calibri"/>
      </rPr>
      <t>13. Select the "Assign this role to the group" check box.</t>
    </r>
    <r>
      <rPr>
        <sz val="11"/>
        <color rgb="FF000000"/>
        <rFont val="Calibri"/>
      </rPr>
      <t xml:space="preserve">
</t>
    </r>
    <r>
      <rPr>
        <sz val="11"/>
        <color rgb="FF000000"/>
        <rFont val="Calibri"/>
      </rPr>
      <t>14. Select the "objects" users of the group can access when holding this role.</t>
    </r>
    <r>
      <rPr>
        <sz val="11"/>
        <color rgb="FF000000"/>
        <rFont val="Calibri"/>
      </rPr>
      <t xml:space="preserve">
</t>
    </r>
    <r>
      <rPr>
        <sz val="11"/>
        <color rgb="FF000000"/>
        <rFont val="Calibri"/>
      </rPr>
      <t>To assign permissions so that users can access all the objects in vRealize Operations Manager:</t>
    </r>
    <r>
      <rPr>
        <sz val="11"/>
        <color rgb="FF000000"/>
        <rFont val="Calibri"/>
      </rPr>
      <t xml:space="preserve">
</t>
    </r>
    <r>
      <rPr>
        <sz val="11"/>
        <color rgb="FF000000"/>
        <rFont val="Calibri"/>
      </rPr>
      <t>1. Select the "Allow access to all objects in the system" check box.</t>
    </r>
    <r>
      <rPr>
        <sz val="11"/>
        <color rgb="FF000000"/>
        <rFont val="Calibri"/>
      </rPr>
      <t xml:space="preserve">
</t>
    </r>
    <r>
      <rPr>
        <sz val="11"/>
        <color rgb="FF000000"/>
        <rFont val="Calibri"/>
      </rPr>
      <t>2. Click "OK".</t>
    </r>
    <r>
      <rPr>
        <sz val="11"/>
        <color rgb="FF000000"/>
        <rFont val="Calibri"/>
      </rPr>
      <t xml:space="preserve">
</t>
    </r>
    <r>
      <rPr>
        <sz val="11"/>
        <color rgb="FF000000"/>
        <rFont val="Calibri"/>
      </rPr>
      <t>Note: For complete details review vROps 6.x and vSphere SSO product documentation.</t>
    </r>
  </si>
  <si>
    <r>
      <rPr>
        <sz val="11"/>
        <color rgb="FF000000"/>
        <rFont val="Calibri"/>
      </rPr>
      <t>Untrusted Certificate Authorities (CA) can issue certificates, but they may be issued by organizations or individuals that seek to compromise DoD systems or by organizations with insufficient security controls. If the CA used for verifying the certificate is not a DoD-approved CA, trust of this CA has not been established.</t>
    </r>
    <r>
      <rPr>
        <sz val="11"/>
        <color rgb="FF000000"/>
        <rFont val="Calibri"/>
      </rPr>
      <t xml:space="preserve">
</t>
    </r>
    <r>
      <rPr>
        <sz val="11"/>
        <color rgb="FF000000"/>
        <rFont val="Calibri"/>
      </rPr>
      <t>The DoD will only accept PKI certificates obtained from a DoD-approved internal or external certificate authority. Reliance on CAs for the establishment of secure sessions includes, for example, the use of SSL/TLS certificates.  The application server must only allow the use of DoD PKI-established certificate authorities for verification.</t>
    </r>
  </si>
  <si>
    <r>
      <rPr>
        <sz val="11"/>
        <color rgb="FF000000"/>
        <rFont val="Calibri"/>
      </rPr>
      <t>Verify that the vROps Single Sign-On (SSO) is configured with the correct authentication source only (DoD PKI CAC enabled vSphere SSO instance) by using the following steps:</t>
    </r>
    <r>
      <rPr>
        <sz val="11"/>
        <color rgb="FF000000"/>
        <rFont val="Calibri"/>
      </rPr>
      <t xml:space="preserve">
</t>
    </r>
    <r>
      <rPr>
        <sz val="11"/>
        <color rgb="FF000000"/>
        <rFont val="Calibri"/>
      </rPr>
      <t>1. Log on to the admin UI as the administrator.</t>
    </r>
    <r>
      <rPr>
        <sz val="11"/>
        <color rgb="FF000000"/>
        <rFont val="Calibri"/>
      </rPr>
      <t xml:space="preserve">
</t>
    </r>
    <r>
      <rPr>
        <sz val="11"/>
        <color rgb="FF000000"/>
        <rFont val="Calibri"/>
      </rPr>
      <t>2. In the menu, click Administration, and then in the left pane click Access &gt;&gt; Authentication Sources.</t>
    </r>
    <r>
      <rPr>
        <sz val="11"/>
        <color rgb="FF000000"/>
        <rFont val="Calibri"/>
      </rPr>
      <t xml:space="preserve">
</t>
    </r>
    <r>
      <rPr>
        <sz val="11"/>
        <color rgb="FF000000"/>
        <rFont val="Calibri"/>
      </rPr>
      <t>3. Review the authentication sources and ensure that only the DoD PKI CAC enabled vSphere SSO instance is available as an authentication source.</t>
    </r>
    <r>
      <rPr>
        <sz val="11"/>
        <color rgb="FF000000"/>
        <rFont val="Calibri"/>
      </rPr>
      <t xml:space="preserve">
</t>
    </r>
    <r>
      <rPr>
        <sz val="11"/>
        <color rgb="FF000000"/>
        <rFont val="Calibri"/>
      </rPr>
      <t>If there is no authentication source, or multiple non-DoD PKI CAC enabled vSphere SSO instance authentication sources exist, this is a finding.</t>
    </r>
  </si>
  <si>
    <t>V-88213</t>
  </si>
  <si>
    <r>
      <rPr>
        <sz val="11"/>
        <rFont val="Calibri"/>
      </rPr>
      <t>The vRealize Operations appliance must be configured in accordance with the security configuration settings based on DoD security configuration or implementation guidance, including STIGs, NSA configuration guides, CTOs, and DTMs.</t>
    </r>
  </si>
  <si>
    <r>
      <rPr>
        <sz val="11"/>
        <color rgb="FF000000"/>
        <rFont val="Calibri"/>
      </rPr>
      <t>Obtain the most current vRealize Operations STIG. Ensure that this vROps appliance is configured with all current requirements.</t>
    </r>
  </si>
  <si>
    <r>
      <rPr>
        <sz val="11"/>
        <color rgb="FF000000"/>
        <rFont val="Calibri"/>
      </rPr>
      <t xml:space="preserve">Configuring the vRealize Operations appliance to implement organization-wide security implementation guides and security checklists ensures compliance with federal standards and establishes a common security baseline across DoD that reflects the most restrictive security posture consistent with operational requirements. </t>
    </r>
    <r>
      <rPr>
        <sz val="11"/>
        <color rgb="FF000000"/>
        <rFont val="Calibri"/>
      </rPr>
      <t xml:space="preserve">
</t>
    </r>
    <r>
      <rPr>
        <sz val="11"/>
        <color rgb="FF000000"/>
        <rFont val="Calibri"/>
      </rPr>
      <t>The vROps product is continually under refinement, and patches are regularly released to address vulnerabilities. As a result, the vROps STIG is also subject to a release cycle on a quarterly basis.</t>
    </r>
    <r>
      <rPr>
        <sz val="11"/>
        <color rgb="FF000000"/>
        <rFont val="Calibri"/>
      </rPr>
      <t xml:space="preserve">
</t>
    </r>
    <r>
      <rPr>
        <sz val="11"/>
        <color rgb="FF000000"/>
        <rFont val="Calibri"/>
      </rPr>
      <t>Assessors should ensure that they are reviewing the vRealize Operations appliance with the most current STIG.</t>
    </r>
  </si>
  <si>
    <r>
      <rPr>
        <sz val="11"/>
        <color rgb="FF000000"/>
        <rFont val="Calibri"/>
      </rPr>
      <t>Obtain the current vRealize Operations STIGs from the ISSO.</t>
    </r>
    <r>
      <rPr>
        <sz val="11"/>
        <color rgb="FF000000"/>
        <rFont val="Calibri"/>
      </rPr>
      <t xml:space="preserve">
</t>
    </r>
    <r>
      <rPr>
        <sz val="11"/>
        <color rgb="FF000000"/>
        <rFont val="Calibri"/>
      </rPr>
      <t>Verify that this Security Technical Implementation Guide (STIG) is the most current STIG available for vRealize Operations.</t>
    </r>
    <r>
      <rPr>
        <sz val="11"/>
        <color rgb="FF000000"/>
        <rFont val="Calibri"/>
      </rPr>
      <t xml:space="preserve">
</t>
    </r>
    <r>
      <rPr>
        <sz val="11"/>
        <color rgb="FF000000"/>
        <rFont val="Calibri"/>
      </rPr>
      <t>Assess all of the organization's vROps installations to ensure that they are fully compliant with the most current STIG.</t>
    </r>
    <r>
      <rPr>
        <sz val="11"/>
        <color rgb="FF000000"/>
        <rFont val="Calibri"/>
      </rPr>
      <t xml:space="preserve">
</t>
    </r>
    <r>
      <rPr>
        <sz val="11"/>
        <color rgb="FF000000"/>
        <rFont val="Calibri"/>
      </rPr>
      <t>If the most current version of the vROps STIG was not used, or if the vROps appliance configuration is not compliant with the most current STIG, this is a finding.</t>
    </r>
  </si>
  <si>
    <t>V-88215</t>
  </si>
  <si>
    <r>
      <rPr>
        <sz val="11"/>
        <rFont val="Calibri"/>
      </rPr>
      <t>The vROps PostgreSQL DB must limit the number of concurrent sessions to an organization-defined number per user for all accounts and/or account types.</t>
    </r>
  </si>
  <si>
    <t>VMW vRealize Operations Manager 6.x PostgreSQL</t>
  </si>
  <si>
    <r>
      <rPr>
        <sz val="11"/>
        <color rgb="FF000000"/>
        <rFont val="Calibri"/>
      </rPr>
      <t>At the command prompt, execute the following commands:</t>
    </r>
    <r>
      <rPr>
        <sz val="11"/>
        <color rgb="FF000000"/>
        <rFont val="Calibri"/>
      </rPr>
      <t xml:space="preserve">
</t>
    </r>
    <r>
      <rPr>
        <sz val="11"/>
        <color rgb="FF000000"/>
        <rFont val="Calibri"/>
      </rPr>
      <t># /opt/vmware/vpostgres/current/bin/psql -U postgres -c "ALTER SYSTEM SET max_connections TO '210';"</t>
    </r>
    <r>
      <rPr>
        <sz val="11"/>
        <color rgb="FF000000"/>
        <rFont val="Calibri"/>
      </rPr>
      <t xml:space="preserve">
</t>
    </r>
    <r>
      <rPr>
        <sz val="11"/>
        <color rgb="FF000000"/>
        <rFont val="Calibri"/>
      </rPr>
      <t># /opt/vmware/vpostgres/current/bin/psql -U postgres -c "SELECT pg_reload_conf();"</t>
    </r>
  </si>
  <si>
    <r>
      <rPr>
        <sz val="11"/>
        <color rgb="FF000000"/>
        <rFont val="Calibri"/>
      </rPr>
      <t>Database management includes the ability to control the number of users and user sessions utilizing a DBMS. Unlimited concurrent connections to the DBMS could allow a successful Denial of Service (DoS) attack by exhausting connection resources; and a system can also fail or be degraded by an overload of legitimate users. Limiting the number of concurrent sessions per user is helpful in reducing these risks.</t>
    </r>
    <r>
      <rPr>
        <sz val="11"/>
        <color rgb="FF000000"/>
        <rFont val="Calibri"/>
      </rPr>
      <t xml:space="preserve">
</t>
    </r>
    <r>
      <rPr>
        <sz val="11"/>
        <color rgb="FF000000"/>
        <rFont val="Calibri"/>
      </rPr>
      <t>This requirement addresses concurrent session control for a single account. It does not address concurrent sessions by a single user via multiple system accounts; and it does not deal with the total number of sessions across all accounts.</t>
    </r>
    <r>
      <rPr>
        <sz val="11"/>
        <color rgb="FF000000"/>
        <rFont val="Calibri"/>
      </rPr>
      <t xml:space="preserve">
</t>
    </r>
    <r>
      <rPr>
        <sz val="11"/>
        <color rgb="FF000000"/>
        <rFont val="Calibri"/>
      </rPr>
      <t>The capability to limit the number of concurrent sessions per user must be configured in or added to the DBMS (for example, by use of a logon trigger), when this is technically feasible. Note that it is not sufficient to limit sessions via a web server or application server alone, because legitimate users and adversaries can potentially connect to the DBMS by other means.</t>
    </r>
    <r>
      <rPr>
        <sz val="11"/>
        <color rgb="FF000000"/>
        <rFont val="Calibri"/>
      </rPr>
      <t xml:space="preserve">
</t>
    </r>
    <r>
      <rPr>
        <sz val="11"/>
        <color rgb="FF000000"/>
        <rFont val="Calibri"/>
      </rPr>
      <t>The organization will need to define the maximum number of concurrent sessions by account type, by account, or a combination thereof. In deciding on the appropriate number, it is important to consider the work requirements of the various types of users. For example, 2 might be an acceptable limit for general users accessing the database via an application; but 10 might be too few for a database administrator using a database management GUI tool, where each query tab and navigation pane may count as a separate session.</t>
    </r>
    <r>
      <rPr>
        <sz val="11"/>
        <color rgb="FF000000"/>
        <rFont val="Calibri"/>
      </rPr>
      <t xml:space="preserve">
</t>
    </r>
    <r>
      <rPr>
        <sz val="11"/>
        <color rgb="FF000000"/>
        <rFont val="Calibri"/>
      </rPr>
      <t>(Sessions may also be referred to as connections or logons, which for the purposes of this requirement are synonyms.)</t>
    </r>
  </si>
  <si>
    <r>
      <rPr>
        <sz val="11"/>
        <color rgb="FF000000"/>
        <rFont val="Calibri"/>
      </rPr>
      <t>At the command prompt, execute the following command:</t>
    </r>
    <r>
      <rPr>
        <sz val="11"/>
        <color rgb="FF000000"/>
        <rFont val="Calibri"/>
      </rPr>
      <t xml:space="preserve">
</t>
    </r>
    <r>
      <rPr>
        <sz val="11"/>
        <color rgb="FF000000"/>
        <rFont val="Calibri"/>
      </rPr>
      <t># grep '^\s*max_connections\b' /storage/db/vcops/vpostgres/data/postgresql.conf</t>
    </r>
    <r>
      <rPr>
        <sz val="11"/>
        <color rgb="FF000000"/>
        <rFont val="Calibri"/>
      </rPr>
      <t xml:space="preserve">
</t>
    </r>
    <r>
      <rPr>
        <sz val="11"/>
        <color rgb="FF000000"/>
        <rFont val="Calibri"/>
      </rPr>
      <t>If max_connections is not "210", this is a finding.</t>
    </r>
  </si>
  <si>
    <t>V-88217</t>
  </si>
  <si>
    <r>
      <rPr>
        <sz val="11"/>
        <rFont val="Calibri"/>
      </rPr>
      <t>The vROps PostgreSQL DB must provide audit record generation for DoD-defined auditable events within all DBMS/database components.</t>
    </r>
  </si>
  <si>
    <r>
      <rPr>
        <sz val="11"/>
        <color rgb="FF000000"/>
        <rFont val="Calibri"/>
      </rPr>
      <t>At the command prompt, execute the following commands:</t>
    </r>
    <r>
      <rPr>
        <sz val="11"/>
        <color rgb="FF000000"/>
        <rFont val="Calibri"/>
      </rPr>
      <t xml:space="preserve">
</t>
    </r>
    <r>
      <rPr>
        <sz val="11"/>
        <color rgb="FF000000"/>
        <rFont val="Calibri"/>
      </rPr>
      <t># sed -i.bak "/log_line_prefix.*/ d" /storage/db/vcops/vpostgres/data/postgresql.conf</t>
    </r>
    <r>
      <rPr>
        <sz val="11"/>
        <color rgb="FF000000"/>
        <rFont val="Calibri"/>
      </rPr>
      <t xml:space="preserve">
</t>
    </r>
    <r>
      <rPr>
        <sz val="11"/>
        <color rgb="FF000000"/>
        <rFont val="Calibri"/>
      </rPr>
      <t># sed -i "$ a log_line_prefix = '%m %d %u %r %p %l %c'" /storage/db/vcops/vpostgres/data/postgresql.conf</t>
    </r>
    <r>
      <rPr>
        <sz val="11"/>
        <color rgb="FF000000"/>
        <rFont val="Calibri"/>
      </rPr>
      <t xml:space="preserve">
</t>
    </r>
    <r>
      <rPr>
        <sz val="11"/>
        <color rgb="FF000000"/>
        <rFont val="Calibri"/>
      </rPr>
      <t># su postgres</t>
    </r>
    <r>
      <rPr>
        <sz val="11"/>
        <color rgb="FF000000"/>
        <rFont val="Calibri"/>
      </rPr>
      <t xml:space="preserve">
</t>
    </r>
    <r>
      <rPr>
        <sz val="11"/>
        <color rgb="FF000000"/>
        <rFont val="Calibri"/>
      </rPr>
      <t>postgres@vRealizeClusterNode:&gt; cd /opt/vmware/vpostgres/current</t>
    </r>
    <r>
      <rPr>
        <sz val="11"/>
        <color rgb="FF000000"/>
        <rFont val="Calibri"/>
      </rPr>
      <t xml:space="preserve">
</t>
    </r>
    <r>
      <rPr>
        <sz val="11"/>
        <color rgb="FF000000"/>
        <rFont val="Calibri"/>
      </rPr>
      <t>postgres@vRealizeClusterNode:&gt; /opt/vmware/vpostgres/9.3/bin/pg_ctl restart -D /storage/db/vcops/vpostgres/data</t>
    </r>
    <r>
      <rPr>
        <sz val="11"/>
        <color rgb="FF000000"/>
        <rFont val="Calibri"/>
      </rPr>
      <t xml:space="preserve">
</t>
    </r>
    <r>
      <rPr>
        <sz val="11"/>
        <color rgb="FF000000"/>
        <rFont val="Calibri"/>
      </rPr>
      <t>postgres@vRealizeClusterNode:&gt; exit</t>
    </r>
  </si>
  <si>
    <r>
      <rPr>
        <sz val="11"/>
        <color rgb="FF000000"/>
        <rFont val="Calibri"/>
      </rPr>
      <t xml:space="preserve">Without the capability to generate audit records, it would be difficult to establish, correlate, and investigate the events relating to an incident or identify those responsible for one. </t>
    </r>
    <r>
      <rPr>
        <sz val="11"/>
        <color rgb="FF000000"/>
        <rFont val="Calibri"/>
      </rPr>
      <t xml:space="preserve">
</t>
    </r>
    <r>
      <rPr>
        <sz val="11"/>
        <color rgb="FF000000"/>
        <rFont val="Calibri"/>
      </rPr>
      <t>Audit records can be generated from various components within the DBMS (e.g., process, module). Certain specific application functionalities may be audited as well. The list of audited events is the set of events for which audits are to be generated. This set of events is typically a subset of the list of all events for which the system is capable of generating audit records.</t>
    </r>
    <r>
      <rPr>
        <sz val="11"/>
        <color rgb="FF000000"/>
        <rFont val="Calibri"/>
      </rPr>
      <t xml:space="preserve">
</t>
    </r>
    <r>
      <rPr>
        <sz val="11"/>
        <color rgb="FF000000"/>
        <rFont val="Calibri"/>
      </rPr>
      <t xml:space="preserve">DoD has defined the list of events for which the DBMS will provide an audit record generation capability as the following: </t>
    </r>
    <r>
      <rPr>
        <sz val="11"/>
        <color rgb="FF000000"/>
        <rFont val="Calibri"/>
      </rPr>
      <t xml:space="preserve">
</t>
    </r>
    <r>
      <rPr>
        <sz val="11"/>
        <color rgb="FF000000"/>
        <rFont val="Calibri"/>
      </rPr>
      <t>(i) Successful and unsuccessful attempts to access, modify, or delete privileges, security objects, security levels, or categories of information (e.g., classification levels);</t>
    </r>
    <r>
      <rPr>
        <sz val="11"/>
        <color rgb="FF000000"/>
        <rFont val="Calibri"/>
      </rPr>
      <t xml:space="preserve">
</t>
    </r>
    <r>
      <rPr>
        <sz val="11"/>
        <color rgb="FF000000"/>
        <rFont val="Calibri"/>
      </rPr>
      <t>(ii) Access actions, such as successful and unsuccessful logon attempts, privileged activities, or other system-level access, starting and ending time for user access to the system, concurrent logons from different workstations, successful and unsuccessful accesses to objects, all program initiations, and all direct access to the information system; and</t>
    </r>
    <r>
      <rPr>
        <sz val="11"/>
        <color rgb="FF000000"/>
        <rFont val="Calibri"/>
      </rPr>
      <t xml:space="preserve">
</t>
    </r>
    <r>
      <rPr>
        <sz val="11"/>
        <color rgb="FF000000"/>
        <rFont val="Calibri"/>
      </rPr>
      <t>(iii) All account creation, modification, disabling, and termination actions.</t>
    </r>
    <r>
      <rPr>
        <sz val="11"/>
        <color rgb="FF000000"/>
        <rFont val="Calibri"/>
      </rPr>
      <t xml:space="preserve">
</t>
    </r>
    <r>
      <rPr>
        <sz val="11"/>
        <color rgb="FF000000"/>
        <rFont val="Calibri"/>
      </rPr>
      <t>Organizations may define additional events requiring continuous or ad hoc auditing.</t>
    </r>
  </si>
  <si>
    <r>
      <rPr>
        <sz val="11"/>
        <color rgb="FF000000"/>
        <rFont val="Calibri"/>
      </rPr>
      <t>At the command prompt, execute the following command:</t>
    </r>
    <r>
      <rPr>
        <sz val="11"/>
        <color rgb="FF000000"/>
        <rFont val="Calibri"/>
      </rPr>
      <t xml:space="preserve">
</t>
    </r>
    <r>
      <rPr>
        <sz val="11"/>
        <color rgb="FF000000"/>
        <rFont val="Calibri"/>
      </rPr>
      <t># grep '^\s*log_line_prefix\b' /storage/db/vcops/vpostgres/data/postgresql.conf</t>
    </r>
    <r>
      <rPr>
        <sz val="11"/>
        <color rgb="FF000000"/>
        <rFont val="Calibri"/>
      </rPr>
      <t xml:space="preserve">
</t>
    </r>
    <r>
      <rPr>
        <sz val="11"/>
        <color rgb="FF000000"/>
        <rFont val="Calibri"/>
      </rPr>
      <t>If log_line_prefix is not set to "%m %d %u %r %p %l %c", this is a finding.</t>
    </r>
  </si>
  <si>
    <t>V-88219</t>
  </si>
  <si>
    <r>
      <rPr>
        <sz val="11"/>
        <rFont val="Calibri"/>
      </rPr>
      <t>The vROps PostgreSQL DB must allow only the ISSM (or individuals or roles appointed by the ISSM) to select which auditable events are to be audited.</t>
    </r>
  </si>
  <si>
    <r>
      <rPr>
        <sz val="11"/>
        <color rgb="FF000000"/>
        <rFont val="Calibri"/>
      </rPr>
      <t>At the command prompt, enter the following command:</t>
    </r>
    <r>
      <rPr>
        <sz val="11"/>
        <color rgb="FF000000"/>
        <rFont val="Calibri"/>
      </rPr>
      <t xml:space="preserve">
</t>
    </r>
    <r>
      <rPr>
        <sz val="11"/>
        <color rgb="FF000000"/>
        <rFont val="Calibri"/>
      </rPr>
      <t># chmod 600 &lt;file&gt;</t>
    </r>
    <r>
      <rPr>
        <sz val="11"/>
        <color rgb="FF000000"/>
        <rFont val="Calibri"/>
      </rPr>
      <t xml:space="preserve">
</t>
    </r>
    <r>
      <rPr>
        <sz val="11"/>
        <color rgb="FF000000"/>
        <rFont val="Calibri"/>
      </rPr>
      <t>Note: Replace &lt;file&gt; with the file with incorrect permissions.</t>
    </r>
  </si>
  <si>
    <r>
      <rPr>
        <sz val="11"/>
        <color rgb="FF000000"/>
        <rFont val="Calibri"/>
      </rPr>
      <t>Without the capability to restrict which roles and individuals can select which events are audited, unauthorized personnel may be able to prevent or interfere with the auditing of critical events.</t>
    </r>
    <r>
      <rPr>
        <sz val="11"/>
        <color rgb="FF000000"/>
        <rFont val="Calibri"/>
      </rPr>
      <t xml:space="preserve">
</t>
    </r>
    <r>
      <rPr>
        <sz val="11"/>
        <color rgb="FF000000"/>
        <rFont val="Calibri"/>
      </rPr>
      <t>Suppression of auditing could permit an adversary to evade detection.</t>
    </r>
    <r>
      <rPr>
        <sz val="11"/>
        <color rgb="FF000000"/>
        <rFont val="Calibri"/>
      </rPr>
      <t xml:space="preserve">
</t>
    </r>
    <r>
      <rPr>
        <sz val="11"/>
        <color rgb="FF000000"/>
        <rFont val="Calibri"/>
      </rPr>
      <t>Misconfigured audits can degrade the system's performance by overwhelming the audit log. Misconfigured audits may also make it more difficult to establish, correlate, and investigate the events relating to an incident or identify those responsible for one.</t>
    </r>
  </si>
  <si>
    <r>
      <rPr>
        <sz val="11"/>
        <color rgb="FF000000"/>
        <rFont val="Calibri"/>
      </rPr>
      <t>At the command prompt, enter the following command:</t>
    </r>
    <r>
      <rPr>
        <sz val="11"/>
        <color rgb="FF000000"/>
        <rFont val="Calibri"/>
      </rPr>
      <t xml:space="preserve">
</t>
    </r>
    <r>
      <rPr>
        <sz val="11"/>
        <color rgb="FF000000"/>
        <rFont val="Calibri"/>
      </rPr>
      <t># ls -l /storage/db/vcops/vpostgres/data/*conf*</t>
    </r>
    <r>
      <rPr>
        <sz val="11"/>
        <color rgb="FF000000"/>
        <rFont val="Calibri"/>
      </rPr>
      <t xml:space="preserve">
</t>
    </r>
    <r>
      <rPr>
        <sz val="11"/>
        <color rgb="FF000000"/>
        <rFont val="Calibri"/>
      </rPr>
      <t>If the permissions on any of the listed files are not "600" or more restrictive, this is a finding.</t>
    </r>
  </si>
  <si>
    <t>V-88221</t>
  </si>
  <si>
    <r>
      <rPr>
        <sz val="11"/>
        <rFont val="Calibri"/>
      </rPr>
      <t>The vROps PostgreSQL DB must be able to generate audit records when privileges/permissions are retrieved.</t>
    </r>
  </si>
  <si>
    <r>
      <rPr>
        <sz val="11"/>
        <color rgb="FF000000"/>
        <rFont val="Calibri"/>
      </rPr>
      <t>At the command prompt, execute the following commands:</t>
    </r>
    <r>
      <rPr>
        <sz val="11"/>
        <color rgb="FF000000"/>
        <rFont val="Calibri"/>
      </rPr>
      <t xml:space="preserve">
</t>
    </r>
    <r>
      <rPr>
        <sz val="11"/>
        <color rgb="FF000000"/>
        <rFont val="Calibri"/>
      </rPr>
      <t># /opt/vmware/vpostgres/current/bin/psql -U postgres -c "ALTER SYSTEM SET log_statement TO 'all';"</t>
    </r>
    <r>
      <rPr>
        <sz val="11"/>
        <color rgb="FF000000"/>
        <rFont val="Calibri"/>
      </rPr>
      <t xml:space="preserve">
</t>
    </r>
    <r>
      <rPr>
        <sz val="11"/>
        <color rgb="FF000000"/>
        <rFont val="Calibri"/>
      </rPr>
      <t># /opt/vmware/vpostgres/current/bin/psql -U postgres -c "SELECT pg_reload_conf();"</t>
    </r>
  </si>
  <si>
    <r>
      <rPr>
        <sz val="11"/>
        <color rgb="FF000000"/>
        <rFont val="Calibri"/>
      </rPr>
      <t>Under some circumstances, it may be useful to monitor who/what is reading privilege/permission/role information. Therefore, it must be possible to configure auditing to do this. DBMSs typically make such information available through views or functions.</t>
    </r>
    <r>
      <rPr>
        <sz val="11"/>
        <color rgb="FF000000"/>
        <rFont val="Calibri"/>
      </rPr>
      <t xml:space="preserve">
</t>
    </r>
    <r>
      <rPr>
        <sz val="11"/>
        <color rgb="FF000000"/>
        <rFont val="Calibri"/>
      </rPr>
      <t>This requirement addresses explicit requests for privilege/permission/role membership information. It does not refer to the implicit retrieval of privileges/permissions/role memberships that the DBMS continually performs to determine if any and every action on the database is permitted.</t>
    </r>
  </si>
  <si>
    <r>
      <rPr>
        <sz val="11"/>
        <color rgb="FF000000"/>
        <rFont val="Calibri"/>
      </rPr>
      <t>At the command prompt, execute the following command:</t>
    </r>
    <r>
      <rPr>
        <sz val="11"/>
        <color rgb="FF000000"/>
        <rFont val="Calibri"/>
      </rPr>
      <t xml:space="preserve">
</t>
    </r>
    <r>
      <rPr>
        <sz val="11"/>
        <color rgb="FF000000"/>
        <rFont val="Calibri"/>
      </rPr>
      <t># grep '^\s*log_statement\b' /storage/db/vcops/vpostgres/data/postgresql.conf</t>
    </r>
    <r>
      <rPr>
        <sz val="11"/>
        <color rgb="FF000000"/>
        <rFont val="Calibri"/>
      </rPr>
      <t xml:space="preserve">
</t>
    </r>
    <r>
      <rPr>
        <sz val="11"/>
        <color rgb="FF000000"/>
        <rFont val="Calibri"/>
      </rPr>
      <t>If log_statement is not set to "all", this is a finding.</t>
    </r>
  </si>
  <si>
    <t>V-88223</t>
  </si>
  <si>
    <r>
      <rPr>
        <sz val="11"/>
        <rFont val="Calibri"/>
      </rPr>
      <t>The vROps PostgreSQL DB must initiate session auditing upon startup.</t>
    </r>
  </si>
  <si>
    <r>
      <rPr>
        <sz val="11"/>
        <color rgb="FF000000"/>
        <rFont val="Calibri"/>
      </rPr>
      <t>Session auditing is for use when a user's activities are under investigation. To be sure of capturing all activity during those periods when session auditing is in use, it needs to be in operation for the whole time the DBMS is running.</t>
    </r>
  </si>
  <si>
    <t>V-88225</t>
  </si>
  <si>
    <r>
      <rPr>
        <sz val="11"/>
        <rFont val="Calibri"/>
      </rPr>
      <t>The vROps PostgreSQL DB must provide authorized users to capture, record, and log all content related to a user session.</t>
    </r>
  </si>
  <si>
    <r>
      <rPr>
        <sz val="11"/>
        <color rgb="FF000000"/>
        <rFont val="Calibri"/>
      </rPr>
      <t>Without the capability to capture, record, and log all content related to a user session, investigations into suspicious user activity would be hampered.</t>
    </r>
    <r>
      <rPr>
        <sz val="11"/>
        <color rgb="FF000000"/>
        <rFont val="Calibri"/>
      </rPr>
      <t xml:space="preserve">
</t>
    </r>
    <r>
      <rPr>
        <sz val="11"/>
        <color rgb="FF000000"/>
        <rFont val="Calibri"/>
      </rPr>
      <t>Typically, this DBMS capability would be used in conjunction with comparable monitoring of a user's online session, involving other software components such as operating systems, web servers, and front-end user applications. The current requirement, however, deals specifically with the DBMS.</t>
    </r>
  </si>
  <si>
    <t>V-88227</t>
  </si>
  <si>
    <r>
      <rPr>
        <sz val="11"/>
        <rFont val="Calibri"/>
      </rPr>
      <t>The vROps PostgreSQL DB must produce audit records containing sufficient information to establish what type of events occurred.</t>
    </r>
  </si>
  <si>
    <r>
      <rPr>
        <sz val="11"/>
        <color rgb="FF000000"/>
        <rFont val="Calibri"/>
      </rPr>
      <t>At the command prompt, execute the following commands:</t>
    </r>
    <r>
      <rPr>
        <sz val="11"/>
        <color rgb="FF000000"/>
        <rFont val="Calibri"/>
      </rPr>
      <t xml:space="preserve">
</t>
    </r>
    <r>
      <rPr>
        <sz val="11"/>
        <color rgb="FF000000"/>
        <rFont val="Calibri"/>
      </rPr>
      <t># /opt/vmware/vpostgres/current/bin/psql -U postgres -c "ALTER SYSTEM SET log_line_prefix TO '%m %d %u %r %p %l %c';"</t>
    </r>
    <r>
      <rPr>
        <sz val="11"/>
        <color rgb="FF000000"/>
        <rFont val="Calibri"/>
      </rPr>
      <t xml:space="preserve">
</t>
    </r>
    <r>
      <rPr>
        <sz val="11"/>
        <color rgb="FF000000"/>
        <rFont val="Calibri"/>
      </rPr>
      <t># /opt/vmware/vpostgres/current/bin/psql -U postgres -c "SELECT pg_reload_conf();"</t>
    </r>
  </si>
  <si>
    <r>
      <rPr>
        <sz val="11"/>
        <color rgb="FF000000"/>
        <rFont val="Calibri"/>
      </rPr>
      <t xml:space="preserve">Information system auditing capability is critical for accurate forensic analysis. Without establishing what type of event occurred, it would be difficult to establish, correlate, and investigate the events relating to an incident or identify those responsible for one. </t>
    </r>
    <r>
      <rPr>
        <sz val="11"/>
        <color rgb="FF000000"/>
        <rFont val="Calibri"/>
      </rPr>
      <t xml:space="preserve">
</t>
    </r>
    <r>
      <rPr>
        <sz val="11"/>
        <color rgb="FF000000"/>
        <rFont val="Calibri"/>
      </rPr>
      <t>Audit record content that may be necessary to satisfy the requirement of this policy includes, for example, time stamps, user/process identifiers, event descriptions, success/fail indications, filenames involved, and access control or flow control rules invoked.</t>
    </r>
    <r>
      <rPr>
        <sz val="11"/>
        <color rgb="FF000000"/>
        <rFont val="Calibri"/>
      </rPr>
      <t xml:space="preserve">
</t>
    </r>
    <r>
      <rPr>
        <sz val="11"/>
        <color rgb="FF000000"/>
        <rFont val="Calibri"/>
      </rPr>
      <t xml:space="preserve">Associating event types with detected events in the application and audit logs provides a means of investigating an attack; recognizing resource utilization or capacity thresholds; or identifying an improperly configured application. </t>
    </r>
    <r>
      <rPr>
        <sz val="11"/>
        <color rgb="FF000000"/>
        <rFont val="Calibri"/>
      </rPr>
      <t xml:space="preserve">
</t>
    </r>
    <r>
      <rPr>
        <sz val="11"/>
        <color rgb="FF000000"/>
        <rFont val="Calibri"/>
      </rPr>
      <t>Database software is capable of a range of actions on data stored within the database. It is important, for accurate forensic analysis, to know exactly what actions were performed. This requires specific information regarding the event type an audit record is referring to. If event type information is not recorded and stored with the audit record, the record itself is of very limited use.</t>
    </r>
  </si>
  <si>
    <t>V-88229</t>
  </si>
  <si>
    <r>
      <rPr>
        <sz val="11"/>
        <rFont val="Calibri"/>
      </rPr>
      <t>The vROps PostgreSQL DB must produce audit records containing time stamps to establish when the events occurred.</t>
    </r>
  </si>
  <si>
    <r>
      <rPr>
        <sz val="11"/>
        <color rgb="FF000000"/>
        <rFont val="Calibri"/>
      </rPr>
      <t>Information system auditing capability is critical for accurate forensic analysis. Without establishing when events occurred, it is impossible to establish, correlate, and investigate the events relating to an incident.</t>
    </r>
    <r>
      <rPr>
        <sz val="11"/>
        <color rgb="FF000000"/>
        <rFont val="Calibri"/>
      </rPr>
      <t xml:space="preserve">
</t>
    </r>
    <r>
      <rPr>
        <sz val="11"/>
        <color rgb="FF000000"/>
        <rFont val="Calibri"/>
      </rPr>
      <t>In order to compile an accurate risk assessment and provide forensic analysis, it is essential for security personnel to know the date and time when events occurred.</t>
    </r>
    <r>
      <rPr>
        <sz val="11"/>
        <color rgb="FF000000"/>
        <rFont val="Calibri"/>
      </rPr>
      <t xml:space="preserve">
</t>
    </r>
    <r>
      <rPr>
        <sz val="11"/>
        <color rgb="FF000000"/>
        <rFont val="Calibri"/>
      </rPr>
      <t xml:space="preserve">Associating the date and time with detected events in the application and audit logs provides a means of investigating an attack; recognizing resource utilization or capacity thresholds; or identifying an improperly configured application. </t>
    </r>
    <r>
      <rPr>
        <sz val="11"/>
        <color rgb="FF000000"/>
        <rFont val="Calibri"/>
      </rPr>
      <t xml:space="preserve">
</t>
    </r>
    <r>
      <rPr>
        <sz val="11"/>
        <color rgb="FF000000"/>
        <rFont val="Calibri"/>
      </rPr>
      <t>Database software is capable of a range of actions on data stored within the database. It is important, for accurate forensic analysis, to know exactly when specific actions were performed. This requires the date and time an audit record is referring to. If date and time information is not recorded and stored with the audit record, the record itself is of very limited use.</t>
    </r>
  </si>
  <si>
    <t>V-88231</t>
  </si>
  <si>
    <r>
      <rPr>
        <sz val="11"/>
        <rFont val="Calibri"/>
      </rPr>
      <t>The vROps PostgreSQL DB must produce audit records containing sufficient information to establish where the events occurred.</t>
    </r>
  </si>
  <si>
    <r>
      <rPr>
        <sz val="11"/>
        <color rgb="FF000000"/>
        <rFont val="Calibri"/>
      </rPr>
      <t>Information system auditing capability is critical for accurate forensic analysis. Without establishing where events occurred, it is impossible to establish, correlate, and investigate the events relating to an incident.</t>
    </r>
    <r>
      <rPr>
        <sz val="11"/>
        <color rgb="FF000000"/>
        <rFont val="Calibri"/>
      </rPr>
      <t xml:space="preserve">
</t>
    </r>
    <r>
      <rPr>
        <sz val="11"/>
        <color rgb="FF000000"/>
        <rFont val="Calibri"/>
      </rPr>
      <t xml:space="preserve">In order to compile an accurate risk assessment and provide forensic analysis, it is essential for security personnel to know where events occurred, such as application components, modules, session identifiers, filenames, host names, and functionality. </t>
    </r>
    <r>
      <rPr>
        <sz val="11"/>
        <color rgb="FF000000"/>
        <rFont val="Calibri"/>
      </rPr>
      <t xml:space="preserve">
</t>
    </r>
    <r>
      <rPr>
        <sz val="11"/>
        <color rgb="FF000000"/>
        <rFont val="Calibri"/>
      </rPr>
      <t>Associating information about where the event occurred within the application provides a means of investigating an attack; recognizing resource utilization or capacity thresholds; or identifying an improperly configured application.</t>
    </r>
  </si>
  <si>
    <t>V-88233</t>
  </si>
  <si>
    <r>
      <rPr>
        <sz val="11"/>
        <rFont val="Calibri"/>
      </rPr>
      <t>The vROps PostgreSQL DB must produce audit records containing sufficient information to establish the sources (origins) of the events.</t>
    </r>
  </si>
  <si>
    <r>
      <rPr>
        <sz val="11"/>
        <color rgb="FF000000"/>
        <rFont val="Calibri"/>
      </rPr>
      <t>Information system auditing capability is critical for accurate forensic analysis. Without establishing the source of the event, it is impossible to establish, correlate, and investigate the events relating to an incident.</t>
    </r>
    <r>
      <rPr>
        <sz val="11"/>
        <color rgb="FF000000"/>
        <rFont val="Calibri"/>
      </rPr>
      <t xml:space="preserve">
</t>
    </r>
    <r>
      <rPr>
        <sz val="11"/>
        <color rgb="FF000000"/>
        <rFont val="Calibri"/>
      </rPr>
      <t xml:space="preserve">In order to compile an accurate risk assessment and provide forensic analysis, it is essential for security personnel to know where events occurred, such as application components, modules, session identifiers, filenames, host names, and functionality. </t>
    </r>
    <r>
      <rPr>
        <sz val="11"/>
        <color rgb="FF000000"/>
        <rFont val="Calibri"/>
      </rPr>
      <t xml:space="preserve">
</t>
    </r>
    <r>
      <rPr>
        <sz val="11"/>
        <color rgb="FF000000"/>
        <rFont val="Calibri"/>
      </rPr>
      <t>In addition to logging where events occur within the application, the application must also produce audit records that identify the application itself as the source of the event.</t>
    </r>
    <r>
      <rPr>
        <sz val="11"/>
        <color rgb="FF000000"/>
        <rFont val="Calibri"/>
      </rPr>
      <t xml:space="preserve">
</t>
    </r>
    <r>
      <rPr>
        <sz val="11"/>
        <color rgb="FF000000"/>
        <rFont val="Calibri"/>
      </rPr>
      <t>Associating information about the source of the event within the application provides a means of investigating an attack; recognizing resource utilization or capacity thresholds; or identifying an improperly configured application.</t>
    </r>
  </si>
  <si>
    <t>V-88235</t>
  </si>
  <si>
    <r>
      <rPr>
        <sz val="11"/>
        <rFont val="Calibri"/>
      </rPr>
      <t>The vROps PostgreSQL DB must produce audit records containing sufficient information to establish the outcome (success or failure) of the events.</t>
    </r>
  </si>
  <si>
    <r>
      <rPr>
        <sz val="11"/>
        <color rgb="FF000000"/>
        <rFont val="Calibri"/>
      </rPr>
      <t>Information system auditing capability is critical for accurate forensic analysis. Without information about the outcome of events, security personnel cannot make an accurate assessment as to whether an attack was successful or if changes were made to the security state of the system.</t>
    </r>
    <r>
      <rPr>
        <sz val="11"/>
        <color rgb="FF000000"/>
        <rFont val="Calibri"/>
      </rPr>
      <t xml:space="preserve">
</t>
    </r>
    <r>
      <rPr>
        <sz val="11"/>
        <color rgb="FF000000"/>
        <rFont val="Calibri"/>
      </rPr>
      <t>Event outcomes can include indicators of event success or failure and event-specific results (e.g., the security state of the information system after the event occurred). As such, they also provide a means to measure the impact of an event and help authorized personnel to determine the appropriate response.</t>
    </r>
  </si>
  <si>
    <t>V-88237</t>
  </si>
  <si>
    <r>
      <rPr>
        <sz val="11"/>
        <rFont val="Calibri"/>
      </rPr>
      <t>The vROps PostgreSQL DB must produce audit records containing sufficient information to establish the identity of any user/subject or process associated with the event.</t>
    </r>
  </si>
  <si>
    <r>
      <rPr>
        <sz val="11"/>
        <color rgb="FF000000"/>
        <rFont val="Calibri"/>
      </rPr>
      <t>Information system auditing capability is critical for accurate forensic analysis. Without information that establishes the identity of the subjects (i.e., users or processes acting on behalf of users) associated with the events, security personnel cannot determine responsibility for the potentially harmful event.</t>
    </r>
    <r>
      <rPr>
        <sz val="11"/>
        <color rgb="FF000000"/>
        <rFont val="Calibri"/>
      </rPr>
      <t xml:space="preserve">
</t>
    </r>
    <r>
      <rPr>
        <sz val="11"/>
        <color rgb="FF000000"/>
        <rFont val="Calibri"/>
      </rPr>
      <t>Identifiers (if authenticated or otherwise known) include, but are not limited to, user database tables, primary key values, user names, or process identifiers.</t>
    </r>
  </si>
  <si>
    <t>V-88239</t>
  </si>
  <si>
    <r>
      <rPr>
        <sz val="11"/>
        <rFont val="Calibri"/>
      </rPr>
      <t>The vROps PostgreSQL DB must include additional, more detailed, organization-defined information in the audit records for audit events identified by type, location, or subject.</t>
    </r>
  </si>
  <si>
    <r>
      <rPr>
        <sz val="11"/>
        <color rgb="FF000000"/>
        <rFont val="Calibri"/>
      </rPr>
      <t>Information system auditing capability is critical for accurate forensic analysis. Reconstruction of harmful events or forensic analysis is not possible if audit records do not contain enough information. To support analysis, some types of events will need information to be logged that exceeds the basic requirements of event type, time stamps, location, source, outcome, and user identity. If additional information is not available, it could negatively impact forensic investigations into user actions or other malicious events.</t>
    </r>
    <r>
      <rPr>
        <sz val="11"/>
        <color rgb="FF000000"/>
        <rFont val="Calibri"/>
      </rPr>
      <t xml:space="preserve">
</t>
    </r>
    <r>
      <rPr>
        <sz val="11"/>
        <color rgb="FF000000"/>
        <rFont val="Calibri"/>
      </rPr>
      <t xml:space="preserve">The organization must determine what additional information is required for complete analysis of the audited events. The additional information required is dependent on the type of information (e.g., sensitivity of the data and the environment within which it resides). At a minimum, the organization must employ either full-text recording of privileged commands or the individual identities of group users, or both. The organization must maintain audit trails in sufficient detail to reconstruct events to determine the cause and impact of compromise. </t>
    </r>
    <r>
      <rPr>
        <sz val="11"/>
        <color rgb="FF000000"/>
        <rFont val="Calibri"/>
      </rPr>
      <t xml:space="preserve">
</t>
    </r>
    <r>
      <rPr>
        <sz val="11"/>
        <color rgb="FF000000"/>
        <rFont val="Calibri"/>
      </rPr>
      <t>Examples of detailed information the organization may require in audit records are full-text recording of privileged commands or the individual identities of group account users.</t>
    </r>
  </si>
  <si>
    <t>V-88241</t>
  </si>
  <si>
    <r>
      <rPr>
        <sz val="11"/>
        <rFont val="Calibri"/>
      </rPr>
      <t>The vROps PostgreSQL DB must be configurable to overwrite audit log records, oldest first (First-In-First-Out - FIFO), in the event of unavailability of space for more audit log records.</t>
    </r>
  </si>
  <si>
    <t>CAT III (Low)</t>
  </si>
  <si>
    <r>
      <rPr>
        <sz val="11"/>
        <color rgb="FF000000"/>
        <rFont val="Calibri"/>
      </rPr>
      <t>At the command prompt, execute the following commands:</t>
    </r>
    <r>
      <rPr>
        <sz val="11"/>
        <color rgb="FF000000"/>
        <rFont val="Calibri"/>
      </rPr>
      <t xml:space="preserve">
</t>
    </r>
    <r>
      <rPr>
        <sz val="11"/>
        <color rgb="FF000000"/>
        <rFont val="Calibri"/>
      </rPr>
      <t># /opt/vmware/vpostgres/current/bin/psql -U postgres -c "ALTER SYSTEM SET log_truncate_on_rotation TO on;"</t>
    </r>
    <r>
      <rPr>
        <sz val="11"/>
        <color rgb="FF000000"/>
        <rFont val="Calibri"/>
      </rPr>
      <t xml:space="preserve">
</t>
    </r>
    <r>
      <rPr>
        <sz val="11"/>
        <color rgb="FF000000"/>
        <rFont val="Calibri"/>
      </rPr>
      <t># /opt/vmware/vpostgres/current/bin/psql -U postgres -c "SELECT pg_reload_conf();"</t>
    </r>
  </si>
  <si>
    <r>
      <rPr>
        <sz val="11"/>
        <color rgb="FF000000"/>
        <rFont val="Calibri"/>
      </rPr>
      <t xml:space="preserve">It is critical that when the DBMS is at risk of failing to process audit logs as required, it take action to mitigate the failure. Audit processing failures include: software/hardware errors; failures in the audit capturing mechanisms; and audit storage capacity being reached or exceeded. Responses to audit failure depend upon the nature of the failure mode. </t>
    </r>
    <r>
      <rPr>
        <sz val="11"/>
        <color rgb="FF000000"/>
        <rFont val="Calibri"/>
      </rPr>
      <t xml:space="preserve">
</t>
    </r>
    <r>
      <rPr>
        <sz val="11"/>
        <color rgb="FF000000"/>
        <rFont val="Calibri"/>
      </rPr>
      <t xml:space="preserve">When availability is an overriding concern, approved actions in response to an audit failure are as follows: </t>
    </r>
    <r>
      <rPr>
        <sz val="11"/>
        <color rgb="FF000000"/>
        <rFont val="Calibri"/>
      </rPr>
      <t xml:space="preserve">
</t>
    </r>
    <r>
      <rPr>
        <sz val="11"/>
        <color rgb="FF000000"/>
        <rFont val="Calibri"/>
      </rPr>
      <t>(i) If the failure was caused by the lack of audit record storage capacity, the DBMS must continue generating audit records, if possible (automatically restarting the audit service if necessary), overwriting the oldest audit records in a first-in-first-out manner.</t>
    </r>
    <r>
      <rPr>
        <sz val="11"/>
        <color rgb="FF000000"/>
        <rFont val="Calibri"/>
      </rPr>
      <t xml:space="preserve">
</t>
    </r>
    <r>
      <rPr>
        <sz val="11"/>
        <color rgb="FF000000"/>
        <rFont val="Calibri"/>
      </rPr>
      <t>(ii) If audit records are sent to a centralized collection server and communication with this server is lost or the server fails, the DBMS must queue audit records locally until communication is restored or until the audit records are retrieved manually. Upon restoration of the connection to the centralized collection server, action should be taken to synchronize the local audit data with the collection server.</t>
    </r>
    <r>
      <rPr>
        <sz val="11"/>
        <color rgb="FF000000"/>
        <rFont val="Calibri"/>
      </rPr>
      <t xml:space="preserve">
</t>
    </r>
    <r>
      <rPr>
        <sz val="11"/>
        <color rgb="FF000000"/>
        <rFont val="Calibri"/>
      </rPr>
      <t>Systems where availability is paramount will most likely be MAC I; the final determination is the prerogative of the application owner, subject to Authorizing Official concurrence. In any case, sufficient auditing resources must be allocated to avoid audit data loss in all but the most extreme situations.</t>
    </r>
  </si>
  <si>
    <r>
      <rPr>
        <sz val="11"/>
        <color rgb="FF000000"/>
        <rFont val="Calibri"/>
      </rPr>
      <t>At the command prompt, execute the following command:</t>
    </r>
    <r>
      <rPr>
        <sz val="11"/>
        <color rgb="FF000000"/>
        <rFont val="Calibri"/>
      </rPr>
      <t xml:space="preserve">
</t>
    </r>
    <r>
      <rPr>
        <sz val="11"/>
        <color rgb="FF000000"/>
        <rFont val="Calibri"/>
      </rPr>
      <t># grep '^\s*log_truncate_on_rotation\b' /storage/db/vcops/vpostgres/data/postgresql.conf</t>
    </r>
    <r>
      <rPr>
        <sz val="11"/>
        <color rgb="FF000000"/>
        <rFont val="Calibri"/>
      </rPr>
      <t xml:space="preserve">
</t>
    </r>
    <r>
      <rPr>
        <sz val="11"/>
        <color rgb="FF000000"/>
        <rFont val="Calibri"/>
      </rPr>
      <t>If log_truncate_on_rotation is not set to "on", this is a finding.</t>
    </r>
  </si>
  <si>
    <t>V-88243</t>
  </si>
  <si>
    <r>
      <rPr>
        <sz val="11"/>
        <rFont val="Calibri"/>
      </rPr>
      <t>The audit information produced by the vROps PostgreSQL DB must be protected from unauthorized read access.</t>
    </r>
  </si>
  <si>
    <r>
      <rPr>
        <sz val="11"/>
        <color rgb="FF000000"/>
        <rFont val="Calibri"/>
      </rPr>
      <t>At the command prompt, enter the following command:</t>
    </r>
    <r>
      <rPr>
        <sz val="11"/>
        <color rgb="FF000000"/>
        <rFont val="Calibri"/>
      </rPr>
      <t xml:space="preserve">
</t>
    </r>
    <r>
      <rPr>
        <sz val="11"/>
        <color rgb="FF000000"/>
        <rFont val="Calibri"/>
      </rPr>
      <t># chmod 600 /storage/db/vcops/vpostgres/data/pg_log/&lt;file_name&gt;</t>
    </r>
    <r>
      <rPr>
        <sz val="11"/>
        <color rgb="FF000000"/>
        <rFont val="Calibri"/>
      </rPr>
      <t xml:space="preserve">
</t>
    </r>
    <r>
      <rPr>
        <sz val="11"/>
        <color rgb="FF000000"/>
        <rFont val="Calibri"/>
      </rPr>
      <t>Replace &lt;file_name&gt; with files to be modified.</t>
    </r>
    <r>
      <rPr>
        <sz val="11"/>
        <color rgb="FF000000"/>
        <rFont val="Calibri"/>
      </rPr>
      <t xml:space="preserve">
</t>
    </r>
    <r>
      <rPr>
        <sz val="11"/>
        <color rgb="FF000000"/>
        <rFont val="Calibri"/>
      </rPr>
      <t>At the command prompt, execute the following commands:</t>
    </r>
    <r>
      <rPr>
        <sz val="11"/>
        <color rgb="FF000000"/>
        <rFont val="Calibri"/>
      </rPr>
      <t xml:space="preserve">
</t>
    </r>
    <r>
      <rPr>
        <sz val="11"/>
        <color rgb="FF000000"/>
        <rFont val="Calibri"/>
      </rPr>
      <t># /opt/vmware/vpostgres/current/bin/psql -U postgres -c "ALTER SYSTEM SET log_file_mode TO '0600';"</t>
    </r>
    <r>
      <rPr>
        <sz val="11"/>
        <color rgb="FF000000"/>
        <rFont val="Calibri"/>
      </rPr>
      <t xml:space="preserve">
</t>
    </r>
    <r>
      <rPr>
        <sz val="11"/>
        <color rgb="FF000000"/>
        <rFont val="Calibri"/>
      </rPr>
      <t># /opt/vmware/vpostgres/current/bin/psql -U postgres -c "SELECT pg_reload_conf();"</t>
    </r>
  </si>
  <si>
    <r>
      <rPr>
        <sz val="11"/>
        <color rgb="FF000000"/>
        <rFont val="Calibri"/>
      </rPr>
      <t>If audit data were to become compromised, then competent forensic analysis and discovery of the true source of potentially malicious system activity is difficult, if not impossible, to achieve. In addition, access to audit records provides information an attacker could potentially use to his or her advantage.</t>
    </r>
    <r>
      <rPr>
        <sz val="11"/>
        <color rgb="FF000000"/>
        <rFont val="Calibri"/>
      </rPr>
      <t xml:space="preserve">
</t>
    </r>
    <r>
      <rPr>
        <sz val="11"/>
        <color rgb="FF000000"/>
        <rFont val="Calibri"/>
      </rPr>
      <t>To ensure the veracity of audit data, the information system and/or the application must protect audit information from any and all unauthorized access. This includes read, write, copy, etc.</t>
    </r>
    <r>
      <rPr>
        <sz val="11"/>
        <color rgb="FF000000"/>
        <rFont val="Calibri"/>
      </rPr>
      <t xml:space="preserve">
</t>
    </r>
    <r>
      <rPr>
        <sz val="11"/>
        <color rgb="FF000000"/>
        <rFont val="Calibri"/>
      </rPr>
      <t xml:space="preserve">This requirement can be achieved through multiple methods which will depend upon system architecture and design. Some commonly employed methods include ensuring log files enjoy the proper file system permissions utilizing file system protections and limiting log data location. </t>
    </r>
    <r>
      <rPr>
        <sz val="11"/>
        <color rgb="FF000000"/>
        <rFont val="Calibri"/>
      </rPr>
      <t xml:space="preserve">
</t>
    </r>
    <r>
      <rPr>
        <sz val="11"/>
        <color rgb="FF000000"/>
        <rFont val="Calibri"/>
      </rPr>
      <t>Additionally, applications with user interfaces to audit records should not allow for the unfettered manipulation of or access to those records via the application. If the application provides access to the audit data, the application becomes accountable for ensuring that audit information is protected from unauthorized access.</t>
    </r>
    <r>
      <rPr>
        <sz val="11"/>
        <color rgb="FF000000"/>
        <rFont val="Calibri"/>
      </rPr>
      <t xml:space="preserve">
</t>
    </r>
    <r>
      <rPr>
        <sz val="11"/>
        <color rgb="FF000000"/>
        <rFont val="Calibri"/>
      </rPr>
      <t>Audit information includes all information (e.g., audit records, audit settings, and audit reports) needed to successfully audit information system activity.</t>
    </r>
  </si>
  <si>
    <r>
      <rPr>
        <sz val="11"/>
        <color rgb="FF000000"/>
        <rFont val="Calibri"/>
      </rPr>
      <t>At the command prompt, enter the following command:</t>
    </r>
    <r>
      <rPr>
        <sz val="11"/>
        <color rgb="FF000000"/>
        <rFont val="Calibri"/>
      </rPr>
      <t xml:space="preserve">
</t>
    </r>
    <r>
      <rPr>
        <sz val="11"/>
        <color rgb="FF000000"/>
        <rFont val="Calibri"/>
      </rPr>
      <t># ls -l /storage/db/vcops/vpostgres/data/pg_log/*.log</t>
    </r>
    <r>
      <rPr>
        <sz val="11"/>
        <color rgb="FF000000"/>
        <rFont val="Calibri"/>
      </rPr>
      <t xml:space="preserve">
</t>
    </r>
    <r>
      <rPr>
        <sz val="11"/>
        <color rgb="FF000000"/>
        <rFont val="Calibri"/>
      </rPr>
      <t>If the permissions on any log files are not "600", this is a finding.</t>
    </r>
  </si>
  <si>
    <t>V-88245</t>
  </si>
  <si>
    <r>
      <rPr>
        <sz val="11"/>
        <rFont val="Calibri"/>
      </rPr>
      <t>The audit information produced by the vROps PostgreSQL DB must be protected from unauthorized modification.</t>
    </r>
  </si>
  <si>
    <r>
      <rPr>
        <sz val="11"/>
        <color rgb="FF000000"/>
        <rFont val="Calibri"/>
      </rPr>
      <t>At the command prompt, enter the following command:</t>
    </r>
    <r>
      <rPr>
        <sz val="11"/>
        <color rgb="FF000000"/>
        <rFont val="Calibri"/>
      </rPr>
      <t xml:space="preserve">
</t>
    </r>
    <r>
      <rPr>
        <sz val="11"/>
        <color rgb="FF000000"/>
        <rFont val="Calibri"/>
      </rPr>
      <t># chown postgres:users /storage/db/vcops/vpostgres/data/pg_log/&lt;file_name&gt;</t>
    </r>
    <r>
      <rPr>
        <sz val="11"/>
        <color rgb="FF000000"/>
        <rFont val="Calibri"/>
      </rPr>
      <t xml:space="preserve">
</t>
    </r>
    <r>
      <rPr>
        <sz val="11"/>
        <color rgb="FF000000"/>
        <rFont val="Calibri"/>
      </rPr>
      <t>Replace &lt;file_name&gt; with files to be modified.</t>
    </r>
  </si>
  <si>
    <r>
      <rPr>
        <sz val="11"/>
        <color rgb="FF000000"/>
        <rFont val="Calibri"/>
      </rPr>
      <t xml:space="preserve">If audit data were to become compromised, then competent forensic analysis and discovery of the true source of potentially malicious system activity is impossible to achieve. </t>
    </r>
    <r>
      <rPr>
        <sz val="11"/>
        <color rgb="FF000000"/>
        <rFont val="Calibri"/>
      </rPr>
      <t xml:space="preserve">
</t>
    </r>
    <r>
      <rPr>
        <sz val="11"/>
        <color rgb="FF000000"/>
        <rFont val="Calibri"/>
      </rPr>
      <t xml:space="preserve">To ensure the veracity of audit data the information system and/or the application must protect audit information from unauthorized modification. </t>
    </r>
    <r>
      <rPr>
        <sz val="11"/>
        <color rgb="FF000000"/>
        <rFont val="Calibri"/>
      </rPr>
      <t xml:space="preserve">
</t>
    </r>
    <r>
      <rPr>
        <sz val="11"/>
        <color rgb="FF000000"/>
        <rFont val="Calibri"/>
      </rPr>
      <t xml:space="preserve">This requirement can be achieved through multiple methods that will depend upon system architecture and design. Some commonly employed methods include ensuring log files enjoy the proper file system permissions and limiting log data locations. </t>
    </r>
    <r>
      <rPr>
        <sz val="11"/>
        <color rgb="FF000000"/>
        <rFont val="Calibri"/>
      </rPr>
      <t xml:space="preserve">
</t>
    </r>
    <r>
      <rPr>
        <sz val="11"/>
        <color rgb="FF000000"/>
        <rFont val="Calibri"/>
      </rPr>
      <t>Applications providing a user interface to audit data will leverage user permissions and roles identifying the user accessing the data and the corresponding rights that the user enjoys in order to make access decisions regarding the modification of audit data.</t>
    </r>
    <r>
      <rPr>
        <sz val="11"/>
        <color rgb="FF000000"/>
        <rFont val="Calibri"/>
      </rPr>
      <t xml:space="preserve">
</t>
    </r>
    <r>
      <rPr>
        <sz val="11"/>
        <color rgb="FF000000"/>
        <rFont val="Calibri"/>
      </rPr>
      <t xml:space="preserve">Audit information includes all information (e.g., audit records, audit settings, and audit reports) needed to successfully audit information system activity. </t>
    </r>
    <r>
      <rPr>
        <sz val="11"/>
        <color rgb="FF000000"/>
        <rFont val="Calibri"/>
      </rPr>
      <t xml:space="preserve">
</t>
    </r>
    <r>
      <rPr>
        <sz val="11"/>
        <color rgb="FF000000"/>
        <rFont val="Calibri"/>
      </rPr>
      <t>Modification of database audit data could mask the theft of, or the unauthorized modification of, sensitive data stored in the database.</t>
    </r>
  </si>
  <si>
    <r>
      <rPr>
        <sz val="11"/>
        <color rgb="FF000000"/>
        <rFont val="Calibri"/>
      </rPr>
      <t>At the command prompt, enter the following command:</t>
    </r>
    <r>
      <rPr>
        <sz val="11"/>
        <color rgb="FF000000"/>
        <rFont val="Calibri"/>
      </rPr>
      <t xml:space="preserve">
</t>
    </r>
    <r>
      <rPr>
        <sz val="11"/>
        <color rgb="FF000000"/>
        <rFont val="Calibri"/>
      </rPr>
      <t># ls -l /storage/db/vcops/vpostgres/data/pg_log/*.log</t>
    </r>
    <r>
      <rPr>
        <sz val="11"/>
        <color rgb="FF000000"/>
        <rFont val="Calibri"/>
      </rPr>
      <t xml:space="preserve">
</t>
    </r>
    <r>
      <rPr>
        <sz val="11"/>
        <color rgb="FF000000"/>
        <rFont val="Calibri"/>
      </rPr>
      <t>If the owner of any log files is not "postgres:users", this is a finding.</t>
    </r>
  </si>
  <si>
    <t>V-88247</t>
  </si>
  <si>
    <r>
      <rPr>
        <sz val="11"/>
        <rFont val="Calibri"/>
      </rPr>
      <t>The audit information produced by the vROps PostgreSQL DB must be protected from unauthorized deletion.</t>
    </r>
  </si>
  <si>
    <r>
      <rPr>
        <sz val="11"/>
        <color rgb="FF000000"/>
        <rFont val="Calibri"/>
      </rPr>
      <t>If audit data were to become compromised, then competent forensic analysis and discovery of the true source of potentially malicious system activity is impossible to achieve.</t>
    </r>
    <r>
      <rPr>
        <sz val="11"/>
        <color rgb="FF000000"/>
        <rFont val="Calibri"/>
      </rPr>
      <t xml:space="preserve">
</t>
    </r>
    <r>
      <rPr>
        <sz val="11"/>
        <color rgb="FF000000"/>
        <rFont val="Calibri"/>
      </rPr>
      <t>To ensure the veracity of audit data, the information system and/or the application must protect audit information from unauthorized deletion. This requirement can be achieved through multiple methods which will depend upon system architecture and design.</t>
    </r>
    <r>
      <rPr>
        <sz val="11"/>
        <color rgb="FF000000"/>
        <rFont val="Calibri"/>
      </rPr>
      <t xml:space="preserve">
</t>
    </r>
    <r>
      <rPr>
        <sz val="11"/>
        <color rgb="FF000000"/>
        <rFont val="Calibri"/>
      </rPr>
      <t>Some commonly employed methods include: ensuring log files enjoy the proper file system permissions utilizing file system protections; restricting access; and backing up log data to ensure log data is retained.</t>
    </r>
    <r>
      <rPr>
        <sz val="11"/>
        <color rgb="FF000000"/>
        <rFont val="Calibri"/>
      </rPr>
      <t xml:space="preserve">
</t>
    </r>
    <r>
      <rPr>
        <sz val="11"/>
        <color rgb="FF000000"/>
        <rFont val="Calibri"/>
      </rPr>
      <t>Applications providing a user interface to audit data will leverage user permissions and roles identifying the user accessing the data and the corresponding rights the user enjoys in order make access decisions regarding the deletion of audit data.</t>
    </r>
    <r>
      <rPr>
        <sz val="11"/>
        <color rgb="FF000000"/>
        <rFont val="Calibri"/>
      </rPr>
      <t xml:space="preserve">
</t>
    </r>
    <r>
      <rPr>
        <sz val="11"/>
        <color rgb="FF000000"/>
        <rFont val="Calibri"/>
      </rPr>
      <t>Audit information includes all information (e.g., audit records, audit settings, and audit reports) needed to successfully audit information system activity.</t>
    </r>
    <r>
      <rPr>
        <sz val="11"/>
        <color rgb="FF000000"/>
        <rFont val="Calibri"/>
      </rPr>
      <t xml:space="preserve">
</t>
    </r>
    <r>
      <rPr>
        <sz val="11"/>
        <color rgb="FF000000"/>
        <rFont val="Calibri"/>
      </rPr>
      <t>Deletion of database audit data could mask the theft of, or the unauthorized modification of, sensitive data stored in the database.</t>
    </r>
  </si>
  <si>
    <r>
      <rPr>
        <sz val="11"/>
        <color rgb="FF000000"/>
        <rFont val="Calibri"/>
      </rPr>
      <t>At the command prompt, enter the following command:</t>
    </r>
    <r>
      <rPr>
        <sz val="11"/>
        <color rgb="FF000000"/>
        <rFont val="Calibri"/>
      </rPr>
      <t xml:space="preserve">
</t>
    </r>
    <r>
      <rPr>
        <sz val="11"/>
        <color rgb="FF000000"/>
        <rFont val="Calibri"/>
      </rPr>
      <t># ls -l /storage/db/vcops/vpostgres/data/pg_log/*.log</t>
    </r>
    <r>
      <rPr>
        <sz val="11"/>
        <color rgb="FF000000"/>
        <rFont val="Calibri"/>
      </rPr>
      <t xml:space="preserve">
</t>
    </r>
    <r>
      <rPr>
        <sz val="11"/>
        <color rgb="FF000000"/>
        <rFont val="Calibri"/>
      </rPr>
      <t>If the group-owner of any log files is not "postgres:users", this is a finding.</t>
    </r>
  </si>
  <si>
    <t>V-88249</t>
  </si>
  <si>
    <r>
      <rPr>
        <sz val="11"/>
        <rFont val="Calibri"/>
      </rPr>
      <t>The vROps PostgreSQL DB must protect its audit features from unauthorized access.</t>
    </r>
  </si>
  <si>
    <r>
      <rPr>
        <sz val="11"/>
        <color rgb="FF000000"/>
        <rFont val="Calibri"/>
      </rPr>
      <t xml:space="preserve">Protecting audit data also includes identifying and protecting the tools used to view and manipulate log data. </t>
    </r>
    <r>
      <rPr>
        <sz val="11"/>
        <color rgb="FF000000"/>
        <rFont val="Calibri"/>
      </rPr>
      <t xml:space="preserve">
</t>
    </r>
    <r>
      <rPr>
        <sz val="11"/>
        <color rgb="FF000000"/>
        <rFont val="Calibri"/>
      </rPr>
      <t xml:space="preserve">Depending upon the log format and application, system and application log tools may provide the only means to manipulate and manage application and system log data. It is, therefore, imperative that access to audit tools be controlled and protected from unauthorized access. </t>
    </r>
    <r>
      <rPr>
        <sz val="11"/>
        <color rgb="FF000000"/>
        <rFont val="Calibri"/>
      </rPr>
      <t xml:space="preserve">
</t>
    </r>
    <r>
      <rPr>
        <sz val="11"/>
        <color rgb="FF000000"/>
        <rFont val="Calibri"/>
      </rPr>
      <t>Applications providing tools to interface with audit data will leverage user permissions and roles identifying the user accessing the tools and the corresponding rights the user enjoys in order make access decisions regarding the access to audit tools.</t>
    </r>
    <r>
      <rPr>
        <sz val="11"/>
        <color rgb="FF000000"/>
        <rFont val="Calibri"/>
      </rPr>
      <t xml:space="preserve">
</t>
    </r>
    <r>
      <rPr>
        <sz val="11"/>
        <color rgb="FF000000"/>
        <rFont val="Calibri"/>
      </rPr>
      <t xml:space="preserve">Audit tools include, but are not limited to, OS-provided audit tools, vendor-provided audit tools, and open source audit tools needed to successfully view and manipulate audit information system activity and records. </t>
    </r>
    <r>
      <rPr>
        <sz val="11"/>
        <color rgb="FF000000"/>
        <rFont val="Calibri"/>
      </rPr>
      <t xml:space="preserve">
</t>
    </r>
    <r>
      <rPr>
        <sz val="11"/>
        <color rgb="FF000000"/>
        <rFont val="Calibri"/>
      </rPr>
      <t>If an attacker were to gain access to audit tools, he could analyze audit logs for system weaknesses or weaknesses in the auditing itself. An attacker could also manipulate logs to hide evidence of malicious activity.</t>
    </r>
  </si>
  <si>
    <r>
      <rPr>
        <sz val="11"/>
        <color rgb="FF000000"/>
        <rFont val="Calibri"/>
      </rPr>
      <t>At the command prompt, enter the following command:</t>
    </r>
    <r>
      <rPr>
        <sz val="11"/>
        <color rgb="FF000000"/>
        <rFont val="Calibri"/>
      </rPr>
      <t xml:space="preserve">
</t>
    </r>
    <r>
      <rPr>
        <sz val="11"/>
        <color rgb="FF000000"/>
        <rFont val="Calibri"/>
      </rPr>
      <t># ls -l /storage/db/vcops/vpostgres/data/*conf* /var/vmware/vpostgres/9.3/.pgpass</t>
    </r>
    <r>
      <rPr>
        <sz val="11"/>
        <color rgb="FF000000"/>
        <rFont val="Calibri"/>
      </rPr>
      <t xml:space="preserve">
</t>
    </r>
    <r>
      <rPr>
        <sz val="11"/>
        <color rgb="FF000000"/>
        <rFont val="Calibri"/>
      </rPr>
      <t>If the permissions on any of the listed files are not "600", this is a finding.</t>
    </r>
  </si>
  <si>
    <t>V-88251</t>
  </si>
  <si>
    <r>
      <rPr>
        <sz val="11"/>
        <rFont val="Calibri"/>
      </rPr>
      <t>The vROps PostgreSQL DB must protect its audit configuration from unauthorized modification.</t>
    </r>
  </si>
  <si>
    <r>
      <rPr>
        <sz val="11"/>
        <color rgb="FF000000"/>
        <rFont val="Calibri"/>
      </rPr>
      <t>At the command prompt, enter the following command:</t>
    </r>
    <r>
      <rPr>
        <sz val="11"/>
        <color rgb="FF000000"/>
        <rFont val="Calibri"/>
      </rPr>
      <t xml:space="preserve">
</t>
    </r>
    <r>
      <rPr>
        <sz val="11"/>
        <color rgb="FF000000"/>
        <rFont val="Calibri"/>
      </rPr>
      <t># chown postgres:users &lt;file_name&gt;</t>
    </r>
    <r>
      <rPr>
        <sz val="11"/>
        <color rgb="FF000000"/>
        <rFont val="Calibri"/>
      </rPr>
      <t xml:space="preserve">
</t>
    </r>
    <r>
      <rPr>
        <sz val="11"/>
        <color rgb="FF000000"/>
        <rFont val="Calibri"/>
      </rPr>
      <t>Replace &lt;file_name&gt; with files to be modified.</t>
    </r>
  </si>
  <si>
    <r>
      <rPr>
        <sz val="11"/>
        <color rgb="FF000000"/>
        <rFont val="Calibri"/>
      </rPr>
      <t>Protecting audit data also includes identifying and protecting the tools used to view and manipulate log data. Therefore, protecting audit tools is necessary to prevent unauthorized operation on audit data.</t>
    </r>
    <r>
      <rPr>
        <sz val="11"/>
        <color rgb="FF000000"/>
        <rFont val="Calibri"/>
      </rPr>
      <t xml:space="preserve">
</t>
    </r>
    <r>
      <rPr>
        <sz val="11"/>
        <color rgb="FF000000"/>
        <rFont val="Calibri"/>
      </rPr>
      <t>Applications providing tools to interface with audit data will leverage user permissions and roles identifying the user accessing the tools and the corresponding rights the user enjoys in order make access decisions regarding the modification of audit tools.</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</si>
  <si>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r>
      <rPr>
        <sz val="11"/>
        <color rgb="FF000000"/>
        <rFont val="Calibri"/>
      </rPr>
      <t>At the command prompt, enter the following command:</t>
    </r>
    <r>
      <rPr>
        <sz val="11"/>
        <color rgb="FF000000"/>
        <rFont val="Calibri"/>
      </rPr>
      <t xml:space="preserve">
</t>
    </r>
    <r>
      <rPr>
        <sz val="11"/>
        <color rgb="FF000000"/>
        <rFont val="Calibri"/>
      </rPr>
      <t># ls -l /storage/db/vcops/vpostgres/data/*conf* /var/vmware/vpostgres/9.3/.pgpass</t>
    </r>
    <r>
      <rPr>
        <sz val="11"/>
        <color rgb="FF000000"/>
        <rFont val="Calibri"/>
      </rPr>
      <t xml:space="preserve">
</t>
    </r>
    <r>
      <rPr>
        <sz val="11"/>
        <color rgb="FF000000"/>
        <rFont val="Calibri"/>
      </rPr>
      <t>If the owner of any configuration file is not "postgres:users", this is a finding.</t>
    </r>
  </si>
  <si>
    <t>V-88253</t>
  </si>
  <si>
    <r>
      <rPr>
        <sz val="11"/>
        <rFont val="Calibri"/>
      </rPr>
      <t>The vROps PostgreSQL DB must protect its audit features from unauthorized removal.</t>
    </r>
  </si>
  <si>
    <r>
      <rPr>
        <sz val="11"/>
        <color rgb="FF000000"/>
        <rFont val="Calibri"/>
      </rPr>
      <t>Protecting audit data also includes identifying and protecting the tools used to view and manipulate log data. Therefore, protecting audit tools is necessary to prevent unauthorized operation on audit data.</t>
    </r>
    <r>
      <rPr>
        <sz val="11"/>
        <color rgb="FF000000"/>
        <rFont val="Calibri"/>
      </rPr>
      <t xml:space="preserve">
</t>
    </r>
    <r>
      <rPr>
        <sz val="11"/>
        <color rgb="FF000000"/>
        <rFont val="Calibri"/>
      </rPr>
      <t>Applications providing tools to interface with audit data will leverage user permissions and roles identifying the user accessing the tools and the corresponding rights the user enjoys in order make access decisions regarding the deletion of audit tools.</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</si>
  <si>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r>
      <rPr>
        <sz val="11"/>
        <color rgb="FF000000"/>
        <rFont val="Calibri"/>
      </rPr>
      <t>At the command prompt, enter the following command:</t>
    </r>
    <r>
      <rPr>
        <sz val="11"/>
        <color rgb="FF000000"/>
        <rFont val="Calibri"/>
      </rPr>
      <t xml:space="preserve">
</t>
    </r>
    <r>
      <rPr>
        <sz val="11"/>
        <color rgb="FF000000"/>
        <rFont val="Calibri"/>
      </rPr>
      <t># ls -l /storage/db/vcops/vpostgres/data/*conf* /var/vmware/vpostgres/9.3/.pgpass</t>
    </r>
    <r>
      <rPr>
        <sz val="11"/>
        <color rgb="FF000000"/>
        <rFont val="Calibri"/>
      </rPr>
      <t xml:space="preserve">
</t>
    </r>
    <r>
      <rPr>
        <sz val="11"/>
        <color rgb="FF000000"/>
        <rFont val="Calibri"/>
      </rPr>
      <t>If the group-owner of any configuration file is not "postgres:users", this is a finding.</t>
    </r>
  </si>
  <si>
    <t>V-88255</t>
  </si>
  <si>
    <r>
      <rPr>
        <sz val="11"/>
        <rFont val="Calibri"/>
      </rPr>
      <t>vROps PostgreSQL DB objects (including but not limited to tables, indexes, storage, stored procedures, functions, triggers, links to software external to the DBMS, etc.) must be owned by vROps PostgreSQL DB principals authorized for ownership.</t>
    </r>
  </si>
  <si>
    <r>
      <rPr>
        <sz val="11"/>
        <color rgb="FF000000"/>
        <rFont val="Calibri"/>
      </rPr>
      <t>At the command prompt, execute the following command:</t>
    </r>
    <r>
      <rPr>
        <sz val="11"/>
        <color rgb="FF000000"/>
        <rFont val="Calibri"/>
      </rPr>
      <t xml:space="preserve">
</t>
    </r>
    <r>
      <rPr>
        <sz val="11"/>
        <color rgb="FF000000"/>
        <rFont val="Calibri"/>
      </rPr>
      <t># /opt/vmware/vpostgres/current/bin/psql -U postgres -c "ALTER TABLE &lt;tablename&gt; OWNER TO postgres;"</t>
    </r>
    <r>
      <rPr>
        <sz val="11"/>
        <color rgb="FF000000"/>
        <rFont val="Calibri"/>
      </rPr>
      <t xml:space="preserve">
</t>
    </r>
    <r>
      <rPr>
        <sz val="11"/>
        <color rgb="FF000000"/>
        <rFont val="Calibri"/>
      </rPr>
      <t>Replace &lt;tablename&gt; with the name of the table discovered during the check.</t>
    </r>
  </si>
  <si>
    <r>
      <rPr>
        <sz val="11"/>
        <color rgb="FF000000"/>
        <rFont val="Calibri"/>
      </rPr>
      <t>Within the database, object ownership implies full privileges to the owned object, including the privilege to assign access to the owned objects to other subjects. Database functions and procedures can be coded using definer's rights. This allows anyone who utilizes the object to perform the actions if they were the owner. If not properly managed, this can lead to privileged actions being taken by unauthorized individuals.</t>
    </r>
    <r>
      <rPr>
        <sz val="11"/>
        <color rgb="FF000000"/>
        <rFont val="Calibri"/>
      </rPr>
      <t xml:space="preserve">
</t>
    </r>
    <r>
      <rPr>
        <sz val="11"/>
        <color rgb="FF000000"/>
        <rFont val="Calibri"/>
      </rPr>
      <t>Conversely, if critical tables or other objects rely on unauthorized owner accounts, these objects may be lost when an account is removed.</t>
    </r>
  </si>
  <si>
    <r>
      <rPr>
        <sz val="11"/>
        <color rgb="FF000000"/>
        <rFont val="Calibri"/>
      </rPr>
      <t>At the command prompt, execute the following command:</t>
    </r>
    <r>
      <rPr>
        <sz val="11"/>
        <color rgb="FF000000"/>
        <rFont val="Calibri"/>
      </rPr>
      <t xml:space="preserve">
</t>
    </r>
    <r>
      <rPr>
        <sz val="11"/>
        <color rgb="FF000000"/>
        <rFont val="Calibri"/>
      </rPr>
      <t># /opt/vmware/vpostgres/current/bin/psql -U postgres -c "\dp;"</t>
    </r>
    <r>
      <rPr>
        <sz val="11"/>
        <color rgb="FF000000"/>
        <rFont val="Calibri"/>
      </rPr>
      <t xml:space="preserve">
</t>
    </r>
    <r>
      <rPr>
        <sz val="11"/>
        <color rgb="FF000000"/>
        <rFont val="Calibri"/>
      </rPr>
      <t>Review the Access Privileges column. If any tables have permissions to users other than "postgres", this is a finding.</t>
    </r>
  </si>
  <si>
    <t>V-88257</t>
  </si>
  <si>
    <r>
      <rPr>
        <sz val="11"/>
        <rFont val="Calibri"/>
      </rPr>
      <t>The role(s)/group(s) used to modify database structure (including but not necessarily limited to tables, indexes, storage, etc.) and logic modules (stored procedures, functions, triggers, links to software external to the vROps PostgreSQL DB, etc.) must be restricted to authorized users.</t>
    </r>
  </si>
  <si>
    <r>
      <rPr>
        <sz val="11"/>
        <color rgb="FF000000"/>
        <rFont val="Calibri"/>
      </rPr>
      <t>At the command prompt, execute the following command:</t>
    </r>
    <r>
      <rPr>
        <sz val="11"/>
        <color rgb="FF000000"/>
        <rFont val="Calibri"/>
      </rPr>
      <t xml:space="preserve">
</t>
    </r>
    <r>
      <rPr>
        <sz val="11"/>
        <color rgb="FF000000"/>
        <rFont val="Calibri"/>
      </rPr>
      <t># /opt/vmware/vpostgres/current/bin/psql -U postgres -c "REVOKE ALL PRIVILEGES FROM &lt;user&gt;;"</t>
    </r>
    <r>
      <rPr>
        <sz val="11"/>
        <color rgb="FF000000"/>
        <rFont val="Calibri"/>
      </rPr>
      <t xml:space="preserve">
</t>
    </r>
    <r>
      <rPr>
        <sz val="11"/>
        <color rgb="FF000000"/>
        <rFont val="Calibri"/>
      </rPr>
      <t>Replace &lt;user&gt; with the account discovered during the check.</t>
    </r>
  </si>
  <si>
    <r>
      <rPr>
        <sz val="11"/>
        <color rgb="FF000000"/>
        <rFont val="Calibri"/>
      </rPr>
      <t>If the DBMS were to allow any user to make changes to database structure or logic, then those changes might be implemented without undergoing the appropriate testing and approvals that are part of a robust change management process.</t>
    </r>
    <r>
      <rPr>
        <sz val="11"/>
        <color rgb="FF000000"/>
        <rFont val="Calibri"/>
      </rPr>
      <t xml:space="preserve">
</t>
    </r>
    <r>
      <rPr>
        <sz val="11"/>
        <color rgb="FF000000"/>
        <rFont val="Calibri"/>
      </rPr>
      <t>Accordingly, only qualified and authorized individuals must be allowed to obtain access to information system components for purposes of initiating changes, including upgrades and modifications.</t>
    </r>
    <r>
      <rPr>
        <sz val="11"/>
        <color rgb="FF000000"/>
        <rFont val="Calibri"/>
      </rPr>
      <t xml:space="preserve">
</t>
    </r>
    <r>
      <rPr>
        <sz val="11"/>
        <color rgb="FF000000"/>
        <rFont val="Calibri"/>
      </rPr>
      <t>Unmanaged changes that occur to the database software libraries or configuration can lead to unauthorized or compromised installations.</t>
    </r>
  </si>
  <si>
    <r>
      <rPr>
        <sz val="11"/>
        <color rgb="FF000000"/>
        <rFont val="Calibri"/>
      </rPr>
      <t>At the command prompt, execute the following command:</t>
    </r>
    <r>
      <rPr>
        <sz val="11"/>
        <color rgb="FF000000"/>
        <rFont val="Calibri"/>
      </rPr>
      <t xml:space="preserve">
</t>
    </r>
    <r>
      <rPr>
        <sz val="11"/>
        <color rgb="FF000000"/>
        <rFont val="Calibri"/>
      </rPr>
      <t># /opt/vmware/vpostgres/current/bin/psql -U postgres -c "\du;"</t>
    </r>
    <r>
      <rPr>
        <sz val="11"/>
        <color rgb="FF000000"/>
        <rFont val="Calibri"/>
      </rPr>
      <t xml:space="preserve">
</t>
    </r>
    <r>
      <rPr>
        <sz val="11"/>
        <color rgb="FF000000"/>
        <rFont val="Calibri"/>
      </rPr>
      <t>If the accounts other than "postgres" and "vc" have create privileges, this is a finding.</t>
    </r>
  </si>
  <si>
    <t>V-88259</t>
  </si>
  <si>
    <r>
      <rPr>
        <sz val="11"/>
        <rFont val="Calibri"/>
      </rPr>
      <t>Default demonstration and sample databases, database objects, and applications must be removed.</t>
    </r>
  </si>
  <si>
    <r>
      <rPr>
        <sz val="11"/>
        <color rgb="FF000000"/>
        <rFont val="Calibri"/>
      </rPr>
      <t>At the command prompt, execute the following command:</t>
    </r>
    <r>
      <rPr>
        <sz val="11"/>
        <color rgb="FF000000"/>
        <rFont val="Calibri"/>
      </rPr>
      <t xml:space="preserve">
</t>
    </r>
    <r>
      <rPr>
        <sz val="11"/>
        <color rgb="FF000000"/>
        <rFont val="Calibri"/>
      </rPr>
      <t># /opt/vmware/vpostgres/current/bin/psql -U postgres -c "DROP DATABASE IF EXISTS &lt;name&gt;;"</t>
    </r>
  </si>
  <si>
    <r>
      <rPr>
        <sz val="11"/>
        <color rgb="FF000000"/>
        <rFont val="Calibri"/>
      </rPr>
      <t>Information systems are capable of providing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It is detrimental for software products to provide, or install by default, functionality exceeding requirements or mission objectives. Examples include, but are not limited to, installing advertising software, demonstrations, or browser plugins not related to requirements or providing a wide array of functionality, not required for every mission, that cannot be disabled.</t>
    </r>
    <r>
      <rPr>
        <sz val="11"/>
        <color rgb="FF000000"/>
        <rFont val="Calibri"/>
      </rPr>
      <t xml:space="preserve">
</t>
    </r>
    <r>
      <rPr>
        <sz val="11"/>
        <color rgb="FF000000"/>
        <rFont val="Calibri"/>
      </rPr>
      <t>DBMSs must adhere to the principles of least functionality by providing only essential capabilities.</t>
    </r>
    <r>
      <rPr>
        <sz val="11"/>
        <color rgb="FF000000"/>
        <rFont val="Calibri"/>
      </rPr>
      <t xml:space="preserve">
</t>
    </r>
    <r>
      <rPr>
        <sz val="11"/>
        <color rgb="FF000000"/>
        <rFont val="Calibri"/>
      </rPr>
      <t>Demonstration and sample database objects and applications present publicly known attack points for malicious users. These demonstration and sample objects are meant to provide simple examples of coding specific functions and are not developed to prevent vulnerabilities from being introduced to the DBMS and host system.</t>
    </r>
  </si>
  <si>
    <r>
      <rPr>
        <sz val="11"/>
        <color rgb="FF000000"/>
        <rFont val="Calibri"/>
      </rPr>
      <t>At the command prompt, execute the following command:</t>
    </r>
    <r>
      <rPr>
        <sz val="11"/>
        <color rgb="FF000000"/>
        <rFont val="Calibri"/>
      </rPr>
      <t xml:space="preserve">
</t>
    </r>
    <r>
      <rPr>
        <sz val="11"/>
        <color rgb="FF000000"/>
        <rFont val="Calibri"/>
      </rPr>
      <t># /opt/vmware/vpostgres/current/bin/psql -U postgres -c "SELECT datname FROM pg_database WHERE datistemplate = false;"</t>
    </r>
    <r>
      <rPr>
        <sz val="11"/>
        <color rgb="FF000000"/>
        <rFont val="Calibri"/>
      </rPr>
      <t xml:space="preserve">
</t>
    </r>
    <r>
      <rPr>
        <sz val="11"/>
        <color rgb="FF000000"/>
        <rFont val="Calibri"/>
      </rPr>
      <t>If the output is not the following lines, this is a finding:</t>
    </r>
    <r>
      <rPr>
        <sz val="11"/>
        <color rgb="FF000000"/>
        <rFont val="Calibri"/>
      </rPr>
      <t xml:space="preserve">
</t>
    </r>
    <r>
      <rPr>
        <sz val="11"/>
        <color rgb="FF000000"/>
        <rFont val="Calibri"/>
      </rPr>
      <t xml:space="preserve"> datname</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 postgres</t>
    </r>
    <r>
      <rPr>
        <sz val="11"/>
        <color rgb="FF000000"/>
        <rFont val="Calibri"/>
      </rPr>
      <t xml:space="preserve">
</t>
    </r>
    <r>
      <rPr>
        <sz val="11"/>
        <color rgb="FF000000"/>
        <rFont val="Calibri"/>
      </rPr>
      <t xml:space="preserve"> VCDB</t>
    </r>
    <r>
      <rPr>
        <sz val="11"/>
        <color rgb="FF000000"/>
        <rFont val="Calibri"/>
      </rPr>
      <t xml:space="preserve">
</t>
    </r>
    <r>
      <rPr>
        <sz val="11"/>
        <color rgb="FF000000"/>
        <rFont val="Calibri"/>
      </rPr>
      <t>(2 rows)</t>
    </r>
  </si>
  <si>
    <t>V-88261</t>
  </si>
  <si>
    <r>
      <rPr>
        <sz val="11"/>
        <rFont val="Calibri"/>
      </rPr>
      <t>The vROps PostgreSQL DB must be configured to prohibit or restrict the use of organization-defined functions, ports, protocols, and/or services, as defined in the PPSM CAL and vulnerability assessments.</t>
    </r>
  </si>
  <si>
    <r>
      <rPr>
        <sz val="11"/>
        <color rgb="FF000000"/>
        <rFont val="Calibri"/>
      </rPr>
      <t>At the command prompt, execute the following commands:</t>
    </r>
    <r>
      <rPr>
        <sz val="11"/>
        <color rgb="FF000000"/>
        <rFont val="Calibri"/>
      </rPr>
      <t xml:space="preserve">
</t>
    </r>
    <r>
      <rPr>
        <sz val="11"/>
        <color rgb="FF000000"/>
        <rFont val="Calibri"/>
      </rPr>
      <t># /opt/vmware/vpostgres/current/bin/psql -U postgres -c "ALTER SYSTEM SET port TO '5432';"</t>
    </r>
    <r>
      <rPr>
        <sz val="11"/>
        <color rgb="FF000000"/>
        <rFont val="Calibri"/>
      </rPr>
      <t xml:space="preserve">
</t>
    </r>
    <r>
      <rPr>
        <sz val="11"/>
        <color rgb="FF000000"/>
        <rFont val="Calibri"/>
      </rPr>
      <t># /opt/vmware/vpostgres/current/bin/psql -U postgres -c "SELECT pg_reload_conf();"</t>
    </r>
  </si>
  <si>
    <r>
      <rPr>
        <sz val="11"/>
        <color rgb="FF000000"/>
        <rFont val="Calibri"/>
      </rPr>
      <t>In order to prevent unauthorized connection of devices, unauthorized transfer of information, or unauthorized tunneling (i.e., embedding of data types within data types), organizations must disable or restrict unused or unnecessary physical and logical ports/protocols/services on information systems.</t>
    </r>
    <r>
      <rPr>
        <sz val="11"/>
        <color rgb="FF000000"/>
        <rFont val="Calibri"/>
      </rPr>
      <t xml:space="preserve">
</t>
    </r>
    <r>
      <rPr>
        <sz val="11"/>
        <color rgb="FF000000"/>
        <rFont val="Calibri"/>
      </rPr>
      <t xml:space="preserve">Applications are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email and web services); however, doing so increases risk over limiting the services provided by any one component. </t>
    </r>
    <r>
      <rPr>
        <sz val="11"/>
        <color rgb="FF000000"/>
        <rFont val="Calibri"/>
      </rPr>
      <t xml:space="preserve">
</t>
    </r>
    <r>
      <rPr>
        <sz val="11"/>
        <color rgb="FF000000"/>
        <rFont val="Calibri"/>
      </rPr>
      <t>To support the requirements and principles of least functionality, the application must support the organizational requirements providing only essential capabilities and limiting the use of ports, protocols, and/or services to only those required, authorized, and approved to conduct official business or to address authorized quality of life issues.</t>
    </r>
    <r>
      <rPr>
        <sz val="11"/>
        <color rgb="FF000000"/>
        <rFont val="Calibri"/>
      </rPr>
      <t xml:space="preserve">
</t>
    </r>
    <r>
      <rPr>
        <sz val="11"/>
        <color rgb="FF000000"/>
        <rFont val="Calibri"/>
      </rPr>
      <t>Database Management Systems using ports, protocols, and services deemed unsafe are open to attack through those ports, protocols, and services. This can allow unauthorized access to the database and through the database to other components of the information system.</t>
    </r>
  </si>
  <si>
    <r>
      <rPr>
        <sz val="11"/>
        <color rgb="FF000000"/>
        <rFont val="Calibri"/>
      </rPr>
      <t>At the command prompt, execute the following command:</t>
    </r>
    <r>
      <rPr>
        <sz val="11"/>
        <color rgb="FF000000"/>
        <rFont val="Calibri"/>
      </rPr>
      <t xml:space="preserve">
</t>
    </r>
    <r>
      <rPr>
        <sz val="11"/>
        <color rgb="FF000000"/>
        <rFont val="Calibri"/>
      </rPr>
      <t># grep '^\s*port\b' /storage/db/vcops/vpostgres/data/postgresql.conf</t>
    </r>
    <r>
      <rPr>
        <sz val="11"/>
        <color rgb="FF000000"/>
        <rFont val="Calibri"/>
      </rPr>
      <t xml:space="preserve">
</t>
    </r>
    <r>
      <rPr>
        <sz val="11"/>
        <color rgb="FF000000"/>
        <rFont val="Calibri"/>
      </rPr>
      <t>If the port is set to "5432", this is NOT a finding.</t>
    </r>
    <r>
      <rPr>
        <sz val="11"/>
        <color rgb="FF000000"/>
        <rFont val="Calibri"/>
      </rPr>
      <t xml:space="preserve">
</t>
    </r>
    <r>
      <rPr>
        <sz val="11"/>
        <color rgb="FF000000"/>
        <rFont val="Calibri"/>
      </rPr>
      <t>If the port is not set to "5432" and if the ISSO does not have documentation of an approved variance for using a non-standard port, this is a finding.</t>
    </r>
  </si>
  <si>
    <t>V-88263</t>
  </si>
  <si>
    <r>
      <rPr>
        <sz val="11"/>
        <rFont val="Calibri"/>
      </rPr>
      <t>The vROps PostgreSQL DB must uniquely identify and authenticate organizational users (or processes acting on behalf of organizational users).</t>
    </r>
  </si>
  <si>
    <r>
      <rPr>
        <sz val="11"/>
        <color rgb="FF000000"/>
        <rFont val="Calibri"/>
      </rPr>
      <t>Navigate to and open /storage/db/vcops/vpostgres/data/pg_hba.conf. Navigate to the user that has a method of "trust". Change the method to md5.</t>
    </r>
    <r>
      <rPr>
        <sz val="11"/>
        <color rgb="FF000000"/>
        <rFont val="Calibri"/>
      </rPr>
      <t xml:space="preserve">
</t>
    </r>
    <r>
      <rPr>
        <sz val="11"/>
        <color rgb="FF000000"/>
        <rFont val="Calibri"/>
      </rPr>
      <t>A correct, typical line will look like the below:</t>
    </r>
    <r>
      <rPr>
        <sz val="11"/>
        <color rgb="FF000000"/>
        <rFont val="Calibri"/>
      </rPr>
      <t xml:space="preserve">
</t>
    </r>
    <r>
      <rPr>
        <sz val="11"/>
        <color rgb="FF000000"/>
        <rFont val="Calibri"/>
      </rPr>
      <t># TYPE  DATABASE        USER            ADDRESS                 METHOD</t>
    </r>
    <r>
      <rPr>
        <sz val="11"/>
        <color rgb="FF000000"/>
        <rFont val="Calibri"/>
      </rPr>
      <t xml:space="preserve">
</t>
    </r>
    <r>
      <rPr>
        <sz val="11"/>
        <color rgb="FF000000"/>
        <rFont val="Calibri"/>
      </rPr>
      <t>host       all                        all                 127.0.0.1/32             md5</t>
    </r>
  </si>
  <si>
    <r>
      <rPr>
        <sz val="11"/>
        <color rgb="FF000000"/>
        <rFont val="Calibri"/>
      </rPr>
      <t xml:space="preserve">To assure accountability and prevent unauthenticated access, organizational users must be identified and authenticated to prevent potential misuse and compromise of the system. </t>
    </r>
    <r>
      <rPr>
        <sz val="11"/>
        <color rgb="FF000000"/>
        <rFont val="Calibri"/>
      </rPr>
      <t xml:space="preserve">
</t>
    </r>
    <r>
      <rPr>
        <sz val="11"/>
        <color rgb="FF000000"/>
        <rFont val="Calibri"/>
      </rPr>
      <t>Organizational users include organizational employees or individuals the organization deems to have equivalent status of employees (e.g., contractors). Organizational users (and any processes acting on behalf of users) must be uniquely identified and authenticated for all accesses, except the following:</t>
    </r>
    <r>
      <rPr>
        <sz val="11"/>
        <color rgb="FF000000"/>
        <rFont val="Calibri"/>
      </rPr>
      <t xml:space="preserve">
</t>
    </r>
    <r>
      <rPr>
        <sz val="11"/>
        <color rgb="FF000000"/>
        <rFont val="Calibri"/>
      </rPr>
      <t xml:space="preserve">(i) Accesses explicitly identified and documented by the organization. Organizations document specific user actions that can be performed on the information system without identification or authentication; and </t>
    </r>
    <r>
      <rPr>
        <sz val="11"/>
        <color rgb="FF000000"/>
        <rFont val="Calibri"/>
      </rPr>
      <t xml:space="preserve">
</t>
    </r>
    <r>
      <rPr>
        <sz val="11"/>
        <color rgb="FF000000"/>
        <rFont val="Calibri"/>
      </rPr>
      <t>(ii) Accesses that occur through authorized use of group authenticators without individual authentication. Organizations may require unique identification of individuals in group accounts (e.g., shared privilege accounts) or for detailed accountability of individual activity.</t>
    </r>
  </si>
  <si>
    <r>
      <rPr>
        <sz val="11"/>
        <color rgb="FF000000"/>
        <rFont val="Calibri"/>
      </rPr>
      <t>At the command prompt, execute the following command to enter the psql prompt:</t>
    </r>
    <r>
      <rPr>
        <sz val="11"/>
        <color rgb="FF000000"/>
        <rFont val="Calibri"/>
      </rPr>
      <t xml:space="preserve">
</t>
    </r>
    <r>
      <rPr>
        <sz val="11"/>
        <color rgb="FF000000"/>
        <rFont val="Calibri"/>
      </rPr>
      <t># cat /storage/db/vcops/vpostgres/data/pg_hba.conf</t>
    </r>
    <r>
      <rPr>
        <sz val="11"/>
        <color rgb="FF000000"/>
        <rFont val="Calibri"/>
      </rPr>
      <t xml:space="preserve">
</t>
    </r>
    <r>
      <rPr>
        <sz val="11"/>
        <color rgb="FF000000"/>
        <rFont val="Calibri"/>
      </rPr>
      <t>If any rows have "trust" specified for the "METHOD" column, this is a finding.</t>
    </r>
  </si>
  <si>
    <t>V-88265</t>
  </si>
  <si>
    <r>
      <rPr>
        <sz val="11"/>
        <rFont val="Calibri"/>
      </rPr>
      <t>If passwords are used for authentication, the vROps PostgreSQL DB must store only hashed, salted representations of passwords.</t>
    </r>
  </si>
  <si>
    <r>
      <rPr>
        <sz val="11"/>
        <color rgb="FF000000"/>
        <rFont val="Calibri"/>
      </rPr>
      <t>Navigate to and open /storage/db/vcops/vpostgres/data/pg_hba.conf. Navigate to the user that has a method of "trust". Change the method to md5.</t>
    </r>
    <r>
      <rPr>
        <sz val="11"/>
        <color rgb="FF000000"/>
        <rFont val="Calibri"/>
      </rPr>
      <t xml:space="preserve">
</t>
    </r>
    <r>
      <rPr>
        <sz val="11"/>
        <color rgb="FF000000"/>
        <rFont val="Calibri"/>
      </rPr>
      <t>A correct, typical line will look like the below:</t>
    </r>
    <r>
      <rPr>
        <sz val="11"/>
        <color rgb="FF000000"/>
        <rFont val="Calibri"/>
      </rPr>
      <t xml:space="preserve">
</t>
    </r>
    <r>
      <rPr>
        <sz val="11"/>
        <color rgb="FF000000"/>
        <rFont val="Calibri"/>
      </rPr>
      <t># TYPE  DATABASE        USER            ADDRESS                 METHOD</t>
    </r>
    <r>
      <rPr>
        <sz val="11"/>
        <color rgb="FF000000"/>
        <rFont val="Calibri"/>
      </rPr>
      <t xml:space="preserve">
</t>
    </r>
    <r>
      <rPr>
        <sz val="11"/>
        <color rgb="FF000000"/>
        <rFont val="Calibri"/>
      </rPr>
      <t>host       all                        all                 127.0.0.1/32           md5</t>
    </r>
  </si>
  <si>
    <r>
      <rPr>
        <sz val="11"/>
        <color rgb="FF000000"/>
        <rFont val="Calibri"/>
      </rPr>
      <t>The DoD standard for authentication is DoD-approved PKI certificates.</t>
    </r>
    <r>
      <rPr>
        <sz val="11"/>
        <color rgb="FF000000"/>
        <rFont val="Calibri"/>
      </rPr>
      <t xml:space="preserve">
</t>
    </r>
    <r>
      <rPr>
        <sz val="11"/>
        <color rgb="FF000000"/>
        <rFont val="Calibri"/>
      </rPr>
      <t>Authentication based on User ID and Password may be used only when it is not possible to employ a PKI certificate, and requires AO approval.</t>
    </r>
    <r>
      <rPr>
        <sz val="11"/>
        <color rgb="FF000000"/>
        <rFont val="Calibri"/>
      </rPr>
      <t xml:space="preserve">
</t>
    </r>
    <r>
      <rPr>
        <sz val="11"/>
        <color rgb="FF000000"/>
        <rFont val="Calibri"/>
      </rPr>
      <t>In such cases, database passwords stored in clear text, using reversible encryption, or using unsalted hashes would be vulnerable to unauthorized disclosure. Database passwords must always be in the form of one-way, salted hashes when stored internally or externally to the DBMS.</t>
    </r>
  </si>
  <si>
    <t>V-88267</t>
  </si>
  <si>
    <r>
      <rPr>
        <sz val="11"/>
        <rFont val="Calibri"/>
      </rPr>
      <t>If passwords are used for authentication, the vROps PostgreSQL DB must transmit only encrypted representations of passwords.</t>
    </r>
  </si>
  <si>
    <r>
      <rPr>
        <sz val="11"/>
        <color rgb="FF000000"/>
        <rFont val="Calibri"/>
      </rPr>
      <t>At the command prompt, execute the following commands:</t>
    </r>
    <r>
      <rPr>
        <sz val="11"/>
        <color rgb="FF000000"/>
        <rFont val="Calibri"/>
      </rPr>
      <t xml:space="preserve">
</t>
    </r>
    <r>
      <rPr>
        <sz val="11"/>
        <color rgb="FF000000"/>
        <rFont val="Calibri"/>
      </rPr>
      <t># /opt/vmware/vpostgres/current/bin/psql -U postgres -c "ALTER SYSTEM SET ssl TO 'on';"</t>
    </r>
    <r>
      <rPr>
        <sz val="11"/>
        <color rgb="FF000000"/>
        <rFont val="Calibri"/>
      </rPr>
      <t xml:space="preserve">
</t>
    </r>
    <r>
      <rPr>
        <sz val="11"/>
        <color rgb="FF000000"/>
        <rFont val="Calibri"/>
      </rPr>
      <t># /opt/vmware/vpostgres/current/bin/psql -U postgres -c "SELECT pg_reload_conf();"</t>
    </r>
  </si>
  <si>
    <r>
      <rPr>
        <sz val="11"/>
        <color rgb="FF000000"/>
        <rFont val="Calibri"/>
      </rPr>
      <t>The DoD standard for authentication is DoD-approved PKI certificates.</t>
    </r>
    <r>
      <rPr>
        <sz val="11"/>
        <color rgb="FF000000"/>
        <rFont val="Calibri"/>
      </rPr>
      <t xml:space="preserve">
</t>
    </r>
    <r>
      <rPr>
        <sz val="11"/>
        <color rgb="FF000000"/>
        <rFont val="Calibri"/>
      </rPr>
      <t>Authentication based on User ID and Password may be used only when it is not possible to employ a PKI certificate, and requires AO approval.</t>
    </r>
    <r>
      <rPr>
        <sz val="11"/>
        <color rgb="FF000000"/>
        <rFont val="Calibri"/>
      </rPr>
      <t xml:space="preserve">
</t>
    </r>
    <r>
      <rPr>
        <sz val="11"/>
        <color rgb="FF000000"/>
        <rFont val="Calibri"/>
      </rPr>
      <t>In such cases, passwords need to be protected at all times, and encryption is the standard method for protecting passwords during transmission.</t>
    </r>
    <r>
      <rPr>
        <sz val="11"/>
        <color rgb="FF000000"/>
        <rFont val="Calibri"/>
      </rPr>
      <t xml:space="preserve">
</t>
    </r>
    <r>
      <rPr>
        <sz val="11"/>
        <color rgb="FF000000"/>
        <rFont val="Calibri"/>
      </rPr>
      <t>DBMS passwords sent in clear text format across the network are vulnerable to discovery by unauthorized users. Disclosure of passwords may easily lead to unauthorized access to the database.</t>
    </r>
  </si>
  <si>
    <r>
      <rPr>
        <sz val="11"/>
        <color rgb="FF000000"/>
        <rFont val="Calibri"/>
      </rPr>
      <t>At the command prompt, execute the following command:</t>
    </r>
    <r>
      <rPr>
        <sz val="11"/>
        <color rgb="FF000000"/>
        <rFont val="Calibri"/>
      </rPr>
      <t xml:space="preserve">
</t>
    </r>
    <r>
      <rPr>
        <sz val="11"/>
        <color rgb="FF000000"/>
        <rFont val="Calibri"/>
      </rPr>
      <t># grep '^\s*ssl\b' /storage/db/vcops/vpostgres/data/postgresql.conf</t>
    </r>
    <r>
      <rPr>
        <sz val="11"/>
        <color rgb="FF000000"/>
        <rFont val="Calibri"/>
      </rPr>
      <t xml:space="preserve">
</t>
    </r>
    <r>
      <rPr>
        <sz val="11"/>
        <color rgb="FF000000"/>
        <rFont val="Calibri"/>
      </rPr>
      <t>If ssl is not set to "on", this is a finding.</t>
    </r>
  </si>
  <si>
    <t>V-88269</t>
  </si>
  <si>
    <r>
      <rPr>
        <sz val="11"/>
        <rFont val="Calibri"/>
      </rPr>
      <t>The vROps PostgreSQL DB must use NIST FIPS 140-2 validated cryptographic modules for cryptographic operations.</t>
    </r>
  </si>
  <si>
    <t>CAT I (High)</t>
  </si>
  <si>
    <r>
      <rPr>
        <sz val="11"/>
        <color rgb="FF000000"/>
        <rFont val="Calibri"/>
      </rPr>
      <t>At the command prompt, execute the following commands:</t>
    </r>
    <r>
      <rPr>
        <sz val="11"/>
        <color rgb="FF000000"/>
        <rFont val="Calibri"/>
      </rPr>
      <t xml:space="preserve">
</t>
    </r>
    <r>
      <rPr>
        <sz val="11"/>
        <color rgb="FF000000"/>
        <rFont val="Calibri"/>
      </rPr>
      <t># sed -i.bak "/ssl_ciphers\s.*/ d" /storage/db/vcops/vpostgres/data/postgresql.conf</t>
    </r>
    <r>
      <rPr>
        <sz val="11"/>
        <color rgb="FF000000"/>
        <rFont val="Calibri"/>
      </rPr>
      <t xml:space="preserve">
</t>
    </r>
    <r>
      <rPr>
        <sz val="11"/>
        <color rgb="FF000000"/>
        <rFont val="Calibri"/>
      </rPr>
      <t># sed -i "$ a ssl_ciphers = 'FIPS: +3DES:\!aNULL'" /storage/db/vcops/vpostgres/data/postgresql.conf</t>
    </r>
    <r>
      <rPr>
        <sz val="11"/>
        <color rgb="FF000000"/>
        <rFont val="Calibri"/>
      </rPr>
      <t xml:space="preserve">
</t>
    </r>
    <r>
      <rPr>
        <sz val="11"/>
        <color rgb="FF000000"/>
        <rFont val="Calibri"/>
      </rPr>
      <t># su postgres</t>
    </r>
    <r>
      <rPr>
        <sz val="11"/>
        <color rgb="FF000000"/>
        <rFont val="Calibri"/>
      </rPr>
      <t xml:space="preserve">
</t>
    </r>
    <r>
      <rPr>
        <sz val="11"/>
        <color rgb="FF000000"/>
        <rFont val="Calibri"/>
      </rPr>
      <t>postgres@vRealizeClusterNode:&gt; cd /opt/vmware/vpostgres/current</t>
    </r>
    <r>
      <rPr>
        <sz val="11"/>
        <color rgb="FF000000"/>
        <rFont val="Calibri"/>
      </rPr>
      <t xml:space="preserve">
</t>
    </r>
    <r>
      <rPr>
        <sz val="11"/>
        <color rgb="FF000000"/>
        <rFont val="Calibri"/>
      </rPr>
      <t>postgres@vRealizeClusterNode:&gt; /opt/vmware/vpostgres/9.3/bin/pg_ctl restart -D /storage/db/vcops/vpostgres/data</t>
    </r>
    <r>
      <rPr>
        <sz val="11"/>
        <color rgb="FF000000"/>
        <rFont val="Calibri"/>
      </rPr>
      <t xml:space="preserve">
</t>
    </r>
    <r>
      <rPr>
        <sz val="11"/>
        <color rgb="FF000000"/>
        <rFont val="Calibri"/>
      </rPr>
      <t>postgres@vRealizeClusterNode:&gt; exit</t>
    </r>
  </si>
  <si>
    <r>
      <rPr>
        <sz val="11"/>
        <color rgb="FF000000"/>
        <rFont val="Calibri"/>
      </rPr>
      <t>Use of weak or not validated cryptographic algorithms undermines the purposes of utilizing encryption and digital signatures to protect data.  Weak algorithms can be easily broken and not validated cryptographic modules may not implement algorithms correctly. Unapproved cryptographic modules or algorithms should not be relied on for authentication, confidentiality, or integrity. Weak cryptography could allow an attacker to gain access to and modify data stored in the database as well as the administration settings of the DBMS.</t>
    </r>
    <r>
      <rPr>
        <sz val="11"/>
        <color rgb="FF000000"/>
        <rFont val="Calibri"/>
      </rPr>
      <t xml:space="preserve">
</t>
    </r>
    <r>
      <rPr>
        <sz val="11"/>
        <color rgb="FF000000"/>
        <rFont val="Calibri"/>
      </rPr>
      <t xml:space="preserve">Applications, including DBMSs, utilizing cryptography are required to use approved NIST FIPS 140-2 validated cryptographic modules that meet the requirements of applicable federal laws, Executive Orders, directives, policies, regulations, standards, and guidance.  </t>
    </r>
    <r>
      <rPr>
        <sz val="11"/>
        <color rgb="FF000000"/>
        <rFont val="Calibri"/>
      </rPr>
      <t xml:space="preserve">
</t>
    </r>
    <r>
      <rPr>
        <sz val="11"/>
        <color rgb="FF000000"/>
        <rFont val="Calibri"/>
      </rPr>
      <t>The security functions validated as part of FIPS 140-2 for cryptographic modules are described in FIPS 140-2 Annex A.</t>
    </r>
    <r>
      <rPr>
        <sz val="11"/>
        <color rgb="FF000000"/>
        <rFont val="Calibri"/>
      </rPr>
      <t xml:space="preserve">
</t>
    </r>
    <r>
      <rPr>
        <sz val="11"/>
        <color rgb="FF000000"/>
        <rFont val="Calibri"/>
      </rPr>
      <t>NSA Type-X (where X=1, 2, 3, 4) products are NSA-certified, hardware-based encryption modules.</t>
    </r>
  </si>
  <si>
    <r>
      <rPr>
        <sz val="11"/>
        <color rgb="FF000000"/>
        <rFont val="Calibri"/>
      </rPr>
      <t>At the command prompt, execute the following command:</t>
    </r>
    <r>
      <rPr>
        <sz val="11"/>
        <color rgb="FF000000"/>
        <rFont val="Calibri"/>
      </rPr>
      <t xml:space="preserve">
</t>
    </r>
    <r>
      <rPr>
        <sz val="11"/>
        <color rgb="FF000000"/>
        <rFont val="Calibri"/>
      </rPr>
      <t># grep '^\s*ssl_ciphers\b' /storage/db/vcops/vpostgres/data/postgresql.conf</t>
    </r>
    <r>
      <rPr>
        <sz val="11"/>
        <color rgb="FF000000"/>
        <rFont val="Calibri"/>
      </rPr>
      <t xml:space="preserve">
</t>
    </r>
    <r>
      <rPr>
        <sz val="11"/>
        <color rgb="FF000000"/>
        <rFont val="Calibri"/>
      </rPr>
      <t>If ssl_ciphers is not set to "FIPS: +3DES:!aNULL", this is a finding.</t>
    </r>
  </si>
  <si>
    <t>V-88271</t>
  </si>
  <si>
    <r>
      <rPr>
        <sz val="11"/>
        <rFont val="Calibri"/>
      </rPr>
      <t>In the event of a system failure, the vROps PostgreSQL DB must preserve any information necessary to determine cause of failure and any information necessary to return to operations with least disruption to mission processes.</t>
    </r>
  </si>
  <si>
    <r>
      <rPr>
        <sz val="11"/>
        <color rgb="FF000000"/>
        <rFont val="Calibri"/>
      </rPr>
      <t>At the command prompt, execute the following commands:</t>
    </r>
    <r>
      <rPr>
        <sz val="11"/>
        <color rgb="FF000000"/>
        <rFont val="Calibri"/>
      </rPr>
      <t xml:space="preserve">
</t>
    </r>
    <r>
      <rPr>
        <sz val="11"/>
        <color rgb="FF000000"/>
        <rFont val="Calibri"/>
      </rPr>
      <t># /opt/vmware/vpostgres/current/bin/psql -U postgres -c "ALTER SYSTEM SET &lt;name&gt; TO 'on';"</t>
    </r>
    <r>
      <rPr>
        <sz val="11"/>
        <color rgb="FF000000"/>
        <rFont val="Calibri"/>
      </rPr>
      <t xml:space="preserve">
</t>
    </r>
    <r>
      <rPr>
        <sz val="11"/>
        <color rgb="FF000000"/>
        <rFont val="Calibri"/>
      </rPr>
      <t># /opt/vmware/vpostgres/current/bin/psql -U postgres -c "SELECT pg_reload_conf();"</t>
    </r>
    <r>
      <rPr>
        <sz val="11"/>
        <color rgb="FF000000"/>
        <rFont val="Calibri"/>
      </rPr>
      <t xml:space="preserve">
</t>
    </r>
    <r>
      <rPr>
        <sz val="11"/>
        <color rgb="FF000000"/>
        <rFont val="Calibri"/>
      </rPr>
      <t>Note: Substitute &lt;name&gt; with the incorrectly set parameter.</t>
    </r>
  </si>
  <si>
    <r>
      <rPr>
        <sz val="11"/>
        <color rgb="FF000000"/>
        <rFont val="Calibri"/>
      </rPr>
      <t>Failure to a known state can address safety or security in accordance with the mission/business needs of the organization.</t>
    </r>
    <r>
      <rPr>
        <sz val="11"/>
        <color rgb="FF000000"/>
        <rFont val="Calibri"/>
      </rPr>
      <t xml:space="preserve">
</t>
    </r>
    <r>
      <rPr>
        <sz val="11"/>
        <color rgb="FF000000"/>
        <rFont val="Calibri"/>
      </rPr>
      <t xml:space="preserve">Failure to a known secure state helps prevent a loss of confidentiality, integrity, or availability in the event of a failure of the information system or a component of the system. </t>
    </r>
    <r>
      <rPr>
        <sz val="11"/>
        <color rgb="FF000000"/>
        <rFont val="Calibri"/>
      </rPr>
      <t xml:space="preserve">
</t>
    </r>
    <r>
      <rPr>
        <sz val="11"/>
        <color rgb="FF000000"/>
        <rFont val="Calibri"/>
      </rPr>
      <t xml:space="preserve">Preserving information system state information helps to facilitate system restart and return to the operational mode of the organization with less disruption of mission/business processes. </t>
    </r>
    <r>
      <rPr>
        <sz val="11"/>
        <color rgb="FF000000"/>
        <rFont val="Calibri"/>
      </rPr>
      <t xml:space="preserve">
</t>
    </r>
    <r>
      <rPr>
        <sz val="11"/>
        <color rgb="FF000000"/>
        <rFont val="Calibri"/>
      </rPr>
      <t>Since it is usually not possible to test this capability in a production environment, systems should either be validated in a testing environment or prior to installation. This requirement is usually a function of the design of the IDPS component. Compliance can be verified by acceptance/validation processes or vendor attestation.</t>
    </r>
  </si>
  <si>
    <r>
      <rPr>
        <sz val="11"/>
        <color rgb="FF000000"/>
        <rFont val="Calibri"/>
      </rPr>
      <t>At the command prompt, execute the following command:</t>
    </r>
    <r>
      <rPr>
        <sz val="11"/>
        <color rgb="FF000000"/>
        <rFont val="Calibri"/>
      </rPr>
      <t xml:space="preserve">
</t>
    </r>
    <r>
      <rPr>
        <sz val="11"/>
        <color rgb="FF000000"/>
        <rFont val="Calibri"/>
      </rPr>
      <t># /opt/vmware/vpostgres/current/bin/psql -U postgres -c "SELECT name, setting FROM pg_settings WHERE name IN ('fsync','full_page_writes','synchronous_commit');"</t>
    </r>
    <r>
      <rPr>
        <sz val="11"/>
        <color rgb="FF000000"/>
        <rFont val="Calibri"/>
      </rPr>
      <t xml:space="preserve">
</t>
    </r>
    <r>
      <rPr>
        <sz val="11"/>
        <color rgb="FF000000"/>
        <rFont val="Calibri"/>
      </rPr>
      <t>If "fsync", "full_page_writes", and "synchronous_commit" are not set to "on", this is a finding.</t>
    </r>
    <r>
      <rPr>
        <sz val="11"/>
        <color rgb="FF000000"/>
        <rFont val="Calibri"/>
      </rPr>
      <t xml:space="preserve">
</t>
    </r>
    <r>
      <rPr>
        <sz val="11"/>
        <color rgb="FF000000"/>
        <rFont val="Calibri"/>
      </rPr>
      <t>The command should return the below lines:</t>
    </r>
    <r>
      <rPr>
        <sz val="11"/>
        <color rgb="FF000000"/>
        <rFont val="Calibri"/>
      </rPr>
      <t xml:space="preserve">
</t>
    </r>
    <r>
      <rPr>
        <sz val="11"/>
        <color rgb="FF000000"/>
        <rFont val="Calibri"/>
      </rPr>
      <t xml:space="preserve">          name                       | setting</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 fsync                                  | on</t>
    </r>
    <r>
      <rPr>
        <sz val="11"/>
        <color rgb="FF000000"/>
        <rFont val="Calibri"/>
      </rPr>
      <t xml:space="preserve">
</t>
    </r>
    <r>
      <rPr>
        <sz val="11"/>
        <color rgb="FF000000"/>
        <rFont val="Calibri"/>
      </rPr>
      <t xml:space="preserve"> full_page_writes          | on</t>
    </r>
    <r>
      <rPr>
        <sz val="11"/>
        <color rgb="FF000000"/>
        <rFont val="Calibri"/>
      </rPr>
      <t xml:space="preserve">
</t>
    </r>
    <r>
      <rPr>
        <sz val="11"/>
        <color rgb="FF000000"/>
        <rFont val="Calibri"/>
      </rPr>
      <t xml:space="preserve"> synchronous_commit | on</t>
    </r>
    <r>
      <rPr>
        <sz val="11"/>
        <color rgb="FF000000"/>
        <rFont val="Calibri"/>
      </rPr>
      <t xml:space="preserve">
</t>
    </r>
    <r>
      <rPr>
        <sz val="11"/>
        <color rgb="FF000000"/>
        <rFont val="Calibri"/>
      </rPr>
      <t>(3 rows)</t>
    </r>
  </si>
  <si>
    <t>V-88273</t>
  </si>
  <si>
    <r>
      <rPr>
        <sz val="11"/>
        <rFont val="Calibri"/>
      </rPr>
      <t>The vROps PostgreSQL DB must isolate security functions from non-security functions.</t>
    </r>
  </si>
  <si>
    <r>
      <rPr>
        <sz val="11"/>
        <color rgb="FF000000"/>
        <rFont val="Calibri"/>
      </rPr>
      <t>At the command prompt, execute the following command:</t>
    </r>
    <r>
      <rPr>
        <sz val="11"/>
        <color rgb="FF000000"/>
        <rFont val="Calibri"/>
      </rPr>
      <t xml:space="preserve">
</t>
    </r>
    <r>
      <rPr>
        <sz val="11"/>
        <color rgb="FF000000"/>
        <rFont val="Calibri"/>
      </rPr>
      <t># /opt/vmware/vpostgres/current/bin/psql -U postgres -c "REVOKE ALL PRIVILEGES ON &lt;name&gt; FROM &lt;user&gt;;"</t>
    </r>
    <r>
      <rPr>
        <sz val="11"/>
        <color rgb="FF000000"/>
        <rFont val="Calibri"/>
      </rPr>
      <t xml:space="preserve">
</t>
    </r>
    <r>
      <rPr>
        <sz val="11"/>
        <color rgb="FF000000"/>
        <rFont val="Calibri"/>
      </rPr>
      <t>Replace &lt;name&gt; and &lt;user&gt; with the Access Privilege name and account, respectively, discovered during the check.</t>
    </r>
  </si>
  <si>
    <r>
      <rPr>
        <sz val="11"/>
        <color rgb="FF000000"/>
        <rFont val="Calibri"/>
      </rPr>
      <t xml:space="preserve">An isolation boundary provides access control and protects the integrity of the hardware, software, and firmware that perform security functions. </t>
    </r>
    <r>
      <rPr>
        <sz val="11"/>
        <color rgb="FF000000"/>
        <rFont val="Calibri"/>
      </rPr>
      <t xml:space="preserve">
</t>
    </r>
    <r>
      <rPr>
        <sz val="11"/>
        <color rgb="FF000000"/>
        <rFont val="Calibri"/>
      </rPr>
      <t>Security functions are the hardware, software, and/or firmware of the information system responsible for enforcing the system security policy and supporting the isolation of code and data on which the protection is based.</t>
    </r>
    <r>
      <rPr>
        <sz val="11"/>
        <color rgb="FF000000"/>
        <rFont val="Calibri"/>
      </rPr>
      <t xml:space="preserve">
</t>
    </r>
    <r>
      <rPr>
        <sz val="11"/>
        <color rgb="FF000000"/>
        <rFont val="Calibri"/>
      </rPr>
      <t xml:space="preserve">Developers and implementers can increase the assurance in security functions by employing well-defined security policy models; structured, disciplined, and rigorous hardware and software development techniques; and sound system/security engineering principles. </t>
    </r>
    <r>
      <rPr>
        <sz val="11"/>
        <color rgb="FF000000"/>
        <rFont val="Calibri"/>
      </rPr>
      <t xml:space="preserve">
</t>
    </r>
    <r>
      <rPr>
        <sz val="11"/>
        <color rgb="FF000000"/>
        <rFont val="Calibri"/>
      </rPr>
      <t>Database Management Systems typically separate security functionality from non-security functionality via separate databases or schemas. Database objects or code implementing security functionality should not be commingled with objects or code implementing application logic. When security and non-security functionality are commingled, users who have access to non-security functionality may be able to access security functionality.</t>
    </r>
  </si>
  <si>
    <r>
      <rPr>
        <sz val="11"/>
        <color rgb="FF000000"/>
        <rFont val="Calibri"/>
      </rPr>
      <t>At the command prompt, execute the following command:</t>
    </r>
    <r>
      <rPr>
        <sz val="11"/>
        <color rgb="FF000000"/>
        <rFont val="Calibri"/>
      </rPr>
      <t xml:space="preserve">
</t>
    </r>
    <r>
      <rPr>
        <sz val="11"/>
        <color rgb="FF000000"/>
        <rFont val="Calibri"/>
      </rPr>
      <t># /opt/vmware/vpostgres/current/bin/psql -U postgres -c "\dp.*.;"</t>
    </r>
    <r>
      <rPr>
        <sz val="11"/>
        <color rgb="FF000000"/>
        <rFont val="Calibri"/>
      </rPr>
      <t xml:space="preserve">
</t>
    </r>
    <r>
      <rPr>
        <sz val="11"/>
        <color rgb="FF000000"/>
        <rFont val="Calibri"/>
      </rPr>
      <t xml:space="preserve">Review the Access Privilege column for all Schemas listed as information_schema and pg_catalog. </t>
    </r>
    <r>
      <rPr>
        <sz val="11"/>
        <color rgb="FF000000"/>
        <rFont val="Calibri"/>
      </rPr>
      <t xml:space="preserve">
</t>
    </r>
    <r>
      <rPr>
        <sz val="11"/>
        <color rgb="FF000000"/>
        <rFont val="Calibri"/>
      </rPr>
      <t>If access privilege is granted to any users other than "postgres", this is a finding.</t>
    </r>
  </si>
  <si>
    <t>V-88275</t>
  </si>
  <si>
    <r>
      <rPr>
        <sz val="11"/>
        <rFont val="Calibri"/>
      </rPr>
      <t>vROps PostgreSQL DB contents must be protected from unauthorized and unintended information transfer by enforcement of a data-transfer policy.</t>
    </r>
  </si>
  <si>
    <r>
      <rPr>
        <sz val="11"/>
        <color rgb="FF000000"/>
        <rFont val="Calibri"/>
      </rPr>
      <t>Modify any code used for moving data from production to development/test systems to comply with the organization-defined site data-transfer policy, and to ensure copies of production data are not left in unsecured locations.</t>
    </r>
  </si>
  <si>
    <r>
      <rPr>
        <sz val="11"/>
        <color rgb="FF000000"/>
        <rFont val="Calibri"/>
      </rPr>
      <t xml:space="preserve">Applications, including DBMSs, must prevent unauthorized and unintended information transfer via shared system resources. </t>
    </r>
    <r>
      <rPr>
        <sz val="11"/>
        <color rgb="FF000000"/>
        <rFont val="Calibri"/>
      </rPr>
      <t xml:space="preserve">
</t>
    </r>
    <r>
      <rPr>
        <sz val="11"/>
        <color rgb="FF000000"/>
        <rFont val="Calibri"/>
      </rPr>
      <t>Data used for the development and testing of applications often involves copying data from production. It is important that specific procedures exist for this process, to include the conditions under which such transfer may take place, where the copies may reside, and the rules for ensuring sensitive data are not exposed.</t>
    </r>
    <r>
      <rPr>
        <sz val="11"/>
        <color rgb="FF000000"/>
        <rFont val="Calibri"/>
      </rPr>
      <t xml:space="preserve">
</t>
    </r>
    <r>
      <rPr>
        <sz val="11"/>
        <color rgb="FF000000"/>
        <rFont val="Calibri"/>
      </rPr>
      <t>Copies of sensitive data must not be misplaced or left in a temporary location without the proper controls.</t>
    </r>
  </si>
  <si>
    <r>
      <rPr>
        <sz val="11"/>
        <color rgb="FF000000"/>
        <rFont val="Calibri"/>
      </rPr>
      <t>Obtain the site data-transfer policy from the ISSO.</t>
    </r>
    <r>
      <rPr>
        <sz val="11"/>
        <color rgb="FF000000"/>
        <rFont val="Calibri"/>
      </rPr>
      <t xml:space="preserve">
</t>
    </r>
    <r>
      <rPr>
        <sz val="11"/>
        <color rgb="FF000000"/>
        <rFont val="Calibri"/>
      </rPr>
      <t>Review the policies and procedures used to ensure that all vROps data is being protected from unauthorized and unintended information transformation in accordance with site policy.</t>
    </r>
    <r>
      <rPr>
        <sz val="11"/>
        <color rgb="FF000000"/>
        <rFont val="Calibri"/>
      </rPr>
      <t xml:space="preserve">
</t>
    </r>
    <r>
      <rPr>
        <sz val="11"/>
        <color rgb="FF000000"/>
        <rFont val="Calibri"/>
      </rPr>
      <t>If the site data-transfer policy is not followed, this is a finding.</t>
    </r>
  </si>
  <si>
    <t>V-88277</t>
  </si>
  <si>
    <r>
      <rPr>
        <sz val="11"/>
        <rFont val="Calibri"/>
      </rPr>
      <t>The vROps PostgreSQL DB must reveal detailed error messages only to the ISSO, ISSM, SA and DBA.</t>
    </r>
  </si>
  <si>
    <r>
      <rPr>
        <sz val="11"/>
        <color rgb="FF000000"/>
        <rFont val="Calibri"/>
      </rPr>
      <t>At the command prompt, enter the following command:</t>
    </r>
    <r>
      <rPr>
        <sz val="11"/>
        <color rgb="FF000000"/>
        <rFont val="Calibri"/>
      </rPr>
      <t xml:space="preserve">
</t>
    </r>
    <r>
      <rPr>
        <sz val="11"/>
        <color rgb="FF000000"/>
        <rFont val="Calibri"/>
      </rPr>
      <t>chmod 640 /storage/db/vcops/vpostgres/data/serverlog</t>
    </r>
  </si>
  <si>
    <r>
      <rPr>
        <sz val="11"/>
        <color rgb="FF000000"/>
        <rFont val="Calibri"/>
      </rPr>
      <t xml:space="preserve">If the DBMS provides too much information in error logs and administrative messages to the screen, this could lead to compromise. The structure and content of error messages need to be carefully considered by the organization and development team. The extent to which the information system is able to identify and handle error conditions is guided by organizational policy and operational requirements. </t>
    </r>
    <r>
      <rPr>
        <sz val="11"/>
        <color rgb="FF000000"/>
        <rFont val="Calibri"/>
      </rPr>
      <t xml:space="preserve">
</t>
    </r>
    <r>
      <rPr>
        <sz val="11"/>
        <color rgb="FF000000"/>
        <rFont val="Calibri"/>
      </rPr>
      <t xml:space="preserve">Some default DBMS error messages can contain information that could aid an attacker in, among others things, identifying the database type, host address, or state of the database. Custom errors may contain sensitive customer information. </t>
    </r>
    <r>
      <rPr>
        <sz val="11"/>
        <color rgb="FF000000"/>
        <rFont val="Calibri"/>
      </rPr>
      <t xml:space="preserve">
</t>
    </r>
    <r>
      <rPr>
        <sz val="11"/>
        <color rgb="FF000000"/>
        <rFont val="Calibri"/>
      </rPr>
      <t xml:space="preserve">It is important that detailed error messages be visible only to those who are authorized to view them; that general users receive only generalized acknowledgment that errors have occurred; and that these generalized messages appear only when relevant to the user's task. For example, a message along the lines of, "An error has occurred. Unable to save your changes. If this problem persists, please contact your help desk" would be relevant. A message such as "Warning: your transaction generated a large number of page splits" would likely not be relevant. </t>
    </r>
    <r>
      <rPr>
        <sz val="11"/>
        <color rgb="FF000000"/>
        <rFont val="Calibri"/>
      </rPr>
      <t xml:space="preserve">
</t>
    </r>
    <r>
      <rPr>
        <sz val="11"/>
        <color rgb="FF000000"/>
        <rFont val="Calibri"/>
      </rPr>
      <t>Administrative users authorized to review detailed error messages typically are the ISSO, ISSM, SA and DBA. Other individuals or roles may be specified according to organization-specific needs, with DBA approval.</t>
    </r>
  </si>
  <si>
    <r>
      <rPr>
        <sz val="11"/>
        <color rgb="FF000000"/>
        <rFont val="Calibri"/>
      </rPr>
      <t>At the command prompt, execute the following command:</t>
    </r>
    <r>
      <rPr>
        <sz val="11"/>
        <color rgb="FF000000"/>
        <rFont val="Calibri"/>
      </rPr>
      <t xml:space="preserve">
</t>
    </r>
    <r>
      <rPr>
        <sz val="11"/>
        <color rgb="FF000000"/>
        <rFont val="Calibri"/>
      </rPr>
      <t># ls -l /storage/db/vcops/vpostgres/data/serverlog</t>
    </r>
    <r>
      <rPr>
        <sz val="11"/>
        <color rgb="FF000000"/>
        <rFont val="Calibri"/>
      </rPr>
      <t xml:space="preserve">
</t>
    </r>
    <r>
      <rPr>
        <sz val="11"/>
        <color rgb="FF000000"/>
        <rFont val="Calibri"/>
      </rPr>
      <t>If the file permissions are more permissive than "640", this is a finding.</t>
    </r>
  </si>
  <si>
    <t>V-88279</t>
  </si>
  <si>
    <r>
      <rPr>
        <sz val="11"/>
        <rFont val="Calibri"/>
      </rPr>
      <t>The vROps PostgreSQL DB must utilize centralized management of the content captured in audit records generated by all components of the DBMS.</t>
    </r>
  </si>
  <si>
    <r>
      <rPr>
        <sz val="11"/>
        <color rgb="FF000000"/>
        <rFont val="Calibri"/>
      </rPr>
      <t>At the command prompt, execute the following commands:</t>
    </r>
    <r>
      <rPr>
        <sz val="11"/>
        <color rgb="FF000000"/>
        <rFont val="Calibri"/>
      </rPr>
      <t xml:space="preserve">
</t>
    </r>
    <r>
      <rPr>
        <sz val="11"/>
        <color rgb="FF000000"/>
        <rFont val="Calibri"/>
      </rPr>
      <t># /opt/vmware/vpostgres/current/bin/psql -U postgres -c "ALTER SYSTEM SET logging_collector TO 'on';"</t>
    </r>
    <r>
      <rPr>
        <sz val="11"/>
        <color rgb="FF000000"/>
        <rFont val="Calibri"/>
      </rPr>
      <t xml:space="preserve">
</t>
    </r>
    <r>
      <rPr>
        <sz val="11"/>
        <color rgb="FF000000"/>
        <rFont val="Calibri"/>
      </rPr>
      <t># /opt/vmware/vpostgres/current/bin/psql -U postgres -c "SELECT pg_reload_conf();"</t>
    </r>
  </si>
  <si>
    <r>
      <rPr>
        <sz val="11"/>
        <color rgb="FF000000"/>
        <rFont val="Calibri"/>
      </rPr>
      <t>Without the ability to centrally manage the content captured in the audit records, identification, troubleshooting, and correlation of suspicious behavior would be difficult and could lead to a delayed or incomplete analysis of an ongoing attack.</t>
    </r>
    <r>
      <rPr>
        <sz val="11"/>
        <color rgb="FF000000"/>
        <rFont val="Calibri"/>
      </rPr>
      <t xml:space="preserve">
</t>
    </r>
    <r>
      <rPr>
        <sz val="11"/>
        <color rgb="FF000000"/>
        <rFont val="Calibri"/>
      </rPr>
      <t xml:space="preserve">The content captured in audit records must be managed from a central location (necessitating automation). Centralized management of audit records and logs provides for efficiency in maintenance and management of records, as well as the backup and archiving of those records. </t>
    </r>
    <r>
      <rPr>
        <sz val="11"/>
        <color rgb="FF000000"/>
        <rFont val="Calibri"/>
      </rPr>
      <t xml:space="preserve">
</t>
    </r>
    <r>
      <rPr>
        <sz val="11"/>
        <color rgb="FF000000"/>
        <rFont val="Calibri"/>
      </rPr>
      <t>The DBMS may write audit records to database tables, to files in the file system, to other kinds of local repository, or directly to a centralized log management system. Whatever the method used, it must be compatible with off-loading the records to the centralized system.</t>
    </r>
  </si>
  <si>
    <r>
      <rPr>
        <sz val="11"/>
        <color rgb="FF000000"/>
        <rFont val="Calibri"/>
      </rPr>
      <t>At the command prompt, execute the following command:</t>
    </r>
    <r>
      <rPr>
        <sz val="11"/>
        <color rgb="FF000000"/>
        <rFont val="Calibri"/>
      </rPr>
      <t xml:space="preserve">
</t>
    </r>
    <r>
      <rPr>
        <sz val="11"/>
        <color rgb="FF000000"/>
        <rFont val="Calibri"/>
      </rPr>
      <t># grep '^\s*logging_collector\b' /storage/db/vcops/vpostgres/data/postgresql.conf</t>
    </r>
    <r>
      <rPr>
        <sz val="11"/>
        <color rgb="FF000000"/>
        <rFont val="Calibri"/>
      </rPr>
      <t xml:space="preserve">
</t>
    </r>
    <r>
      <rPr>
        <sz val="11"/>
        <color rgb="FF000000"/>
        <rFont val="Calibri"/>
      </rPr>
      <t>If "logging_collector" is not set to "on", this is a finding.</t>
    </r>
  </si>
  <si>
    <t>V-88281</t>
  </si>
  <si>
    <r>
      <rPr>
        <sz val="11"/>
        <rFont val="Calibri"/>
      </rPr>
      <t>The vROps PostgreSQL DB must provide centralized configuration of the content to be captured in audit records generated by all components of the DBMS.</t>
    </r>
  </si>
  <si>
    <r>
      <rPr>
        <sz val="11"/>
        <color rgb="FF000000"/>
        <rFont val="Calibri"/>
      </rPr>
      <t>If the configuration of the DBMS's auditing is spread across multiple locations in the database management software, or across multiple commands, only loosely related, it is harder to use and takes longer to reconfigure in response to events.</t>
    </r>
    <r>
      <rPr>
        <sz val="11"/>
        <color rgb="FF000000"/>
        <rFont val="Calibri"/>
      </rPr>
      <t xml:space="preserve">
</t>
    </r>
    <r>
      <rPr>
        <sz val="11"/>
        <color rgb="FF000000"/>
        <rFont val="Calibri"/>
      </rPr>
      <t>The DBMS must provide a unified tool for audit configuration.</t>
    </r>
  </si>
  <si>
    <t>V-88283</t>
  </si>
  <si>
    <r>
      <rPr>
        <sz val="11"/>
        <rFont val="Calibri"/>
      </rPr>
      <t>The vROps PostgreSQL DB must provide a warning to appropriate support staff when allocated audit record storage volume reaches 75% of maximum audit record storage capacity.</t>
    </r>
  </si>
  <si>
    <r>
      <rPr>
        <sz val="11"/>
        <color rgb="FF000000"/>
        <rFont val="Calibri"/>
      </rPr>
      <t>At the command prompt, execute the following commands:</t>
    </r>
    <r>
      <rPr>
        <sz val="11"/>
        <color rgb="FF000000"/>
        <rFont val="Calibri"/>
      </rPr>
      <t xml:space="preserve">
</t>
    </r>
    <r>
      <rPr>
        <sz val="11"/>
        <color rgb="FF000000"/>
        <rFont val="Calibri"/>
      </rPr>
      <t># /opt/vmware/vpostgres/current/bin/psql -U postgres -c "ALTER SYSTEM SET syslog_facility TO 'local0';"</t>
    </r>
    <r>
      <rPr>
        <sz val="11"/>
        <color rgb="FF000000"/>
        <rFont val="Calibri"/>
      </rPr>
      <t xml:space="preserve">
</t>
    </r>
    <r>
      <rPr>
        <sz val="11"/>
        <color rgb="FF000000"/>
        <rFont val="Calibri"/>
      </rPr>
      <t># /opt/vmware/vpostgres/current/bin/psql -U postgres -c "SELECT pg_reload_conf();"</t>
    </r>
  </si>
  <si>
    <r>
      <rPr>
        <sz val="11"/>
        <color rgb="FF000000"/>
        <rFont val="Calibri"/>
      </rPr>
      <t>Organizations are required to use a central log management system, so, under normal conditions, the audit space allocated to the DBMS on its own server will not be an issue. However, space will still be required on the DBMS server for audit records in transit, and, under abnormal conditions, this could fill up. Since a requirement exists to halt processing upon audit failure, a service outage would result.</t>
    </r>
    <r>
      <rPr>
        <sz val="11"/>
        <color rgb="FF000000"/>
        <rFont val="Calibri"/>
      </rPr>
      <t xml:space="preserve">
</t>
    </r>
    <r>
      <rPr>
        <sz val="11"/>
        <color rgb="FF000000"/>
        <rFont val="Calibri"/>
      </rPr>
      <t xml:space="preserve">If support personnel are not notified immediately upon storage volume utilization reaching 75%, they are unable to plan for storage capacity expansion. </t>
    </r>
    <r>
      <rPr>
        <sz val="11"/>
        <color rgb="FF000000"/>
        <rFont val="Calibri"/>
      </rPr>
      <t xml:space="preserve">
</t>
    </r>
    <r>
      <rPr>
        <sz val="11"/>
        <color rgb="FF000000"/>
        <rFont val="Calibri"/>
      </rPr>
      <t>The appropriate support staff include, at a minimum, the ISSO and the DBA/SA.</t>
    </r>
  </si>
  <si>
    <r>
      <rPr>
        <sz val="11"/>
        <color rgb="FF000000"/>
        <rFont val="Calibri"/>
      </rPr>
      <t>At the command prompt, execute the following command:</t>
    </r>
    <r>
      <rPr>
        <sz val="11"/>
        <color rgb="FF000000"/>
        <rFont val="Calibri"/>
      </rPr>
      <t xml:space="preserve">
</t>
    </r>
    <r>
      <rPr>
        <sz val="11"/>
        <color rgb="FF000000"/>
        <rFont val="Calibri"/>
      </rPr>
      <t># grep '^\s*syslog_facility\b' /storage/db/vcops/vpostgres/data/postgresql.conf</t>
    </r>
    <r>
      <rPr>
        <sz val="11"/>
        <color rgb="FF000000"/>
        <rFont val="Calibri"/>
      </rPr>
      <t xml:space="preserve">
</t>
    </r>
    <r>
      <rPr>
        <sz val="11"/>
        <color rgb="FF000000"/>
        <rFont val="Calibri"/>
      </rPr>
      <t>If "syslog_facility" is not set to "local0", this is a finding.</t>
    </r>
  </si>
  <si>
    <t>V-88285</t>
  </si>
  <si>
    <r>
      <rPr>
        <sz val="11"/>
        <rFont val="Calibri"/>
      </rPr>
      <t>The vROps PostgreSQL DB must provide an immediate real-time alert to appropriate support staff of all audit failure events requiring real-time alerts.</t>
    </r>
  </si>
  <si>
    <r>
      <rPr>
        <sz val="11"/>
        <color rgb="FF000000"/>
        <rFont val="Calibri"/>
      </rPr>
      <t xml:space="preserve">It is critical for the appropriate personnel to be aware if a system is at risk of failing to process audit logs as required. Without a real-time alert, security personnel may be unaware of an impending failure of the audit capability, and system operation may be adversely affected. </t>
    </r>
    <r>
      <rPr>
        <sz val="11"/>
        <color rgb="FF000000"/>
        <rFont val="Calibri"/>
      </rPr>
      <t xml:space="preserve">
</t>
    </r>
    <r>
      <rPr>
        <sz val="11"/>
        <color rgb="FF000000"/>
        <rFont val="Calibri"/>
      </rPr>
      <t>The appropriate support staff include, at a minimum, the ISSO and the DBA/SA.</t>
    </r>
    <r>
      <rPr>
        <sz val="11"/>
        <color rgb="FF000000"/>
        <rFont val="Calibri"/>
      </rPr>
      <t xml:space="preserve">
</t>
    </r>
    <r>
      <rPr>
        <sz val="11"/>
        <color rgb="FF000000"/>
        <rFont val="Calibri"/>
      </rPr>
      <t>Alerts provide organizations with urgent messages. Real-time alerts provide these messages immediately (i.e., the time from event detection to alert occurs in seconds or less).</t>
    </r>
  </si>
  <si>
    <t>V-88287</t>
  </si>
  <si>
    <r>
      <rPr>
        <sz val="11"/>
        <rFont val="Calibri"/>
      </rPr>
      <t>The vROps PostgreSQL DB must record time stamps, in audit records and application data that can be mapped to Coordinated Universal Time (UTC, formerly GMT).</t>
    </r>
  </si>
  <si>
    <r>
      <rPr>
        <sz val="11"/>
        <color rgb="FF000000"/>
        <rFont val="Calibri"/>
      </rPr>
      <t>At the command prompt, execute the following commands:</t>
    </r>
    <r>
      <rPr>
        <sz val="11"/>
        <color rgb="FF000000"/>
        <rFont val="Calibri"/>
      </rPr>
      <t xml:space="preserve">
</t>
    </r>
    <r>
      <rPr>
        <sz val="11"/>
        <color rgb="FF000000"/>
        <rFont val="Calibri"/>
      </rPr>
      <t># /opt/vmware/vpostgres/current/bin/psql -U postgres -c "ALTER SYSTEM SET log_timezone TO 'UTC';"</t>
    </r>
    <r>
      <rPr>
        <sz val="11"/>
        <color rgb="FF000000"/>
        <rFont val="Calibri"/>
      </rPr>
      <t xml:space="preserve">
</t>
    </r>
    <r>
      <rPr>
        <sz val="11"/>
        <color rgb="FF000000"/>
        <rFont val="Calibri"/>
      </rPr>
      <t># /opt/vmware/vpostgres/current/bin/psql -U postgres -c "SELECT pg_reload_conf();"</t>
    </r>
  </si>
  <si>
    <r>
      <rPr>
        <sz val="11"/>
        <color rgb="FF000000"/>
        <rFont val="Calibri"/>
      </rPr>
      <t>If time stamps are not consistently applied and there is no common time reference, it is difficult to perform forensic analysis.</t>
    </r>
    <r>
      <rPr>
        <sz val="11"/>
        <color rgb="FF000000"/>
        <rFont val="Calibri"/>
      </rPr>
      <t xml:space="preserve">
</t>
    </r>
    <r>
      <rPr>
        <sz val="11"/>
        <color rgb="FF000000"/>
        <rFont val="Calibri"/>
      </rPr>
      <t xml:space="preserve">Time stamps generated by the DBMS must include date and time. Time is commonly expressed in Coordinated Universal Time (UTC), a modern continuation of Greenwich Mean Time (GMT), or local time with an offset from UTC. </t>
    </r>
    <r>
      <rPr>
        <sz val="11"/>
        <color rgb="FF000000"/>
        <rFont val="Calibri"/>
      </rPr>
      <t xml:space="preserve">
</t>
    </r>
    <r>
      <rPr>
        <sz val="11"/>
        <color rgb="FF000000"/>
        <rFont val="Calibri"/>
      </rPr>
      <t>Some DBMS products offer a data type called TIMESTAMP that is not a representation of date and time. Rather, it is a database state counter and does not correspond to calendar and clock time. This requirement does not refer to that meaning of TIMESTAMP.</t>
    </r>
  </si>
  <si>
    <r>
      <rPr>
        <sz val="11"/>
        <color rgb="FF000000"/>
        <rFont val="Calibri"/>
      </rPr>
      <t>At the command prompt, execute the following command:</t>
    </r>
    <r>
      <rPr>
        <sz val="11"/>
        <color rgb="FF000000"/>
        <rFont val="Calibri"/>
      </rPr>
      <t xml:space="preserve">
</t>
    </r>
    <r>
      <rPr>
        <sz val="11"/>
        <color rgb="FF000000"/>
        <rFont val="Calibri"/>
      </rPr>
      <t># grep '^\s*log_timezone\b' /storage/db/vcops/vpostgres/data/postgresql.conf</t>
    </r>
    <r>
      <rPr>
        <sz val="11"/>
        <color rgb="FF000000"/>
        <rFont val="Calibri"/>
      </rPr>
      <t xml:space="preserve">
</t>
    </r>
    <r>
      <rPr>
        <sz val="11"/>
        <color rgb="FF000000"/>
        <rFont val="Calibri"/>
      </rPr>
      <t>If "log_timezone" is not set to "UTC", this is a finding.</t>
    </r>
  </si>
  <si>
    <t>V-88289</t>
  </si>
  <si>
    <r>
      <rPr>
        <sz val="11"/>
        <rFont val="Calibri"/>
      </rPr>
      <t>The vROps PostgreSQL DB must generate time stamps, for audit records and application data, with a minimum granularity of one second.</t>
    </r>
  </si>
  <si>
    <r>
      <rPr>
        <sz val="11"/>
        <color rgb="FF000000"/>
        <rFont val="Calibri"/>
      </rPr>
      <t xml:space="preserve">Without sufficient granularity of time stamps, it is not possible to adequately determine the chronological order of records. </t>
    </r>
    <r>
      <rPr>
        <sz val="11"/>
        <color rgb="FF000000"/>
        <rFont val="Calibri"/>
      </rPr>
      <t xml:space="preserve">
</t>
    </r>
    <r>
      <rPr>
        <sz val="11"/>
        <color rgb="FF000000"/>
        <rFont val="Calibri"/>
      </rPr>
      <t>Time stamps generated by the DBMS must include date and time. Granularity of time measurements refers to the precision available in time stamp values. Granularity coarser than one second is not sufficient for audit trail purposes. Time stamp values are typically presented with three or more decimal places of seconds; however, the actual granularity may be coarser than the apparent precision. For example, SQL Server's GETDATE()/CURRENT_TMESTAMP values are presented to three decimal places, but the granularity is not one millisecond: it is about 1/300 of a second.</t>
    </r>
    <r>
      <rPr>
        <sz val="11"/>
        <color rgb="FF000000"/>
        <rFont val="Calibri"/>
      </rPr>
      <t xml:space="preserve">
</t>
    </r>
    <r>
      <rPr>
        <sz val="11"/>
        <color rgb="FF000000"/>
        <rFont val="Calibri"/>
      </rPr>
      <t>Some DBMS products offer a data type called TIMESTAMP that is not a representation of date and time. Rather, it is a database state counter and does not correspond to calendar and clock time. This requirement does not refer to that meaning of TIMESTAMP.</t>
    </r>
  </si>
  <si>
    <r>
      <rPr>
        <sz val="11"/>
        <color rgb="FF000000"/>
        <rFont val="Calibri"/>
      </rPr>
      <t>At the command prompt, execute the following command:</t>
    </r>
    <r>
      <rPr>
        <sz val="11"/>
        <color rgb="FF000000"/>
        <rFont val="Calibri"/>
      </rPr>
      <t xml:space="preserve">
</t>
    </r>
    <r>
      <rPr>
        <sz val="11"/>
        <color rgb="FF000000"/>
        <rFont val="Calibri"/>
      </rPr>
      <t># grep '^\s*log_line_prefix\b' /storage/db/vcops/vpostgres/data/postgresql.conf</t>
    </r>
    <r>
      <rPr>
        <sz val="11"/>
        <color rgb="FF000000"/>
        <rFont val="Calibri"/>
      </rPr>
      <t xml:space="preserve">
</t>
    </r>
    <r>
      <rPr>
        <sz val="11"/>
        <color rgb="FF000000"/>
        <rFont val="Calibri"/>
      </rPr>
      <t>If "log_line_prefix" is not set to "%m %d %u %r %p %l %c", this is a finding.</t>
    </r>
  </si>
  <si>
    <t>V-88291</t>
  </si>
  <si>
    <r>
      <rPr>
        <sz val="11"/>
        <rFont val="Calibri"/>
      </rPr>
      <t>The vROps PostgreSQL DB must enforce access restrictions associated with changes to the configuration of the DBMS or database(s).</t>
    </r>
  </si>
  <si>
    <r>
      <rPr>
        <sz val="11"/>
        <color rgb="FF000000"/>
        <rFont val="Calibri"/>
      </rPr>
      <t xml:space="preserve">Failure to provide logical access restrictions associated with changes to configuration may have significant effects on the overall security of the system. </t>
    </r>
    <r>
      <rPr>
        <sz val="11"/>
        <color rgb="FF000000"/>
        <rFont val="Calibri"/>
      </rPr>
      <t xml:space="preserve">
</t>
    </r>
    <r>
      <rPr>
        <sz val="11"/>
        <color rgb="FF000000"/>
        <rFont val="Calibri"/>
      </rPr>
      <t xml:space="preserve">When dealing with access restrictions pertaining to change control, it should be noted that any changes to the hardware, software, and/or firmware components of the information system can potentially have significant effects on the overall security of the system. </t>
    </r>
    <r>
      <rPr>
        <sz val="11"/>
        <color rgb="FF000000"/>
        <rFont val="Calibri"/>
      </rPr>
      <t xml:space="preserve">
</t>
    </r>
    <r>
      <rPr>
        <sz val="11"/>
        <color rgb="FF000000"/>
        <rFont val="Calibri"/>
      </rPr>
      <t>Accordingly, only qualified and authorized individuals should be allowed to obtain access to system components for the purposes of initiating changes, including upgrades and modifications.</t>
    </r>
  </si>
  <si>
    <t>V-88293</t>
  </si>
  <si>
    <r>
      <rPr>
        <sz val="11"/>
        <rFont val="Calibri"/>
      </rPr>
      <t>The vROps PostgreSQL DB must disable network functions, ports, protocols, and services deemed by the organization to be nonsecure, in accord with the Ports, Protocols, and Services Management (PPSM) guidance.</t>
    </r>
  </si>
  <si>
    <r>
      <rPr>
        <sz val="11"/>
        <color rgb="FF000000"/>
        <rFont val="Calibri"/>
      </rPr>
      <t>Use of nonsecure network functions, ports, protocols, and services exposes the system to avoidable threats.</t>
    </r>
  </si>
  <si>
    <t>V-88295</t>
  </si>
  <si>
    <r>
      <rPr>
        <sz val="11"/>
        <rFont val="Calibri"/>
      </rPr>
      <t>When invalid inputs are received, the vROps PostgreSQL DB must behave in a predictable and documented manner that reflects organizational and system objectives.</t>
    </r>
  </si>
  <si>
    <r>
      <rPr>
        <sz val="11"/>
        <color rgb="FF000000"/>
        <rFont val="Calibri"/>
      </rPr>
      <t>At the command prompt, execute the following commands:</t>
    </r>
    <r>
      <rPr>
        <sz val="11"/>
        <color rgb="FF000000"/>
        <rFont val="Calibri"/>
      </rPr>
      <t xml:space="preserve">
</t>
    </r>
    <r>
      <rPr>
        <sz val="11"/>
        <color rgb="FF000000"/>
        <rFont val="Calibri"/>
      </rPr>
      <t># /opt/vmware/vpostgres/current/bin/psql -U postgres -c "ALTER SYSTEM SET client_encoding TO 'UTF8';"</t>
    </r>
    <r>
      <rPr>
        <sz val="11"/>
        <color rgb="FF000000"/>
        <rFont val="Calibri"/>
      </rPr>
      <t xml:space="preserve">
</t>
    </r>
    <r>
      <rPr>
        <sz val="11"/>
        <color rgb="FF000000"/>
        <rFont val="Calibri"/>
      </rPr>
      <t># /opt/vmware/vpostgres/current/bin/psql -U postgres -c "SELECT pg_reload_conf();"</t>
    </r>
  </si>
  <si>
    <r>
      <rPr>
        <sz val="11"/>
        <color rgb="FF000000"/>
        <rFont val="Calibri"/>
      </rPr>
      <t>A common vulnerability is unplanned behavior when invalid inputs are received. This requirement guards against adverse or unintended system behavior caused by invalid inputs, where information system responses to the invalid input may be disruptive or cause the system to fail into an unsafe state.</t>
    </r>
    <r>
      <rPr>
        <sz val="11"/>
        <color rgb="FF000000"/>
        <rFont val="Calibri"/>
      </rPr>
      <t xml:space="preserve">
</t>
    </r>
    <r>
      <rPr>
        <sz val="11"/>
        <color rgb="FF000000"/>
        <rFont val="Calibri"/>
      </rPr>
      <t>The behavior will be derived from the organizational and system requirements and includes, but is not limited to, notification of the appropriate personnel, creating an audit record, and rejecting invalid input.</t>
    </r>
  </si>
  <si>
    <r>
      <rPr>
        <sz val="11"/>
        <color rgb="FF000000"/>
        <rFont val="Calibri"/>
      </rPr>
      <t>At the command prompt, execute the following command:</t>
    </r>
    <r>
      <rPr>
        <sz val="11"/>
        <color rgb="FF000000"/>
        <rFont val="Calibri"/>
      </rPr>
      <t xml:space="preserve">
</t>
    </r>
    <r>
      <rPr>
        <sz val="11"/>
        <color rgb="FF000000"/>
        <rFont val="Calibri"/>
      </rPr>
      <t># grep '^\s*client_encoding\b' /storage/db/vcops/vpostgres/data/postgresql.conf</t>
    </r>
    <r>
      <rPr>
        <sz val="11"/>
        <color rgb="FF000000"/>
        <rFont val="Calibri"/>
      </rPr>
      <t xml:space="preserve">
</t>
    </r>
    <r>
      <rPr>
        <sz val="11"/>
        <color rgb="FF000000"/>
        <rFont val="Calibri"/>
      </rPr>
      <t>If "client_encoding" is not set to "UTF8", this is a finding.</t>
    </r>
  </si>
  <si>
    <t>V-88297</t>
  </si>
  <si>
    <r>
      <rPr>
        <sz val="11"/>
        <rFont val="Calibri"/>
      </rPr>
      <t>Security-relevant software updates to the vROps PostgreSQL DB must be installed within the time period directed by an authoritative source (e.g. IAVM, CTOs, DTMs, and STIGs).</t>
    </r>
  </si>
  <si>
    <r>
      <rPr>
        <sz val="11"/>
        <color rgb="FF000000"/>
        <rFont val="Calibri"/>
      </rPr>
      <t>Verify that patches and updates from an authoritative source are applied at least within 24 hours after they have been received and has been documented in the supporting documentation.</t>
    </r>
  </si>
  <si>
    <r>
      <rPr>
        <sz val="11"/>
        <color rgb="FF000000"/>
        <rFont val="Calibri"/>
      </rPr>
      <t xml:space="preserve">Security flaws with software applications, including database management systems, are discovered daily. Vendors are constantly updating and patching their products to address newly discovered security vulnerabilities. Organizations (including any contractor to the organization) are required to promptly install security-relevant software updates (e.g., patches, service packs, and hot fixes). Flaws discovered during security assessments, continuous monitoring, incident response activities, or information system error handling must also be addressed expeditiously. </t>
    </r>
    <r>
      <rPr>
        <sz val="11"/>
        <color rgb="FF000000"/>
        <rFont val="Calibri"/>
      </rPr>
      <t xml:space="preserve">
</t>
    </r>
    <r>
      <rPr>
        <sz val="11"/>
        <color rgb="FF000000"/>
        <rFont val="Calibri"/>
      </rPr>
      <t xml:space="preserve">Organization-defined time periods for updating security-relevant software may vary based on a variety of factors including, for example, the security category of the information system or the criticality of the update (i.e., severity of the vulnerability related to the discovered flaw). </t>
    </r>
    <r>
      <rPr>
        <sz val="11"/>
        <color rgb="FF000000"/>
        <rFont val="Calibri"/>
      </rPr>
      <t xml:space="preserve">
</t>
    </r>
    <r>
      <rPr>
        <sz val="11"/>
        <color rgb="FF000000"/>
        <rFont val="Calibri"/>
      </rPr>
      <t>This requirement will apply to software patch management solutions that are used to install patches across the enclave and also to applications themselves that are not part of that patch management solution. For example, many browsers today provide the capability to install their own patch software. Patch criticality, as well as system criticality, will vary. Therefore, the tactical situations regarding the patch management process will also vary. This means that the time period utilized must be a configurable parameter. Time frames for application of security-relevant software updates may be dependent upon the Information Assurance Vulnerability Management (IAVM) process.</t>
    </r>
    <r>
      <rPr>
        <sz val="11"/>
        <color rgb="FF000000"/>
        <rFont val="Calibri"/>
      </rPr>
      <t xml:space="preserve">
</t>
    </r>
    <r>
      <rPr>
        <sz val="11"/>
        <color rgb="FF000000"/>
        <rFont val="Calibri"/>
      </rPr>
      <t>The application will be configured to check for and install security-relevant software updates within an identified time period from the availability of the update. The specific time period will be defined by an authoritative source (e.g. IAVM, CTOs, DTMs, and STIGs).</t>
    </r>
  </si>
  <si>
    <r>
      <rPr>
        <sz val="11"/>
        <color rgb="FF000000"/>
        <rFont val="Calibri"/>
      </rPr>
      <t>Obtain supporting documentation from the ISSO.</t>
    </r>
    <r>
      <rPr>
        <sz val="11"/>
        <color rgb="FF000000"/>
        <rFont val="Calibri"/>
      </rPr>
      <t xml:space="preserve">
</t>
    </r>
    <r>
      <rPr>
        <sz val="11"/>
        <color rgb="FF000000"/>
        <rFont val="Calibri"/>
      </rPr>
      <t>Review the policies and procedures used to ensure that all security-related upgrades are being installed within the configured time period directed by an authoritative source.</t>
    </r>
    <r>
      <rPr>
        <sz val="11"/>
        <color rgb="FF000000"/>
        <rFont val="Calibri"/>
      </rPr>
      <t xml:space="preserve">
</t>
    </r>
    <r>
      <rPr>
        <sz val="11"/>
        <color rgb="FF000000"/>
        <rFont val="Calibri"/>
      </rPr>
      <t>If all security-related upgrades are not being installed within the configured time period directed by an authoritative source, this is a finding.</t>
    </r>
  </si>
  <si>
    <t>V-88299</t>
  </si>
  <si>
    <r>
      <rPr>
        <sz val="11"/>
        <rFont val="Calibri"/>
      </rPr>
      <t>The vROps PostgreSQL DB must be able to generate audit records when security objects are accessed.</t>
    </r>
  </si>
  <si>
    <r>
      <rPr>
        <sz val="11"/>
        <color rgb="FF000000"/>
        <rFont val="Calibri"/>
      </rPr>
      <t>Changes to the security configuration must be tracked.</t>
    </r>
    <r>
      <rPr>
        <sz val="11"/>
        <color rgb="FF000000"/>
        <rFont val="Calibri"/>
      </rPr>
      <t xml:space="preserve">
</t>
    </r>
    <r>
      <rPr>
        <sz val="11"/>
        <color rgb="FF000000"/>
        <rFont val="Calibri"/>
      </rPr>
      <t>This requirement applies to situations where security data is retrieved or modified via data manipulation operations, as opposed to via specialized security functionality.</t>
    </r>
    <r>
      <rPr>
        <sz val="11"/>
        <color rgb="FF000000"/>
        <rFont val="Calibri"/>
      </rPr>
      <t xml:space="preserve">
</t>
    </r>
    <r>
      <rPr>
        <sz val="11"/>
        <color rgb="FF000000"/>
        <rFont val="Calibri"/>
      </rPr>
      <t>In an SQL environment, types of access include, but are not necessarily limited to:</t>
    </r>
    <r>
      <rPr>
        <sz val="11"/>
        <color rgb="FF000000"/>
        <rFont val="Calibri"/>
      </rPr>
      <t xml:space="preserve">
</t>
    </r>
    <r>
      <rPr>
        <sz val="11"/>
        <color rgb="FF000000"/>
        <rFont val="Calibri"/>
      </rPr>
      <t>SELECT</t>
    </r>
    <r>
      <rPr>
        <sz val="11"/>
        <color rgb="FF000000"/>
        <rFont val="Calibri"/>
      </rPr>
      <t xml:space="preserve">
</t>
    </r>
    <r>
      <rPr>
        <sz val="11"/>
        <color rgb="FF000000"/>
        <rFont val="Calibri"/>
      </rPr>
      <t>INSERT</t>
    </r>
    <r>
      <rPr>
        <sz val="11"/>
        <color rgb="FF000000"/>
        <rFont val="Calibri"/>
      </rPr>
      <t xml:space="preserve">
</t>
    </r>
    <r>
      <rPr>
        <sz val="11"/>
        <color rgb="FF000000"/>
        <rFont val="Calibri"/>
      </rPr>
      <t>UPDATE</t>
    </r>
    <r>
      <rPr>
        <sz val="11"/>
        <color rgb="FF000000"/>
        <rFont val="Calibri"/>
      </rPr>
      <t xml:space="preserve">
</t>
    </r>
    <r>
      <rPr>
        <sz val="11"/>
        <color rgb="FF000000"/>
        <rFont val="Calibri"/>
      </rPr>
      <t>DELETE</t>
    </r>
    <r>
      <rPr>
        <sz val="11"/>
        <color rgb="FF000000"/>
        <rFont val="Calibri"/>
      </rPr>
      <t xml:space="preserve">
</t>
    </r>
    <r>
      <rPr>
        <sz val="11"/>
        <color rgb="FF000000"/>
        <rFont val="Calibri"/>
      </rPr>
      <t>EXECUTE</t>
    </r>
  </si>
  <si>
    <r>
      <rPr>
        <sz val="11"/>
        <color rgb="FF000000"/>
        <rFont val="Calibri"/>
      </rPr>
      <t>At the command prompt, execute the following command:</t>
    </r>
    <r>
      <rPr>
        <sz val="11"/>
        <color rgb="FF000000"/>
        <rFont val="Calibri"/>
      </rPr>
      <t xml:space="preserve">
</t>
    </r>
    <r>
      <rPr>
        <sz val="11"/>
        <color rgb="FF000000"/>
        <rFont val="Calibri"/>
      </rPr>
      <t># grep '^\s*log_statement\b' /storage/db/vcops/vpostgres/data/postgresql.conf</t>
    </r>
    <r>
      <rPr>
        <sz val="11"/>
        <color rgb="FF000000"/>
        <rFont val="Calibri"/>
      </rPr>
      <t xml:space="preserve">
</t>
    </r>
    <r>
      <rPr>
        <sz val="11"/>
        <color rgb="FF000000"/>
        <rFont val="Calibri"/>
      </rPr>
      <t>If "log_statement" is not set to "all", this is a finding.</t>
    </r>
  </si>
  <si>
    <t>V-88301</t>
  </si>
  <si>
    <r>
      <rPr>
        <sz val="11"/>
        <rFont val="Calibri"/>
      </rPr>
      <t>The vROps PostgreSQL DB must generate audit records when unsuccessful attempts to access security objects occur.</t>
    </r>
  </si>
  <si>
    <r>
      <rPr>
        <sz val="11"/>
        <color rgb="FF000000"/>
        <rFont val="Calibri"/>
      </rPr>
      <t>Changes to the security configuration must be tracked.</t>
    </r>
    <r>
      <rPr>
        <sz val="11"/>
        <color rgb="FF000000"/>
        <rFont val="Calibri"/>
      </rPr>
      <t xml:space="preserve">
</t>
    </r>
    <r>
      <rPr>
        <sz val="11"/>
        <color rgb="FF000000"/>
        <rFont val="Calibri"/>
      </rPr>
      <t>This requirement applies to situations where security data is retrieved or modified via data manipulation operations, as opposed to via specialized security functionality.</t>
    </r>
    <r>
      <rPr>
        <sz val="11"/>
        <color rgb="FF000000"/>
        <rFont val="Calibri"/>
      </rPr>
      <t xml:space="preserve">
</t>
    </r>
    <r>
      <rPr>
        <sz val="11"/>
        <color rgb="FF000000"/>
        <rFont val="Calibri"/>
      </rPr>
      <t>In an SQL environment, types of access include, but are not necessarily limited to:</t>
    </r>
    <r>
      <rPr>
        <sz val="11"/>
        <color rgb="FF000000"/>
        <rFont val="Calibri"/>
      </rPr>
      <t xml:space="preserve">
</t>
    </r>
    <r>
      <rPr>
        <sz val="11"/>
        <color rgb="FF000000"/>
        <rFont val="Calibri"/>
      </rPr>
      <t>SELECT</t>
    </r>
    <r>
      <rPr>
        <sz val="11"/>
        <color rgb="FF000000"/>
        <rFont val="Calibri"/>
      </rPr>
      <t xml:space="preserve">
</t>
    </r>
    <r>
      <rPr>
        <sz val="11"/>
        <color rgb="FF000000"/>
        <rFont val="Calibri"/>
      </rPr>
      <t>INSERT</t>
    </r>
    <r>
      <rPr>
        <sz val="11"/>
        <color rgb="FF000000"/>
        <rFont val="Calibri"/>
      </rPr>
      <t xml:space="preserve">
</t>
    </r>
    <r>
      <rPr>
        <sz val="11"/>
        <color rgb="FF000000"/>
        <rFont val="Calibri"/>
      </rPr>
      <t>UPDATE</t>
    </r>
    <r>
      <rPr>
        <sz val="11"/>
        <color rgb="FF000000"/>
        <rFont val="Calibri"/>
      </rPr>
      <t xml:space="preserve">
</t>
    </r>
    <r>
      <rPr>
        <sz val="11"/>
        <color rgb="FF000000"/>
        <rFont val="Calibri"/>
      </rPr>
      <t>DELETE</t>
    </r>
    <r>
      <rPr>
        <sz val="11"/>
        <color rgb="FF000000"/>
        <rFont val="Calibri"/>
      </rPr>
      <t xml:space="preserve">
</t>
    </r>
    <r>
      <rPr>
        <sz val="11"/>
        <color rgb="FF000000"/>
        <rFont val="Calibri"/>
      </rPr>
      <t>EXECUTE</t>
    </r>
    <r>
      <rPr>
        <sz val="11"/>
        <color rgb="FF000000"/>
        <rFont val="Calibri"/>
      </rPr>
      <t xml:space="preserve">
</t>
    </r>
    <r>
      <rPr>
        <sz val="11"/>
        <color rgb="FF000000"/>
        <rFont val="Calibri"/>
      </rPr>
      <t>To aid in diagnosis, it is necessary to keep track of failed attempts in addition to the successful ones.</t>
    </r>
  </si>
  <si>
    <t>V-88303</t>
  </si>
  <si>
    <r>
      <rPr>
        <sz val="11"/>
        <rFont val="Calibri"/>
      </rPr>
      <t>The vROps PostgreSQL DB must generate audit records when privileges/permissions are added.</t>
    </r>
  </si>
  <si>
    <r>
      <rPr>
        <sz val="11"/>
        <color rgb="FF000000"/>
        <rFont val="Calibri"/>
      </rPr>
      <t>Changes in the permissions, privileges, and roles granted to users and roles must be tracked. Without an audit trail, unauthorized elevation or restriction of individuals' and groups' privileges could go undetected. Elevated privileges give users access to information and functionality that they should not have; restricted privileges wrongly deny access to authorized users.</t>
    </r>
    <r>
      <rPr>
        <sz val="11"/>
        <color rgb="FF000000"/>
        <rFont val="Calibri"/>
      </rPr>
      <t xml:space="preserve">
</t>
    </r>
    <r>
      <rPr>
        <sz val="11"/>
        <color rgb="FF000000"/>
        <rFont val="Calibri"/>
      </rPr>
      <t>In an SQL environment, adding permissions is typically done via the GRANT command, or, in the negative, the DENY command.</t>
    </r>
  </si>
  <si>
    <t>V-88305</t>
  </si>
  <si>
    <r>
      <rPr>
        <sz val="11"/>
        <rFont val="Calibri"/>
      </rPr>
      <t>The vROps PostgreSQL DB must generate audit records when unsuccessful attempts to add privileges/permissions occur.</t>
    </r>
  </si>
  <si>
    <r>
      <rPr>
        <sz val="11"/>
        <color rgb="FF000000"/>
        <rFont val="Calibri"/>
      </rPr>
      <t xml:space="preserve">Failed attempts to change the permissions, privileges, and roles granted to users and roles must be tracked. Without an audit trail, unauthorized attempts to elevate or restrict individuals' and groups' privileges could go undetected. </t>
    </r>
    <r>
      <rPr>
        <sz val="11"/>
        <color rgb="FF000000"/>
        <rFont val="Calibri"/>
      </rPr>
      <t xml:space="preserve">
</t>
    </r>
    <r>
      <rPr>
        <sz val="11"/>
        <color rgb="FF000000"/>
        <rFont val="Calibri"/>
      </rPr>
      <t xml:space="preserve">In an SQL environment, adding permissions is typically done via the GRANT command, or, in the negative, the DENY command. </t>
    </r>
    <r>
      <rPr>
        <sz val="11"/>
        <color rgb="FF000000"/>
        <rFont val="Calibri"/>
      </rPr>
      <t xml:space="preserve">
</t>
    </r>
    <r>
      <rPr>
        <sz val="11"/>
        <color rgb="FF000000"/>
        <rFont val="Calibri"/>
      </rPr>
      <t>To aid in diagnosis, it is necessary to keep track of failed attempts in addition to the successful ones.</t>
    </r>
  </si>
  <si>
    <t>V-88307</t>
  </si>
  <si>
    <r>
      <rPr>
        <sz val="11"/>
        <rFont val="Calibri"/>
      </rPr>
      <t>The vROps PostgreSQL DB must generate audit records when privileges/permissions are modified.</t>
    </r>
  </si>
  <si>
    <r>
      <rPr>
        <sz val="11"/>
        <color rgb="FF000000"/>
        <rFont val="Calibri"/>
      </rPr>
      <t>Changes in the permissions, privileges, and roles granted to users and roles must be tracked. Without an audit trail, unauthorized elevation or restriction of individuals' and groups' privileges could go undetected. Elevated privileges give users access to information and functionality that they should not have; restricted privileges wrongly deny access to authorized users.</t>
    </r>
    <r>
      <rPr>
        <sz val="11"/>
        <color rgb="FF000000"/>
        <rFont val="Calibri"/>
      </rPr>
      <t xml:space="preserve">
</t>
    </r>
    <r>
      <rPr>
        <sz val="11"/>
        <color rgb="FF000000"/>
        <rFont val="Calibri"/>
      </rPr>
      <t>In an SQL environment, modifying permissions is typically done via the GRANT, REVOKE, and DENY commands.</t>
    </r>
  </si>
  <si>
    <t>V-88309</t>
  </si>
  <si>
    <r>
      <rPr>
        <sz val="11"/>
        <rFont val="Calibri"/>
      </rPr>
      <t>The vROps PostgreSQL DB must generate audit records when unsuccessful attempts to modify privileges/permissions occur.</t>
    </r>
  </si>
  <si>
    <r>
      <rPr>
        <sz val="11"/>
        <color rgb="FF000000"/>
        <rFont val="Calibri"/>
      </rPr>
      <t xml:space="preserve">Failed attempts to change the permissions, privileges, and roles granted to users and roles must be tracked. Without an audit trail, unauthorized attempts to elevate or restrict individuals' and groups' privileges could go undetected. </t>
    </r>
    <r>
      <rPr>
        <sz val="11"/>
        <color rgb="FF000000"/>
        <rFont val="Calibri"/>
      </rPr>
      <t xml:space="preserve">
</t>
    </r>
    <r>
      <rPr>
        <sz val="11"/>
        <color rgb="FF000000"/>
        <rFont val="Calibri"/>
      </rPr>
      <t xml:space="preserve">In PostgreSQL environment, modifying permissions is typically done via the GRANT and REVOKE commands. </t>
    </r>
    <r>
      <rPr>
        <sz val="11"/>
        <color rgb="FF000000"/>
        <rFont val="Calibri"/>
      </rPr>
      <t xml:space="preserve">
</t>
    </r>
    <r>
      <rPr>
        <sz val="11"/>
        <color rgb="FF000000"/>
        <rFont val="Calibri"/>
      </rPr>
      <t>To aid in diagnosis, it is necessary to keep track of failed attempts in addition to the successful ones.</t>
    </r>
  </si>
  <si>
    <t>V-88311</t>
  </si>
  <si>
    <r>
      <rPr>
        <sz val="11"/>
        <rFont val="Calibri"/>
      </rPr>
      <t>The vROps PostgreSQL DB must generate audit records when security objects are modified.</t>
    </r>
  </si>
  <si>
    <r>
      <rPr>
        <sz val="11"/>
        <color rgb="FF000000"/>
        <rFont val="Calibri"/>
      </rPr>
      <t>Changes in the database objects (tables, views, procedures, functions) that record and control permissions, privileges, and roles granted to users and roles must be tracked. Without an audit trail, unauthorized changes to the security subsystem could go undetected. The database could be severely compromised or rendered inoperative.</t>
    </r>
  </si>
  <si>
    <t>V-88313</t>
  </si>
  <si>
    <r>
      <rPr>
        <sz val="11"/>
        <rFont val="Calibri"/>
      </rPr>
      <t>The vROps PostgreSQL DB must generate audit records when unsuccessful attempts to modify security objects occur.</t>
    </r>
  </si>
  <si>
    <r>
      <rPr>
        <sz val="11"/>
        <color rgb="FF000000"/>
        <rFont val="Calibri"/>
      </rPr>
      <t>Changes in the database objects (tables, views, procedures, functions) that record and control permissions, privileges, and roles granted to users and roles must be tracked. Without an audit trail, unauthorized changes to the security subsystem could go undetected. The database could be severely compromised or rendered inoperative.</t>
    </r>
    <r>
      <rPr>
        <sz val="11"/>
        <color rgb="FF000000"/>
        <rFont val="Calibri"/>
      </rPr>
      <t xml:space="preserve">
</t>
    </r>
    <r>
      <rPr>
        <sz val="11"/>
        <color rgb="FF000000"/>
        <rFont val="Calibri"/>
      </rPr>
      <t>To aid in diagnosis, it is necessary to keep track of failed attempts in addition to the successful ones.</t>
    </r>
  </si>
  <si>
    <t>V-88315</t>
  </si>
  <si>
    <r>
      <rPr>
        <sz val="11"/>
        <rFont val="Calibri"/>
      </rPr>
      <t>The vROps PostgreSQL DB must generate audit records when privileges/permissions are deleted.</t>
    </r>
  </si>
  <si>
    <r>
      <rPr>
        <sz val="11"/>
        <color rgb="FF000000"/>
        <rFont val="Calibri"/>
      </rPr>
      <t>Changes in the permissions, privileges, and roles granted to users and roles must be tracked. Without an audit trail, unauthorized elevation or restriction of individuals' and groups' privileges could go undetected. Elevated privileges give users access to information and functionality that they should not have; restricted privileges wrongly deny access to authorized users.</t>
    </r>
    <r>
      <rPr>
        <sz val="11"/>
        <color rgb="FF000000"/>
        <rFont val="Calibri"/>
      </rPr>
      <t xml:space="preserve">
</t>
    </r>
    <r>
      <rPr>
        <sz val="11"/>
        <color rgb="FF000000"/>
        <rFont val="Calibri"/>
      </rPr>
      <t>In an SQL environment, deleting permissions is typically done via the REVOKE or DENY command.</t>
    </r>
  </si>
  <si>
    <t>V-88317</t>
  </si>
  <si>
    <r>
      <rPr>
        <sz val="11"/>
        <rFont val="Calibri"/>
      </rPr>
      <t>The vROps PostgreSQL DB must generate audit records when unsuccessful attempts to delete privileges/permissions occur.</t>
    </r>
  </si>
  <si>
    <r>
      <rPr>
        <sz val="11"/>
        <color rgb="FF000000"/>
        <rFont val="Calibri"/>
      </rPr>
      <t xml:space="preserve">Failed attempts to change the permissions, privileges, and roles granted to users and roles must be tracked. Without an audit trail, unauthorized attempts to elevate or restrict individuals' and groups' privileges could go undetected. </t>
    </r>
    <r>
      <rPr>
        <sz val="11"/>
        <color rgb="FF000000"/>
        <rFont val="Calibri"/>
      </rPr>
      <t xml:space="preserve">
</t>
    </r>
    <r>
      <rPr>
        <sz val="11"/>
        <color rgb="FF000000"/>
        <rFont val="Calibri"/>
      </rPr>
      <t xml:space="preserve">In an SQL environment, deleting permissions is typically done via the REVOKE or DENY command. </t>
    </r>
    <r>
      <rPr>
        <sz val="11"/>
        <color rgb="FF000000"/>
        <rFont val="Calibri"/>
      </rPr>
      <t xml:space="preserve">
</t>
    </r>
    <r>
      <rPr>
        <sz val="11"/>
        <color rgb="FF000000"/>
        <rFont val="Calibri"/>
      </rPr>
      <t>To aid in diagnosis, it is necessary to keep track of failed attempts in addition to the successful ones.</t>
    </r>
  </si>
  <si>
    <t>V-88319</t>
  </si>
  <si>
    <r>
      <rPr>
        <sz val="11"/>
        <rFont val="Calibri"/>
      </rPr>
      <t>The vROps PostgreSQL DB must generate audit records when security objects are deleted.</t>
    </r>
  </si>
  <si>
    <r>
      <rPr>
        <sz val="11"/>
        <color rgb="FF000000"/>
        <rFont val="Calibri"/>
      </rPr>
      <t>The removal of security objects from the database/DBMS would seriously degrade a system's information assurance posture. If such an event occurs, it must be logged.</t>
    </r>
  </si>
  <si>
    <t>V-88321</t>
  </si>
  <si>
    <r>
      <rPr>
        <sz val="11"/>
        <rFont val="Calibri"/>
      </rPr>
      <t>The vROps PostgreSQL DB must generate audit records when unsuccessful attempts to delete security objects occur.</t>
    </r>
  </si>
  <si>
    <r>
      <rPr>
        <sz val="11"/>
        <color rgb="FF000000"/>
        <rFont val="Calibri"/>
      </rPr>
      <t>The removal of security objects from the database/DBMS would seriously degrade a system's information assurance posture. If such an action is attempted, it must be logged.</t>
    </r>
    <r>
      <rPr>
        <sz val="11"/>
        <color rgb="FF000000"/>
        <rFont val="Calibri"/>
      </rPr>
      <t xml:space="preserve">
</t>
    </r>
    <r>
      <rPr>
        <sz val="11"/>
        <color rgb="FF000000"/>
        <rFont val="Calibri"/>
      </rPr>
      <t>To aid in diagnosis, it is necessary to keep track of failed attempts in addition to the successful ones.</t>
    </r>
  </si>
  <si>
    <t>V-88323</t>
  </si>
  <si>
    <r>
      <rPr>
        <sz val="11"/>
        <rFont val="Calibri"/>
      </rPr>
      <t>The vROps PostgreSQL DB must generate audit records when categories of information (e.g., classification levels/security levels) are deleted.</t>
    </r>
  </si>
  <si>
    <r>
      <rPr>
        <sz val="11"/>
        <color rgb="FF000000"/>
        <rFont val="Calibri"/>
      </rPr>
      <t>Changes in categories of information must be tracked. Without an audit trail, unauthorized access to protected data could go undetected.</t>
    </r>
    <r>
      <rPr>
        <sz val="11"/>
        <color rgb="FF000000"/>
        <rFont val="Calibri"/>
      </rPr>
      <t xml:space="preserve">
</t>
    </r>
    <r>
      <rPr>
        <sz val="11"/>
        <color rgb="FF000000"/>
        <rFont val="Calibri"/>
      </rPr>
      <t>For detailed information on categorizing information, refer to FIPS Publication 199, Standards for Security Categorization of Federal Information and Information Systems, and FIPS Publication 200, Minimum Security Requirements for Federal Information and Information Systems.</t>
    </r>
  </si>
  <si>
    <t>V-88325</t>
  </si>
  <si>
    <r>
      <rPr>
        <sz val="11"/>
        <rFont val="Calibri"/>
      </rPr>
      <t>The vROps PostgreSQL DB must generate audit records when successful logons or connections occur.</t>
    </r>
  </si>
  <si>
    <r>
      <rPr>
        <sz val="11"/>
        <color rgb="FF000000"/>
        <rFont val="Calibri"/>
      </rPr>
      <t>At the command prompt, execute the following commands:</t>
    </r>
    <r>
      <rPr>
        <sz val="11"/>
        <color rgb="FF000000"/>
        <rFont val="Calibri"/>
      </rPr>
      <t xml:space="preserve">
</t>
    </r>
    <r>
      <rPr>
        <sz val="11"/>
        <color rgb="FF000000"/>
        <rFont val="Calibri"/>
      </rPr>
      <t># /opt/vmware/vpostgres/current/bin/psql -U postgres -c "ALTER SYSTEM SET log_connections TO 'on';"</t>
    </r>
    <r>
      <rPr>
        <sz val="11"/>
        <color rgb="FF000000"/>
        <rFont val="Calibri"/>
      </rPr>
      <t xml:space="preserve">
</t>
    </r>
    <r>
      <rPr>
        <sz val="11"/>
        <color rgb="FF000000"/>
        <rFont val="Calibri"/>
      </rPr>
      <t># /opt/vmware/vpostgres/current/bin/psql -U postgres -c "SELECT pg_reload_conf();"</t>
    </r>
  </si>
  <si>
    <r>
      <rPr>
        <sz val="11"/>
        <color rgb="FF000000"/>
        <rFont val="Calibri"/>
      </rPr>
      <t>For completeness of forensic analysis, it is necessary to track who/what (a user or other principal) logs on to the DBMS.</t>
    </r>
  </si>
  <si>
    <r>
      <rPr>
        <sz val="11"/>
        <color rgb="FF000000"/>
        <rFont val="Calibri"/>
      </rPr>
      <t>At the command prompt, execute the following command:</t>
    </r>
    <r>
      <rPr>
        <sz val="11"/>
        <color rgb="FF000000"/>
        <rFont val="Calibri"/>
      </rPr>
      <t xml:space="preserve">
</t>
    </r>
    <r>
      <rPr>
        <sz val="11"/>
        <color rgb="FF000000"/>
        <rFont val="Calibri"/>
      </rPr>
      <t># grep '^\s*log_connections\b' /storage/db/vcops/vpostgres/data/postgresql.conf</t>
    </r>
    <r>
      <rPr>
        <sz val="11"/>
        <color rgb="FF000000"/>
        <rFont val="Calibri"/>
      </rPr>
      <t xml:space="preserve">
</t>
    </r>
    <r>
      <rPr>
        <sz val="11"/>
        <color rgb="FF000000"/>
        <rFont val="Calibri"/>
      </rPr>
      <t>If "log_connections" is not set to "on", this is a finding.</t>
    </r>
  </si>
  <si>
    <t>V-88327</t>
  </si>
  <si>
    <r>
      <rPr>
        <sz val="11"/>
        <rFont val="Calibri"/>
      </rPr>
      <t>The vROps PostgreSQL DB must generate audit records when unsuccessful logons or connection attempts occur.</t>
    </r>
  </si>
  <si>
    <r>
      <rPr>
        <sz val="11"/>
        <color rgb="FF000000"/>
        <rFont val="Calibri"/>
      </rPr>
      <t>At the command prompt, execute the following commands:</t>
    </r>
    <r>
      <rPr>
        <sz val="11"/>
        <color rgb="FF000000"/>
        <rFont val="Calibri"/>
      </rPr>
      <t xml:space="preserve">
</t>
    </r>
    <r>
      <rPr>
        <sz val="11"/>
        <color rgb="FF000000"/>
        <rFont val="Calibri"/>
      </rPr>
      <t># /opt/vmware/vpostgres/current/bin/psql -U postgres -c "ALTER SYSTEM SET log_min_messages TO 'warning';"</t>
    </r>
    <r>
      <rPr>
        <sz val="11"/>
        <color rgb="FF000000"/>
        <rFont val="Calibri"/>
      </rPr>
      <t xml:space="preserve">
</t>
    </r>
    <r>
      <rPr>
        <sz val="11"/>
        <color rgb="FF000000"/>
        <rFont val="Calibri"/>
      </rPr>
      <t># /opt/vmware/vpostgres/current/bin/psql -U postgres -c "SELECT pg_reload_conf();"</t>
    </r>
  </si>
  <si>
    <r>
      <rPr>
        <sz val="11"/>
        <color rgb="FF000000"/>
        <rFont val="Calibri"/>
      </rPr>
      <t>For completeness of forensic analysis, it is necessary to track failed attempts to log on to the DBMS. While positive identification may not be possible in a case of failed authentication, as much information as possible about the incident must be captured.</t>
    </r>
  </si>
  <si>
    <r>
      <rPr>
        <sz val="11"/>
        <color rgb="FF000000"/>
        <rFont val="Calibri"/>
      </rPr>
      <t>At the command prompt, execute the following command:</t>
    </r>
    <r>
      <rPr>
        <sz val="11"/>
        <color rgb="FF000000"/>
        <rFont val="Calibri"/>
      </rPr>
      <t xml:space="preserve">
</t>
    </r>
    <r>
      <rPr>
        <sz val="11"/>
        <color rgb="FF000000"/>
        <rFont val="Calibri"/>
      </rPr>
      <t># grep '^\s*log_min_messages\b' /storage/db/vcops/vpostgres/data/postgresql.conf</t>
    </r>
    <r>
      <rPr>
        <sz val="11"/>
        <color rgb="FF000000"/>
        <rFont val="Calibri"/>
      </rPr>
      <t xml:space="preserve">
</t>
    </r>
    <r>
      <rPr>
        <sz val="11"/>
        <color rgb="FF000000"/>
        <rFont val="Calibri"/>
      </rPr>
      <t>If "log_min_messages" is not set to "warning", this is a finding.</t>
    </r>
  </si>
  <si>
    <t>V-88329</t>
  </si>
  <si>
    <r>
      <rPr>
        <sz val="11"/>
        <rFont val="Calibri"/>
      </rPr>
      <t>The vROps PostgreSQL DB must generate audit records for all privileged activities or other system-level access.</t>
    </r>
  </si>
  <si>
    <r>
      <rPr>
        <sz val="11"/>
        <color rgb="FF000000"/>
        <rFont val="Calibri"/>
      </rPr>
      <t xml:space="preserve">Without tracking privileged activity, it would be difficult to establish, correlate, and investigate the events relating to an incident or identify those responsible for one. </t>
    </r>
    <r>
      <rPr>
        <sz val="11"/>
        <color rgb="FF000000"/>
        <rFont val="Calibri"/>
      </rPr>
      <t xml:space="preserve">
</t>
    </r>
    <r>
      <rPr>
        <sz val="11"/>
        <color rgb="FF000000"/>
        <rFont val="Calibri"/>
      </rPr>
      <t>System documentation should include a definition of the functionality considered privileged.</t>
    </r>
    <r>
      <rPr>
        <sz val="11"/>
        <color rgb="FF000000"/>
        <rFont val="Calibri"/>
      </rPr>
      <t xml:space="preserve">
</t>
    </r>
    <r>
      <rPr>
        <sz val="11"/>
        <color rgb="FF000000"/>
        <rFont val="Calibri"/>
      </rPr>
      <t>A privileged function in this context is any operation that modifies the structure of the database, its built-in logic, or its security settings. This would include all Data Definition Language (DDL) statements and all security-related statements. In an SQL environment, it encompasses, but is not necessarily limited to:</t>
    </r>
    <r>
      <rPr>
        <sz val="11"/>
        <color rgb="FF000000"/>
        <rFont val="Calibri"/>
      </rPr>
      <t xml:space="preserve">
</t>
    </r>
    <r>
      <rPr>
        <sz val="11"/>
        <color rgb="FF000000"/>
        <rFont val="Calibri"/>
      </rPr>
      <t>CREATE</t>
    </r>
    <r>
      <rPr>
        <sz val="11"/>
        <color rgb="FF000000"/>
        <rFont val="Calibri"/>
      </rPr>
      <t xml:space="preserve">
</t>
    </r>
    <r>
      <rPr>
        <sz val="11"/>
        <color rgb="FF000000"/>
        <rFont val="Calibri"/>
      </rPr>
      <t>ALTER</t>
    </r>
    <r>
      <rPr>
        <sz val="11"/>
        <color rgb="FF000000"/>
        <rFont val="Calibri"/>
      </rPr>
      <t xml:space="preserve">
</t>
    </r>
    <r>
      <rPr>
        <sz val="11"/>
        <color rgb="FF000000"/>
        <rFont val="Calibri"/>
      </rPr>
      <t>DROP</t>
    </r>
    <r>
      <rPr>
        <sz val="11"/>
        <color rgb="FF000000"/>
        <rFont val="Calibri"/>
      </rPr>
      <t xml:space="preserve">
</t>
    </r>
    <r>
      <rPr>
        <sz val="11"/>
        <color rgb="FF000000"/>
        <rFont val="Calibri"/>
      </rPr>
      <t>GRANT</t>
    </r>
    <r>
      <rPr>
        <sz val="11"/>
        <color rgb="FF000000"/>
        <rFont val="Calibri"/>
      </rPr>
      <t xml:space="preserve">
</t>
    </r>
    <r>
      <rPr>
        <sz val="11"/>
        <color rgb="FF000000"/>
        <rFont val="Calibri"/>
      </rPr>
      <t>REVOKE</t>
    </r>
    <r>
      <rPr>
        <sz val="11"/>
        <color rgb="FF000000"/>
        <rFont val="Calibri"/>
      </rPr>
      <t xml:space="preserve">
</t>
    </r>
    <r>
      <rPr>
        <sz val="11"/>
        <color rgb="FF000000"/>
        <rFont val="Calibri"/>
      </rPr>
      <t>DENY</t>
    </r>
    <r>
      <rPr>
        <sz val="11"/>
        <color rgb="FF000000"/>
        <rFont val="Calibri"/>
      </rPr>
      <t xml:space="preserve">
</t>
    </r>
    <r>
      <rPr>
        <sz val="11"/>
        <color rgb="FF000000"/>
        <rFont val="Calibri"/>
      </rPr>
      <t>There may also be Data Manipulation Language (DML) statements that, subject to context, should be regarded as privileged. Possible examples in SQL include:</t>
    </r>
    <r>
      <rPr>
        <sz val="11"/>
        <color rgb="FF000000"/>
        <rFont val="Calibri"/>
      </rPr>
      <t xml:space="preserve">
</t>
    </r>
    <r>
      <rPr>
        <sz val="11"/>
        <color rgb="FF000000"/>
        <rFont val="Calibri"/>
      </rPr>
      <t>TRUNCATE TABLE;</t>
    </r>
    <r>
      <rPr>
        <sz val="11"/>
        <color rgb="FF000000"/>
        <rFont val="Calibri"/>
      </rPr>
      <t xml:space="preserve">
</t>
    </r>
    <r>
      <rPr>
        <sz val="11"/>
        <color rgb="FF000000"/>
        <rFont val="Calibri"/>
      </rPr>
      <t>DELETE, or</t>
    </r>
    <r>
      <rPr>
        <sz val="11"/>
        <color rgb="FF000000"/>
        <rFont val="Calibri"/>
      </rPr>
      <t xml:space="preserve">
</t>
    </r>
    <r>
      <rPr>
        <sz val="11"/>
        <color rgb="FF000000"/>
        <rFont val="Calibri"/>
      </rPr>
      <t>DELETE affecting more than n rows, for some n, or</t>
    </r>
    <r>
      <rPr>
        <sz val="11"/>
        <color rgb="FF000000"/>
        <rFont val="Calibri"/>
      </rPr>
      <t xml:space="preserve">
</t>
    </r>
    <r>
      <rPr>
        <sz val="11"/>
        <color rgb="FF000000"/>
        <rFont val="Calibri"/>
      </rPr>
      <t>DELETE without a WHERE clause;</t>
    </r>
    <r>
      <rPr>
        <sz val="11"/>
        <color rgb="FF000000"/>
        <rFont val="Calibri"/>
      </rPr>
      <t xml:space="preserve">
</t>
    </r>
    <r>
      <rPr>
        <sz val="11"/>
        <color rgb="FF000000"/>
        <rFont val="Calibri"/>
      </rPr>
      <t>UPDATE or</t>
    </r>
    <r>
      <rPr>
        <sz val="11"/>
        <color rgb="FF000000"/>
        <rFont val="Calibri"/>
      </rPr>
      <t xml:space="preserve">
</t>
    </r>
    <r>
      <rPr>
        <sz val="11"/>
        <color rgb="FF000000"/>
        <rFont val="Calibri"/>
      </rPr>
      <t>UPDATE affecting more than n rows, for some n, or</t>
    </r>
    <r>
      <rPr>
        <sz val="11"/>
        <color rgb="FF000000"/>
        <rFont val="Calibri"/>
      </rPr>
      <t xml:space="preserve">
</t>
    </r>
    <r>
      <rPr>
        <sz val="11"/>
        <color rgb="FF000000"/>
        <rFont val="Calibri"/>
      </rPr>
      <t>UPDATE without a WHERE clause;</t>
    </r>
    <r>
      <rPr>
        <sz val="11"/>
        <color rgb="FF000000"/>
        <rFont val="Calibri"/>
      </rPr>
      <t xml:space="preserve">
</t>
    </r>
    <r>
      <rPr>
        <sz val="11"/>
        <color rgb="FF000000"/>
        <rFont val="Calibri"/>
      </rPr>
      <t>any SELECT, INSERT, UPDATE, or DELETE to an application-defined security table executed by other than a security principal.</t>
    </r>
    <r>
      <rPr>
        <sz val="11"/>
        <color rgb="FF000000"/>
        <rFont val="Calibri"/>
      </rPr>
      <t xml:space="preserve">
</t>
    </r>
    <r>
      <rPr>
        <sz val="11"/>
        <color rgb="FF000000"/>
        <rFont val="Calibri"/>
      </rPr>
      <t>Depending on the capabilities of the DBMS and the design of the database and associated applications, audit logging may be achieved by means of DBMS auditing features, database triggers, other mechanisms, or a combination of these.</t>
    </r>
    <r>
      <rPr>
        <sz val="11"/>
        <color rgb="FF000000"/>
        <rFont val="Calibri"/>
      </rPr>
      <t xml:space="preserve">
</t>
    </r>
    <r>
      <rPr>
        <sz val="11"/>
        <color rgb="FF000000"/>
        <rFont val="Calibri"/>
      </rPr>
      <t>Note that it is particularly important to audit, and tightly control, any action that weakens the implementation of this requirement itself, since the objective is to have a complete audit trail of all administrative activity.</t>
    </r>
  </si>
  <si>
    <t>V-88331</t>
  </si>
  <si>
    <r>
      <rPr>
        <sz val="11"/>
        <rFont val="Calibri"/>
      </rPr>
      <t>The vROps PostgreSQL DB must generate audit records when unsuccessful attempts to execute privileged activities or other system-level access occur.</t>
    </r>
  </si>
  <si>
    <r>
      <rPr>
        <sz val="11"/>
        <color rgb="FF000000"/>
        <rFont val="Calibri"/>
      </rPr>
      <t xml:space="preserve">Without tracking privileged activity, it would be difficult to establish, correlate, and investigate the events relating to an incident or identify those responsible for one. </t>
    </r>
    <r>
      <rPr>
        <sz val="11"/>
        <color rgb="FF000000"/>
        <rFont val="Calibri"/>
      </rPr>
      <t xml:space="preserve">
</t>
    </r>
    <r>
      <rPr>
        <sz val="11"/>
        <color rgb="FF000000"/>
        <rFont val="Calibri"/>
      </rPr>
      <t>System documentation should include a definition of the functionality considered privileged.</t>
    </r>
    <r>
      <rPr>
        <sz val="11"/>
        <color rgb="FF000000"/>
        <rFont val="Calibri"/>
      </rPr>
      <t xml:space="preserve">
</t>
    </r>
    <r>
      <rPr>
        <sz val="11"/>
        <color rgb="FF000000"/>
        <rFont val="Calibri"/>
      </rPr>
      <t>A privileged function in this context is any operation that modifies the structure of the database, its built-in logic, or its security settings. This would include all Data Definition Language (DDL) statements and all security-related statements. In an SQL environment, it encompasses, but is not necessarily limited to:</t>
    </r>
    <r>
      <rPr>
        <sz val="11"/>
        <color rgb="FF000000"/>
        <rFont val="Calibri"/>
      </rPr>
      <t xml:space="preserve">
</t>
    </r>
    <r>
      <rPr>
        <sz val="11"/>
        <color rgb="FF000000"/>
        <rFont val="Calibri"/>
      </rPr>
      <t>CREATE</t>
    </r>
    <r>
      <rPr>
        <sz val="11"/>
        <color rgb="FF000000"/>
        <rFont val="Calibri"/>
      </rPr>
      <t xml:space="preserve">
</t>
    </r>
    <r>
      <rPr>
        <sz val="11"/>
        <color rgb="FF000000"/>
        <rFont val="Calibri"/>
      </rPr>
      <t>ALTER</t>
    </r>
    <r>
      <rPr>
        <sz val="11"/>
        <color rgb="FF000000"/>
        <rFont val="Calibri"/>
      </rPr>
      <t xml:space="preserve">
</t>
    </r>
    <r>
      <rPr>
        <sz val="11"/>
        <color rgb="FF000000"/>
        <rFont val="Calibri"/>
      </rPr>
      <t>DROP</t>
    </r>
    <r>
      <rPr>
        <sz val="11"/>
        <color rgb="FF000000"/>
        <rFont val="Calibri"/>
      </rPr>
      <t xml:space="preserve">
</t>
    </r>
    <r>
      <rPr>
        <sz val="11"/>
        <color rgb="FF000000"/>
        <rFont val="Calibri"/>
      </rPr>
      <t>GRANT</t>
    </r>
    <r>
      <rPr>
        <sz val="11"/>
        <color rgb="FF000000"/>
        <rFont val="Calibri"/>
      </rPr>
      <t xml:space="preserve">
</t>
    </r>
    <r>
      <rPr>
        <sz val="11"/>
        <color rgb="FF000000"/>
        <rFont val="Calibri"/>
      </rPr>
      <t>REVOKE</t>
    </r>
    <r>
      <rPr>
        <sz val="11"/>
        <color rgb="FF000000"/>
        <rFont val="Calibri"/>
      </rPr>
      <t xml:space="preserve">
</t>
    </r>
    <r>
      <rPr>
        <sz val="11"/>
        <color rgb="FF000000"/>
        <rFont val="Calibri"/>
      </rPr>
      <t>DENY</t>
    </r>
    <r>
      <rPr>
        <sz val="11"/>
        <color rgb="FF000000"/>
        <rFont val="Calibri"/>
      </rPr>
      <t xml:space="preserve">
</t>
    </r>
    <r>
      <rPr>
        <sz val="11"/>
        <color rgb="FF000000"/>
        <rFont val="Calibri"/>
      </rPr>
      <t>Note that it is particularly important to audit, and tightly control, any action that weakens the implementation of this requirement itself, since the objective is to have a complete audit trail of all administrative activity.</t>
    </r>
    <r>
      <rPr>
        <sz val="11"/>
        <color rgb="FF000000"/>
        <rFont val="Calibri"/>
      </rPr>
      <t xml:space="preserve">
</t>
    </r>
    <r>
      <rPr>
        <sz val="11"/>
        <color rgb="FF000000"/>
        <rFont val="Calibri"/>
      </rPr>
      <t>To aid in diagnosis, it is necessary to keep track of failed attempts in addition to the successful ones.</t>
    </r>
  </si>
  <si>
    <t>V-88333</t>
  </si>
  <si>
    <r>
      <rPr>
        <sz val="11"/>
        <rFont val="Calibri"/>
      </rPr>
      <t>The vROps PostgreSQL DB must generate audit records showing starting and ending time for user access to the database(s).</t>
    </r>
  </si>
  <si>
    <r>
      <rPr>
        <sz val="11"/>
        <color rgb="FF000000"/>
        <rFont val="Calibri"/>
      </rPr>
      <t xml:space="preserve">For completeness of forensic analysis, it is necessary to know how long a user's (or other principal's) connection to the DBMS lasts. This can be achieved by recording disconnections, in addition to logons/connections, in the audit logs. </t>
    </r>
    <r>
      <rPr>
        <sz val="11"/>
        <color rgb="FF000000"/>
        <rFont val="Calibri"/>
      </rPr>
      <t xml:space="preserve">
</t>
    </r>
    <r>
      <rPr>
        <sz val="11"/>
        <color rgb="FF000000"/>
        <rFont val="Calibri"/>
      </rPr>
      <t>Disconnection may be initiated by the user or forced by the system (as in a timeout) or result from a system or network failure. To the greatest extent possible, all disconnections must be logged.</t>
    </r>
  </si>
  <si>
    <t>V-88335</t>
  </si>
  <si>
    <r>
      <rPr>
        <sz val="11"/>
        <rFont val="Calibri"/>
      </rPr>
      <t>The vROps PostgreSQL DB must generate audit records when concurrent logons/connections by the same user from different workstations occur.</t>
    </r>
  </si>
  <si>
    <r>
      <rPr>
        <sz val="11"/>
        <color rgb="FF000000"/>
        <rFont val="Calibri"/>
      </rPr>
      <t>For completeness of forensic analysis, it is necessary to track who logs on to the DBMS.</t>
    </r>
    <r>
      <rPr>
        <sz val="11"/>
        <color rgb="FF000000"/>
        <rFont val="Calibri"/>
      </rPr>
      <t xml:space="preserve">
</t>
    </r>
    <r>
      <rPr>
        <sz val="11"/>
        <color rgb="FF000000"/>
        <rFont val="Calibri"/>
      </rPr>
      <t>Concurrent connections by the same user from multiple workstations may be valid use of the system; or such connections may be due to improper circumvention of the requirement to use the CAC for authentication; or they may indicate unauthorized account sharing; or they may be because an account has been compromised.</t>
    </r>
    <r>
      <rPr>
        <sz val="11"/>
        <color rgb="FF000000"/>
        <rFont val="Calibri"/>
      </rPr>
      <t xml:space="preserve">
</t>
    </r>
    <r>
      <rPr>
        <sz val="11"/>
        <color rgb="FF000000"/>
        <rFont val="Calibri"/>
      </rPr>
      <t>(If the fact of multiple, concurrent logons by a given user can be reliably reconstructed from the log entries for other events (logons/connections; voluntary and involuntary disconnections), then it is not mandatory to create additional log entries specifically for this.)</t>
    </r>
  </si>
  <si>
    <t>V-88337</t>
  </si>
  <si>
    <r>
      <rPr>
        <sz val="11"/>
        <rFont val="Calibri"/>
      </rPr>
      <t>The vROps PostgreSQL DB must be able to generate audit records when successful accesses to objects occur.</t>
    </r>
  </si>
  <si>
    <r>
      <rPr>
        <sz val="11"/>
        <color rgb="FF000000"/>
        <rFont val="Calibri"/>
      </rPr>
      <t xml:space="preserve">Without tracking all or selected types of access to all or selected objects (tables, views, procedures, functions, etc.), it would be difficult to establish, correlate, and investigate the events relating to an incident, or identify those responsible for one. </t>
    </r>
    <r>
      <rPr>
        <sz val="11"/>
        <color rgb="FF000000"/>
        <rFont val="Calibri"/>
      </rPr>
      <t xml:space="preserve">
</t>
    </r>
    <r>
      <rPr>
        <sz val="11"/>
        <color rgb="FF000000"/>
        <rFont val="Calibri"/>
      </rPr>
      <t>In an SQL environment, types of access include, but are not necessarily limited to:</t>
    </r>
    <r>
      <rPr>
        <sz val="11"/>
        <color rgb="FF000000"/>
        <rFont val="Calibri"/>
      </rPr>
      <t xml:space="preserve">
</t>
    </r>
    <r>
      <rPr>
        <sz val="11"/>
        <color rgb="FF000000"/>
        <rFont val="Calibri"/>
      </rPr>
      <t>SELECT</t>
    </r>
    <r>
      <rPr>
        <sz val="11"/>
        <color rgb="FF000000"/>
        <rFont val="Calibri"/>
      </rPr>
      <t xml:space="preserve">
</t>
    </r>
    <r>
      <rPr>
        <sz val="11"/>
        <color rgb="FF000000"/>
        <rFont val="Calibri"/>
      </rPr>
      <t>INSERT</t>
    </r>
    <r>
      <rPr>
        <sz val="11"/>
        <color rgb="FF000000"/>
        <rFont val="Calibri"/>
      </rPr>
      <t xml:space="preserve">
</t>
    </r>
    <r>
      <rPr>
        <sz val="11"/>
        <color rgb="FF000000"/>
        <rFont val="Calibri"/>
      </rPr>
      <t>UPDATE</t>
    </r>
    <r>
      <rPr>
        <sz val="11"/>
        <color rgb="FF000000"/>
        <rFont val="Calibri"/>
      </rPr>
      <t xml:space="preserve">
</t>
    </r>
    <r>
      <rPr>
        <sz val="11"/>
        <color rgb="FF000000"/>
        <rFont val="Calibri"/>
      </rPr>
      <t>DELETE</t>
    </r>
    <r>
      <rPr>
        <sz val="11"/>
        <color rgb="FF000000"/>
        <rFont val="Calibri"/>
      </rPr>
      <t xml:space="preserve">
</t>
    </r>
    <r>
      <rPr>
        <sz val="11"/>
        <color rgb="FF000000"/>
        <rFont val="Calibri"/>
      </rPr>
      <t>EXECUTE</t>
    </r>
  </si>
  <si>
    <t>V-88339</t>
  </si>
  <si>
    <r>
      <rPr>
        <sz val="11"/>
        <rFont val="Calibri"/>
      </rPr>
      <t>The vROps PostgreSQL DB must generate audit records when unsuccessful accesses to objects occur.</t>
    </r>
  </si>
  <si>
    <r>
      <rPr>
        <sz val="11"/>
        <color rgb="FF000000"/>
        <rFont val="Calibri"/>
      </rPr>
      <t xml:space="preserve">Without tracking all or selected types of access to all or selected objects (tables, views, procedures, functions, etc.), it would be difficult to establish, correlate, and investigate the events relating to an incident or identify those responsible for one. </t>
    </r>
    <r>
      <rPr>
        <sz val="11"/>
        <color rgb="FF000000"/>
        <rFont val="Calibri"/>
      </rPr>
      <t xml:space="preserve">
</t>
    </r>
    <r>
      <rPr>
        <sz val="11"/>
        <color rgb="FF000000"/>
        <rFont val="Calibri"/>
      </rPr>
      <t>In an SQL environment, types of access include, but are not necessarily limited to:</t>
    </r>
    <r>
      <rPr>
        <sz val="11"/>
        <color rgb="FF000000"/>
        <rFont val="Calibri"/>
      </rPr>
      <t xml:space="preserve">
</t>
    </r>
    <r>
      <rPr>
        <sz val="11"/>
        <color rgb="FF000000"/>
        <rFont val="Calibri"/>
      </rPr>
      <t>SELECT</t>
    </r>
    <r>
      <rPr>
        <sz val="11"/>
        <color rgb="FF000000"/>
        <rFont val="Calibri"/>
      </rPr>
      <t xml:space="preserve">
</t>
    </r>
    <r>
      <rPr>
        <sz val="11"/>
        <color rgb="FF000000"/>
        <rFont val="Calibri"/>
      </rPr>
      <t>INSERT</t>
    </r>
    <r>
      <rPr>
        <sz val="11"/>
        <color rgb="FF000000"/>
        <rFont val="Calibri"/>
      </rPr>
      <t xml:space="preserve">
</t>
    </r>
    <r>
      <rPr>
        <sz val="11"/>
        <color rgb="FF000000"/>
        <rFont val="Calibri"/>
      </rPr>
      <t>UPDATE</t>
    </r>
    <r>
      <rPr>
        <sz val="11"/>
        <color rgb="FF000000"/>
        <rFont val="Calibri"/>
      </rPr>
      <t xml:space="preserve">
</t>
    </r>
    <r>
      <rPr>
        <sz val="11"/>
        <color rgb="FF000000"/>
        <rFont val="Calibri"/>
      </rPr>
      <t>DELETE</t>
    </r>
    <r>
      <rPr>
        <sz val="11"/>
        <color rgb="FF000000"/>
        <rFont val="Calibri"/>
      </rPr>
      <t xml:space="preserve">
</t>
    </r>
    <r>
      <rPr>
        <sz val="11"/>
        <color rgb="FF000000"/>
        <rFont val="Calibri"/>
      </rPr>
      <t>EXECUTE</t>
    </r>
    <r>
      <rPr>
        <sz val="11"/>
        <color rgb="FF000000"/>
        <rFont val="Calibri"/>
      </rPr>
      <t xml:space="preserve">
</t>
    </r>
    <r>
      <rPr>
        <sz val="11"/>
        <color rgb="FF000000"/>
        <rFont val="Calibri"/>
      </rPr>
      <t>To aid in diagnosis, it is necessary to keep track of failed attempts in addition to the successful ones.</t>
    </r>
  </si>
  <si>
    <t>V-88341</t>
  </si>
  <si>
    <r>
      <rPr>
        <sz val="11"/>
        <rFont val="Calibri"/>
      </rPr>
      <t>The vROps PostgreSQL DB must generate audit records for all direct access to the database(s).</t>
    </r>
  </si>
  <si>
    <r>
      <rPr>
        <sz val="11"/>
        <color rgb="FF000000"/>
        <rFont val="Calibri"/>
      </rPr>
      <t>In this context, direct access is any query, command, or call to the DBMS that comes from any source other than the application(s) that it supports. Examples would be the command line or a database management utility program. The intent is to capture all activity from administrative and non-standard sources.</t>
    </r>
  </si>
  <si>
    <t>V-88343</t>
  </si>
  <si>
    <r>
      <rPr>
        <sz val="11"/>
        <rFont val="Calibri"/>
      </rPr>
      <t>The vROps PostgreSQL DB must implement NIST FIPS 140-2 validated cryptographic modules to provision digital signatures.</t>
    </r>
  </si>
  <si>
    <r>
      <rPr>
        <sz val="11"/>
        <color rgb="FF000000"/>
        <rFont val="Calibri"/>
      </rPr>
      <t>Use of weak or untested encryption algorithms undermines the purposes of utilizing encryption to protect data. The application must implement cryptographic modules adhering to the higher standards approved by the federal government since this provides assurance they have been tested and validated.</t>
    </r>
    <r>
      <rPr>
        <sz val="11"/>
        <color rgb="FF000000"/>
        <rFont val="Calibri"/>
      </rPr>
      <t xml:space="preserve">
</t>
    </r>
    <r>
      <rPr>
        <sz val="11"/>
        <color rgb="FF000000"/>
        <rFont val="Calibri"/>
      </rPr>
      <t>For detailed information, refer to NIST FIPS Publication 140-2, Security Requirements for Cryptographic Modules. Note that the product's cryptographic modules must be validated and certified by NIST as FIPS-compliant.</t>
    </r>
  </si>
  <si>
    <r>
      <rPr>
        <sz val="11"/>
        <color rgb="FF000000"/>
        <rFont val="Calibri"/>
      </rPr>
      <t>At the command prompt, execute the following command:</t>
    </r>
    <r>
      <rPr>
        <sz val="11"/>
        <color rgb="FF000000"/>
        <rFont val="Calibri"/>
      </rPr>
      <t xml:space="preserve">
</t>
    </r>
    <r>
      <rPr>
        <sz val="11"/>
        <color rgb="FF000000"/>
        <rFont val="Calibri"/>
      </rPr>
      <t># grep '^\s*ssl_ciphers\b' /storage/db/vcops/vpostgres/data/postgresql.conf</t>
    </r>
    <r>
      <rPr>
        <sz val="11"/>
        <color rgb="FF000000"/>
        <rFont val="Calibri"/>
      </rPr>
      <t xml:space="preserve">
</t>
    </r>
    <r>
      <rPr>
        <sz val="11"/>
        <color rgb="FF000000"/>
        <rFont val="Calibri"/>
      </rPr>
      <t>If "ssl_ciphers" is not set to "FIPS: +3DES:!aNULL", this is a finding.</t>
    </r>
  </si>
  <si>
    <t>V-88345</t>
  </si>
  <si>
    <r>
      <rPr>
        <sz val="11"/>
        <rFont val="Calibri"/>
      </rPr>
      <t>The vROps PostgreSQL DB must implement NIST FIPS 140-2 validated cryptographic modules to generate and validate cryptographic hashes.</t>
    </r>
  </si>
  <si>
    <r>
      <rPr>
        <sz val="11"/>
        <color rgb="FF000000"/>
        <rFont val="Calibri"/>
      </rPr>
      <t>At the command prompt, execute the following commands:</t>
    </r>
    <r>
      <rPr>
        <sz val="11"/>
        <color rgb="FF000000"/>
        <rFont val="Calibri"/>
      </rPr>
      <t xml:space="preserve">
</t>
    </r>
    <r>
      <rPr>
        <sz val="11"/>
        <color rgb="FF000000"/>
        <rFont val="Calibri"/>
      </rPr>
      <t># /opt/vmware/vpostgres/current/bin/psql -U postgres -c "ALTER SYSTEM SET ssl_ciphers TO 'FIPS: +3DES:!aNULL';"</t>
    </r>
    <r>
      <rPr>
        <sz val="11"/>
        <color rgb="FF000000"/>
        <rFont val="Calibri"/>
      </rPr>
      <t xml:space="preserve">
</t>
    </r>
    <r>
      <rPr>
        <sz val="11"/>
        <color rgb="FF000000"/>
        <rFont val="Calibri"/>
      </rPr>
      <t># /opt/vmware/vpostgres/current/bin/psql -U postgres -c "SELECT pg_reload_conf();"</t>
    </r>
  </si>
  <si>
    <t>V-88347</t>
  </si>
  <si>
    <r>
      <rPr>
        <sz val="11"/>
        <rFont val="Calibri"/>
      </rPr>
      <t>The vROps PostgreSQL DB must implement NIST FIPS 140-2 validated cryptographic modules to protect unclassified information requiring confidentiality and cryptographic protection, in accordance with the data owners requirements.</t>
    </r>
  </si>
  <si>
    <r>
      <rPr>
        <sz val="11"/>
        <color rgb="FF000000"/>
        <rFont val="Calibri"/>
      </rPr>
      <t>Use of weak or untested encryption algorithms undermines the purposes of utilizing encryption to protect data. The application must implement cryptographic modules adhering to the higher standards approved by the federal government since this provides assurance they have been tested and validated.</t>
    </r>
    <r>
      <rPr>
        <sz val="11"/>
        <color rgb="FF000000"/>
        <rFont val="Calibri"/>
      </rPr>
      <t xml:space="preserve">
</t>
    </r>
    <r>
      <rPr>
        <sz val="11"/>
        <color rgb="FF000000"/>
        <rFont val="Calibri"/>
      </rPr>
      <t>It is the responsibility of the data owner to assess the cryptography requirements in light of applicable federal laws, Executive Orders, directives, policies, regulations, and standards.</t>
    </r>
    <r>
      <rPr>
        <sz val="11"/>
        <color rgb="FF000000"/>
        <rFont val="Calibri"/>
      </rPr>
      <t xml:space="preserve">
</t>
    </r>
    <r>
      <rPr>
        <sz val="11"/>
        <color rgb="FF000000"/>
        <rFont val="Calibri"/>
      </rPr>
      <t>For detailed information, refer to NIST FIPS Publication 140-2, Security Requirements for Cryptographic Modules. Note that the product's cryptographic modules must be validated and certified by NIST as FIPS-compliant.</t>
    </r>
  </si>
  <si>
    <t>V-88349</t>
  </si>
  <si>
    <r>
      <rPr>
        <sz val="11"/>
        <rFont val="Calibri"/>
      </rPr>
      <t>The vROps PostgreSQL DB must off-load audit data to a separate log management facility; this must be continuous and in near real time for systems with a network connection to the storage facility and weekly or more often for stand-alone systems.</t>
    </r>
  </si>
  <si>
    <r>
      <rPr>
        <sz val="11"/>
        <color rgb="FF000000"/>
        <rFont val="Calibri"/>
      </rPr>
      <t>Information stored in one location is vulnerable to accidental or incidental deletion or alteration.</t>
    </r>
    <r>
      <rPr>
        <sz val="11"/>
        <color rgb="FF000000"/>
        <rFont val="Calibri"/>
      </rPr>
      <t xml:space="preserve">
</t>
    </r>
    <r>
      <rPr>
        <sz val="11"/>
        <color rgb="FF000000"/>
        <rFont val="Calibri"/>
      </rPr>
      <t xml:space="preserve">Off-loading is a common process in information systems with limited audit storage capacity. </t>
    </r>
    <r>
      <rPr>
        <sz val="11"/>
        <color rgb="FF000000"/>
        <rFont val="Calibri"/>
      </rPr>
      <t xml:space="preserve">
</t>
    </r>
    <r>
      <rPr>
        <sz val="11"/>
        <color rgb="FF000000"/>
        <rFont val="Calibri"/>
      </rPr>
      <t>The DBMS may write audit records to database tables, to files in the file system, to other kinds of local repository, or directly to a centralized log management system. Whatever the method used, it must be compatible with off-loading the records to the centralized system.</t>
    </r>
  </si>
  <si>
    <t>V-88351</t>
  </si>
  <si>
    <r>
      <rPr>
        <sz val="11"/>
        <rFont val="Calibri"/>
      </rPr>
      <t>The vROps PostgreSQL DB must be configured in accordance with the security configuration settings based on DoD security configuration and implementation guidance, including STIGs, NSA configuration guides, CTOs, DTMs, and IAVMs.</t>
    </r>
  </si>
  <si>
    <r>
      <rPr>
        <sz val="11"/>
        <color rgb="FF000000"/>
        <rFont val="Calibri"/>
      </rPr>
      <t>Install the latest approved security-relevant software updates and document in the supporting documentation.</t>
    </r>
  </si>
  <si>
    <r>
      <rPr>
        <sz val="11"/>
        <color rgb="FF000000"/>
        <rFont val="Calibri"/>
      </rPr>
      <t xml:space="preserve">Configuring the DBMS to implement organization-wide security implementation guides and security checklists ensures compliance with federal standards and establishes a common security baseline across DoD that reflects the most restrictive security posture consistent with operational requirements. </t>
    </r>
    <r>
      <rPr>
        <sz val="11"/>
        <color rgb="FF000000"/>
        <rFont val="Calibri"/>
      </rPr>
      <t xml:space="preserve">
</t>
    </r>
    <r>
      <rPr>
        <sz val="11"/>
        <color rgb="FF000000"/>
        <rFont val="Calibri"/>
      </rPr>
      <t>In addition to this SRG, sources of guidance on security and information assurance exist. These include NSA configuration guides, CTOs, DTMs, and IAVMs. The DBMS must be configured in compliance with guidance from all such relevant sources.</t>
    </r>
  </si>
  <si>
    <r>
      <rPr>
        <sz val="11"/>
        <color rgb="FF000000"/>
        <rFont val="Calibri"/>
      </rPr>
      <t>Obtain supporting documentation from the ISSO.</t>
    </r>
    <r>
      <rPr>
        <sz val="11"/>
        <color rgb="FF000000"/>
        <rFont val="Calibri"/>
      </rPr>
      <t xml:space="preserve">
</t>
    </r>
    <r>
      <rPr>
        <sz val="11"/>
        <color rgb="FF000000"/>
        <rFont val="Calibri"/>
      </rPr>
      <t>Verify that this Security Technical Implementation Guide (STIG) is the most current STIG available for PostgreSQL on vROps. Assess all of the organization's vROps installations to ensure that they are fully compliant with the most current PostgreSQL STIG.</t>
    </r>
    <r>
      <rPr>
        <sz val="11"/>
        <color rgb="FF000000"/>
        <rFont val="Calibri"/>
      </rPr>
      <t xml:space="preserve">
</t>
    </r>
    <r>
      <rPr>
        <sz val="11"/>
        <color rgb="FF000000"/>
        <rFont val="Calibri"/>
      </rPr>
      <t>If the PostgreSQL configuration is not compliant with the most current PostgreSQL STIG, this is a finding.</t>
    </r>
  </si>
  <si>
    <t>V-88353</t>
  </si>
  <si>
    <r>
      <rPr>
        <sz val="11"/>
        <rFont val="Calibri"/>
      </rPr>
      <t>The SLES for vRealize must provide automated mechanisms for supporting account management functions.</t>
    </r>
  </si>
  <si>
    <t>VMware vRealize Operations Manager 6.x SLES</t>
  </si>
  <si>
    <r>
      <rPr>
        <sz val="11"/>
        <color rgb="FF000000"/>
        <rFont val="Calibri"/>
      </rPr>
      <t>Implement an automated system for managing user accounts that minimizes the risk of errors, either intentional or deliberate. If possible, this system should integrate with an existing enterprise user management system, such as, one based Active Directory or Kerberos.</t>
    </r>
  </si>
  <si>
    <r>
      <rPr>
        <sz val="11"/>
        <color rgb="FF000000"/>
        <rFont val="Calibri"/>
      </rPr>
      <t>Enterprise environments make account management challenging and complex. A manual process for account management functions adds the risk of a potential oversight or other errors.</t>
    </r>
    <r>
      <rPr>
        <sz val="11"/>
        <color rgb="FF000000"/>
        <rFont val="Calibri"/>
      </rPr>
      <t xml:space="preserve">
</t>
    </r>
    <r>
      <rPr>
        <sz val="11"/>
        <color rgb="FF000000"/>
        <rFont val="Calibri"/>
      </rPr>
      <t>A comprehensive account management process that includes automation helps to ensure accounts designated as requiring attention are consistently and promptly addressed. Examples include, but are not limited to, using automation to take action on multiple accounts designated as inactive, suspended, or terminated, or by disabling accounts located in non-centralized account stores such as multiple servers. This requirement applies to all account types, including individual/user, shared, group, system, guest/anonymous, emergency, developer/manufacturer/vendor, temporary, and service.</t>
    </r>
    <r>
      <rPr>
        <sz val="11"/>
        <color rgb="FF000000"/>
        <rFont val="Calibri"/>
      </rPr>
      <t xml:space="preserve">
</t>
    </r>
    <r>
      <rPr>
        <sz val="11"/>
        <color rgb="FF000000"/>
        <rFont val="Calibri"/>
      </rPr>
      <t>The automated mechanisms may reside within the SLES for vRealize itself or may be offered by other infrastructure providing automated account management capabilities. Automated mechanisms may be composed of differing technologies that, when placed together, contain an overall automated mechanism supporting an organization's automated account management requirements.</t>
    </r>
    <r>
      <rPr>
        <sz val="11"/>
        <color rgb="FF000000"/>
        <rFont val="Calibri"/>
      </rPr>
      <t xml:space="preserve">
</t>
    </r>
    <r>
      <rPr>
        <sz val="11"/>
        <color rgb="FF000000"/>
        <rFont val="Calibri"/>
      </rPr>
      <t>Account management functions include: assigning group or role membership; identifying account type; specifying user access authorizations (i.e., privileges); account removal, update, or termination; and administrative alerts. The use of automated mechanisms can include, for example: using email or text messaging to automatically notify account managers when users are terminated or transferred; using the information system to monitor account usage; and using automated telephonic notification to report atypical system account usage.</t>
    </r>
  </si>
  <si>
    <r>
      <rPr>
        <sz val="11"/>
        <color rgb="FF000000"/>
        <rFont val="Calibri"/>
      </rPr>
      <t>Interview the server admin to determine if there is automated mechanisms for managing user accounts. If there is not, this is a finding.</t>
    </r>
  </si>
  <si>
    <t>V-88355</t>
  </si>
  <si>
    <r>
      <rPr>
        <sz val="11"/>
        <rFont val="Calibri"/>
      </rPr>
      <t>The SLES for vRealize must automatically remove or disable temporary user accounts after 72 hours.</t>
    </r>
  </si>
  <si>
    <r>
      <rPr>
        <sz val="11"/>
        <color rgb="FF000000"/>
        <rFont val="Calibri"/>
      </rPr>
      <t>In the event temporary accounts are required, configure the system to terminate them after "72" hours. For every temporary account, run the following command to set an expiration date on it, substituting "system_account_name" for the appropriate value.</t>
    </r>
    <r>
      <rPr>
        <sz val="11"/>
        <color rgb="FF000000"/>
        <rFont val="Calibri"/>
      </rPr>
      <t xml:space="preserve">
</t>
    </r>
    <r>
      <rPr>
        <sz val="11"/>
        <color rgb="FF000000"/>
        <rFont val="Calibri"/>
      </rPr>
      <t># chage -E `date -d "+3 days" +%Y-%m-%d` system_account_name</t>
    </r>
    <r>
      <rPr>
        <sz val="11"/>
        <color rgb="FF000000"/>
        <rFont val="Calibri"/>
      </rPr>
      <t xml:space="preserve">
</t>
    </r>
    <r>
      <rPr>
        <sz val="11"/>
        <color rgb="FF000000"/>
        <rFont val="Calibri"/>
      </rPr>
      <t>`date -d "+3 days" +%Y-%m-%d` gets the expiration date for the account at the time of running the command.</t>
    </r>
  </si>
  <si>
    <r>
      <rPr>
        <sz val="11"/>
        <color rgb="FF000000"/>
        <rFont val="Calibri"/>
      </rPr>
      <t>If temporary user accounts remain active when no longer needed or for an excessive period, these accounts may be used to gain unauthorized access. To mitigate this risk, automated termination of all temporary accounts must be set upon account creation.</t>
    </r>
    <r>
      <rPr>
        <sz val="11"/>
        <color rgb="FF000000"/>
        <rFont val="Calibri"/>
      </rPr>
      <t xml:space="preserve">
</t>
    </r>
    <r>
      <rPr>
        <sz val="11"/>
        <color rgb="FF000000"/>
        <rFont val="Calibri"/>
      </rPr>
      <t>Temporary accounts are established as part of normal account activation procedures when there is a need for short-term accounts without the demand for immediacy in account activation.</t>
    </r>
    <r>
      <rPr>
        <sz val="11"/>
        <color rgb="FF000000"/>
        <rFont val="Calibri"/>
      </rPr>
      <t xml:space="preserve">
</t>
    </r>
    <r>
      <rPr>
        <sz val="11"/>
        <color rgb="FF000000"/>
        <rFont val="Calibri"/>
      </rPr>
      <t>If temporary accounts are used, the SLES for vRealize must be configured to automatically terminate these types of accounts after a DoD-defined time period of 72 hours.</t>
    </r>
    <r>
      <rPr>
        <sz val="11"/>
        <color rgb="FF000000"/>
        <rFont val="Calibri"/>
      </rPr>
      <t xml:space="preserve">
</t>
    </r>
    <r>
      <rPr>
        <sz val="11"/>
        <color rgb="FF000000"/>
        <rFont val="Calibri"/>
      </rPr>
      <t>To address access requirements, many SLES for vRealize operating systems may be integrated with enterprise-level authentication/access mechanisms that meet or exceed access control policy requirements.</t>
    </r>
  </si>
  <si>
    <r>
      <rPr>
        <sz val="11"/>
        <color rgb="FF000000"/>
        <rFont val="Calibri"/>
      </rPr>
      <t>For every existing temporary account, run the following command to obtain its account expiration information.</t>
    </r>
    <r>
      <rPr>
        <sz val="11"/>
        <color rgb="FF000000"/>
        <rFont val="Calibri"/>
      </rPr>
      <t xml:space="preserve">
</t>
    </r>
    <r>
      <rPr>
        <sz val="11"/>
        <color rgb="FF000000"/>
        <rFont val="Calibri"/>
      </rPr>
      <t># chage -l system_account_name</t>
    </r>
    <r>
      <rPr>
        <sz val="11"/>
        <color rgb="FF000000"/>
        <rFont val="Calibri"/>
      </rPr>
      <t xml:space="preserve">
</t>
    </r>
    <r>
      <rPr>
        <sz val="11"/>
        <color rgb="FF000000"/>
        <rFont val="Calibri"/>
      </rPr>
      <t xml:space="preserve">Verify each of these accounts has an expiration date set within "72" hours. </t>
    </r>
    <r>
      <rPr>
        <sz val="11"/>
        <color rgb="FF000000"/>
        <rFont val="Calibri"/>
      </rPr>
      <t xml:space="preserve">
</t>
    </r>
    <r>
      <rPr>
        <sz val="11"/>
        <color rgb="FF000000"/>
        <rFont val="Calibri"/>
      </rPr>
      <t>If any temporary accounts have no expiration date set or do not expire within "72" hours, this is a finding.</t>
    </r>
  </si>
  <si>
    <t>V-88357</t>
  </si>
  <si>
    <r>
      <rPr>
        <sz val="11"/>
        <rFont val="Calibri"/>
      </rPr>
      <t>The SLES for vRealize must audit all account creations.</t>
    </r>
  </si>
  <si>
    <r>
      <rPr>
        <sz val="11"/>
        <color rgb="FF000000"/>
        <rFont val="Calibri"/>
      </rPr>
      <t>Configure execute auditing of the "useradd" and "groupadd" executables run the DoD.script with the following command as root:</t>
    </r>
    <r>
      <rPr>
        <sz val="11"/>
        <color rgb="FF000000"/>
        <rFont val="Calibri"/>
      </rPr>
      <t xml:space="preserve">
</t>
    </r>
    <r>
      <rPr>
        <sz val="11"/>
        <color rgb="FF000000"/>
        <rFont val="Calibri"/>
      </rPr>
      <t># /etc/dodscript.sh</t>
    </r>
    <r>
      <rPr>
        <sz val="11"/>
        <color rgb="FF000000"/>
        <rFont val="Calibri"/>
      </rPr>
      <t xml:space="preserve">
</t>
    </r>
    <r>
      <rPr>
        <sz val="11"/>
        <color rgb="FF000000"/>
        <rFont val="Calibri"/>
      </rPr>
      <t>OR</t>
    </r>
    <r>
      <rPr>
        <sz val="11"/>
        <color rgb="FF000000"/>
        <rFont val="Calibri"/>
      </rPr>
      <t xml:space="preserve">
</t>
    </r>
    <r>
      <rPr>
        <sz val="11"/>
        <color rgb="FF000000"/>
        <rFont val="Calibri"/>
      </rPr>
      <t xml:space="preserve">Configure execute auditing of the "useradd" and "groupadd" executables. </t>
    </r>
    <r>
      <rPr>
        <sz val="11"/>
        <color rgb="FF000000"/>
        <rFont val="Calibri"/>
      </rPr>
      <t xml:space="preserve">
</t>
    </r>
    <r>
      <rPr>
        <sz val="11"/>
        <color rgb="FF000000"/>
        <rFont val="Calibri"/>
      </rPr>
      <t>Add the following to /etc/audit/audit.rules:</t>
    </r>
    <r>
      <rPr>
        <sz val="11"/>
        <color rgb="FF000000"/>
        <rFont val="Calibri"/>
      </rPr>
      <t xml:space="preserve">
</t>
    </r>
    <r>
      <rPr>
        <sz val="11"/>
        <color rgb="FF000000"/>
        <rFont val="Calibri"/>
      </rPr>
      <t>-w /usr/sbin/useradd -p x -k useradd</t>
    </r>
    <r>
      <rPr>
        <sz val="11"/>
        <color rgb="FF000000"/>
        <rFont val="Calibri"/>
      </rPr>
      <t xml:space="preserve">
</t>
    </r>
    <r>
      <rPr>
        <sz val="11"/>
        <color rgb="FF000000"/>
        <rFont val="Calibri"/>
      </rPr>
      <t>-w /usr/sbin/groupadd -p x -k groupadd</t>
    </r>
    <r>
      <rPr>
        <sz val="11"/>
        <color rgb="FF000000"/>
        <rFont val="Calibri"/>
      </rPr>
      <t xml:space="preserve">
</t>
    </r>
    <r>
      <rPr>
        <sz val="11"/>
        <color rgb="FF000000"/>
        <rFont val="Calibri"/>
      </rPr>
      <t xml:space="preserve">Restart the auditd service. </t>
    </r>
    <r>
      <rPr>
        <sz val="11"/>
        <color rgb="FF000000"/>
        <rFont val="Calibri"/>
      </rPr>
      <t xml:space="preserve">
</t>
    </r>
    <r>
      <rPr>
        <sz val="11"/>
        <color rgb="FF000000"/>
        <rFont val="Calibri"/>
      </rPr>
      <t># service auditd restart</t>
    </r>
  </si>
  <si>
    <r>
      <rPr>
        <sz val="11"/>
        <color rgb="FF000000"/>
        <rFont val="Calibri"/>
      </rPr>
      <t>Once an attacker establishes initial access to a system, the attacker often attempts to create a persistent method of reestablishing access. One way to accomplish this is for the attacker to simply create a new account. Auditing of account creation mitigates this risk.</t>
    </r>
    <r>
      <rPr>
        <sz val="11"/>
        <color rgb="FF000000"/>
        <rFont val="Calibri"/>
      </rPr>
      <t xml:space="preserve">
</t>
    </r>
    <r>
      <rPr>
        <sz val="11"/>
        <color rgb="FF000000"/>
        <rFont val="Calibri"/>
      </rPr>
      <t>To address access requirements, many SLES for vRealize operating systems may be integrated with enterprise-level authentication/access/auditing mechanisms that meet or exceed access control policy requirements.</t>
    </r>
  </si>
  <si>
    <r>
      <rPr>
        <sz val="11"/>
        <color rgb="FF000000"/>
        <rFont val="Calibri"/>
      </rPr>
      <t>Determine if execution of the useradd and groupadd executable are audited.</t>
    </r>
    <r>
      <rPr>
        <sz val="11"/>
        <color rgb="FF000000"/>
        <rFont val="Calibri"/>
      </rPr>
      <t xml:space="preserve">
</t>
    </r>
    <r>
      <rPr>
        <sz val="11"/>
        <color rgb="FF000000"/>
        <rFont val="Calibri"/>
      </rPr>
      <t># auditctl -l | egrep '(useradd|groupadd)'</t>
    </r>
    <r>
      <rPr>
        <sz val="11"/>
        <color rgb="FF000000"/>
        <rFont val="Calibri"/>
      </rPr>
      <t xml:space="preserve">
</t>
    </r>
    <r>
      <rPr>
        <sz val="11"/>
        <color rgb="FF000000"/>
        <rFont val="Calibri"/>
      </rPr>
      <t>If either "useradd" or "groupadd" are not listed with a permissions filter of at least "x", this is a finding.</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LIST_RULES: exit,always watch=/usr/sbin/useradd perm=x key=useradd</t>
    </r>
    <r>
      <rPr>
        <sz val="11"/>
        <color rgb="FF000000"/>
        <rFont val="Calibri"/>
      </rPr>
      <t xml:space="preserve">
</t>
    </r>
    <r>
      <rPr>
        <sz val="11"/>
        <color rgb="FF000000"/>
        <rFont val="Calibri"/>
      </rPr>
      <t>LIST_RULES: exit,always watch=/usr/sbin/groupadd perm=x key=groupadd</t>
    </r>
  </si>
  <si>
    <t>V-88359</t>
  </si>
  <si>
    <r>
      <rPr>
        <sz val="11"/>
        <rFont val="Calibri"/>
      </rPr>
      <t>In addition to auditing new user and group accounts, these watches will alert the system administrator(s) to any modifications, any unexpected users, groups, or modifications must be investigated for legitimacy.</t>
    </r>
  </si>
  <si>
    <r>
      <rPr>
        <sz val="11"/>
        <color rgb="FF000000"/>
        <rFont val="Calibri"/>
      </rPr>
      <t>Configure append auditing of the "passwd", "shadow", "group", and "gshadow" files run the DoD.script with the following command as root:</t>
    </r>
    <r>
      <rPr>
        <sz val="11"/>
        <color rgb="FF000000"/>
        <rFont val="Calibri"/>
      </rPr>
      <t xml:space="preserve">
</t>
    </r>
    <r>
      <rPr>
        <sz val="11"/>
        <color rgb="FF000000"/>
        <rFont val="Calibri"/>
      </rPr>
      <t># /etc/dodscript.sh</t>
    </r>
    <r>
      <rPr>
        <sz val="11"/>
        <color rgb="FF000000"/>
        <rFont val="Calibri"/>
      </rPr>
      <t xml:space="preserve">
</t>
    </r>
    <r>
      <rPr>
        <sz val="11"/>
        <color rgb="FF000000"/>
        <rFont val="Calibri"/>
      </rPr>
      <t># echo '-w /etc/gshadow -p a -k gshadow' &gt;&gt; /etc/audit/audit.rules</t>
    </r>
    <r>
      <rPr>
        <sz val="11"/>
        <color rgb="FF000000"/>
        <rFont val="Calibri"/>
      </rPr>
      <t xml:space="preserve">
</t>
    </r>
    <r>
      <rPr>
        <sz val="11"/>
        <color rgb="FF000000"/>
        <rFont val="Calibri"/>
      </rPr>
      <t>Restart the auditd service.</t>
    </r>
    <r>
      <rPr>
        <sz val="11"/>
        <color rgb="FF000000"/>
        <rFont val="Calibri"/>
      </rPr>
      <t xml:space="preserve">
</t>
    </r>
    <r>
      <rPr>
        <sz val="11"/>
        <color rgb="FF000000"/>
        <rFont val="Calibri"/>
      </rPr>
      <t># service auditd restart</t>
    </r>
    <r>
      <rPr>
        <sz val="11"/>
        <color rgb="FF000000"/>
        <rFont val="Calibri"/>
      </rPr>
      <t xml:space="preserve">
</t>
    </r>
    <r>
      <rPr>
        <sz val="11"/>
        <color rgb="FF000000"/>
        <rFont val="Calibri"/>
      </rPr>
      <t>OR</t>
    </r>
    <r>
      <rPr>
        <sz val="11"/>
        <color rgb="FF000000"/>
        <rFont val="Calibri"/>
      </rPr>
      <t xml:space="preserve">
</t>
    </r>
    <r>
      <rPr>
        <sz val="11"/>
        <color rgb="FF000000"/>
        <rFont val="Calibri"/>
      </rPr>
      <t>Configure append auditing of the passwd, shadow, group, and gshadow files by running the following commands:</t>
    </r>
    <r>
      <rPr>
        <sz val="11"/>
        <color rgb="FF000000"/>
        <rFont val="Calibri"/>
      </rPr>
      <t xml:space="preserve">
</t>
    </r>
    <r>
      <rPr>
        <sz val="11"/>
        <color rgb="FF000000"/>
        <rFont val="Calibri"/>
      </rPr>
      <t># echo '-w /etc/passwd -p a -k passwd' &gt;&gt; /etc/audit/audit.rules</t>
    </r>
    <r>
      <rPr>
        <sz val="11"/>
        <color rgb="FF000000"/>
        <rFont val="Calibri"/>
      </rPr>
      <t xml:space="preserve">
</t>
    </r>
    <r>
      <rPr>
        <sz val="11"/>
        <color rgb="FF000000"/>
        <rFont val="Calibri"/>
      </rPr>
      <t># echo '-w /etc/shadow -p a -k shadow' &gt;&gt; /etc/audit/audit.rules</t>
    </r>
    <r>
      <rPr>
        <sz val="11"/>
        <color rgb="FF000000"/>
        <rFont val="Calibri"/>
      </rPr>
      <t xml:space="preserve">
</t>
    </r>
    <r>
      <rPr>
        <sz val="11"/>
        <color rgb="FF000000"/>
        <rFont val="Calibri"/>
      </rPr>
      <t># echo '-w /etc/group -p a -k group' &gt;&gt; /etc/audit/audit.rules</t>
    </r>
    <r>
      <rPr>
        <sz val="11"/>
        <color rgb="FF000000"/>
        <rFont val="Calibri"/>
      </rPr>
      <t xml:space="preserve">
</t>
    </r>
    <r>
      <rPr>
        <sz val="11"/>
        <color rgb="FF000000"/>
        <rFont val="Calibri"/>
      </rPr>
      <t># echo '-w /etc/gshadow -p a -k gshadow' &gt;&gt; /etc/audit/audit.rules</t>
    </r>
    <r>
      <rPr>
        <sz val="11"/>
        <color rgb="FF000000"/>
        <rFont val="Calibri"/>
      </rPr>
      <t xml:space="preserve">
</t>
    </r>
    <r>
      <rPr>
        <sz val="11"/>
        <color rgb="FF000000"/>
        <rFont val="Calibri"/>
      </rPr>
      <t xml:space="preserve">Restart the auditd service. </t>
    </r>
    <r>
      <rPr>
        <sz val="11"/>
        <color rgb="FF000000"/>
        <rFont val="Calibri"/>
      </rPr>
      <t xml:space="preserve">
</t>
    </r>
    <r>
      <rPr>
        <sz val="11"/>
        <color rgb="FF000000"/>
        <rFont val="Calibri"/>
      </rPr>
      <t># service auditd restart</t>
    </r>
  </si>
  <si>
    <r>
      <rPr>
        <sz val="11"/>
        <color rgb="FF000000"/>
        <rFont val="Calibri"/>
      </rPr>
      <t>Determine if /etc/passwd, /etc/shadow, /etc/group, and /etc/gshadow are audited for appending.</t>
    </r>
    <r>
      <rPr>
        <sz val="11"/>
        <color rgb="FF000000"/>
        <rFont val="Calibri"/>
      </rPr>
      <t xml:space="preserve">
</t>
    </r>
    <r>
      <rPr>
        <sz val="11"/>
        <color rgb="FF000000"/>
        <rFont val="Calibri"/>
      </rPr>
      <t># auditctl -l | egrep '(/etc/passwd|/etc/shadow|/etc/group|/etc/gshadow)' | grep perm=a</t>
    </r>
    <r>
      <rPr>
        <sz val="11"/>
        <color rgb="FF000000"/>
        <rFont val="Calibri"/>
      </rPr>
      <t xml:space="preserve">
</t>
    </r>
    <r>
      <rPr>
        <sz val="11"/>
        <color rgb="FF000000"/>
        <rFont val="Calibri"/>
      </rPr>
      <t>If the "passwd", "shadow", "group", and "gshadow" files are not listed with a permissions filter of at least "a", this is a finding.</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LIST_RULES: exit,always watch=/etc/passwd perm=a key=passwd</t>
    </r>
    <r>
      <rPr>
        <sz val="11"/>
        <color rgb="FF000000"/>
        <rFont val="Calibri"/>
      </rPr>
      <t xml:space="preserve">
</t>
    </r>
    <r>
      <rPr>
        <sz val="11"/>
        <color rgb="FF000000"/>
        <rFont val="Calibri"/>
      </rPr>
      <t>LIST_RULES: exit,always watch=/etc/shadow perm=a key=shadow</t>
    </r>
    <r>
      <rPr>
        <sz val="11"/>
        <color rgb="FF000000"/>
        <rFont val="Calibri"/>
      </rPr>
      <t xml:space="preserve">
</t>
    </r>
    <r>
      <rPr>
        <sz val="11"/>
        <color rgb="FF000000"/>
        <rFont val="Calibri"/>
      </rPr>
      <t>LIST_RULES: exit,always watch=/etc/group perm=a key=group</t>
    </r>
    <r>
      <rPr>
        <sz val="11"/>
        <color rgb="FF000000"/>
        <rFont val="Calibri"/>
      </rPr>
      <t xml:space="preserve">
</t>
    </r>
    <r>
      <rPr>
        <sz val="11"/>
        <color rgb="FF000000"/>
        <rFont val="Calibri"/>
      </rPr>
      <t>LIST_RULES: exit,always watch=/etc/gshadow perm=a key=gshadow</t>
    </r>
  </si>
  <si>
    <t>V-88361</t>
  </si>
  <si>
    <r>
      <rPr>
        <sz val="11"/>
        <rFont val="Calibri"/>
      </rPr>
      <t>The SLES for vRealize must enforce the limit of three consecutive invalid logon attempts by a user during a 15-minute time period.</t>
    </r>
  </si>
  <si>
    <r>
      <rPr>
        <sz val="11"/>
        <color rgb="FF000000"/>
        <rFont val="Calibri"/>
      </rPr>
      <t>To configure the SLES for vRealize to enforce the limit of "3" consecutive invalid attempts using "pam_tally2.so", modify the content of the /etc/pam.d/common-auth-vmware.local by running the following command:</t>
    </r>
    <r>
      <rPr>
        <sz val="11"/>
        <color rgb="FF000000"/>
        <rFont val="Calibri"/>
      </rPr>
      <t xml:space="preserve">
</t>
    </r>
    <r>
      <rPr>
        <sz val="11"/>
        <color rgb="FF000000"/>
        <rFont val="Calibri"/>
      </rPr>
      <t># sed -i "/^[^#]*pam_tally2.so/ c\auth required pam_tally2.so deny=3 onerr=fail even_deny_root unlock_time=86400 root_unlock_time=300" /etc/pam.d/common-auth-vmware.local</t>
    </r>
  </si>
  <si>
    <r>
      <rPr>
        <sz val="11"/>
        <color rgb="FF000000"/>
        <rFont val="Calibri"/>
      </rPr>
      <t>By limiting the number of failed logon attempts, the risk of unauthorized system access via user password guessing, otherwise known as brute-force attacks, is reduced. Limits are imposed by locking the account.</t>
    </r>
  </si>
  <si>
    <r>
      <rPr>
        <sz val="11"/>
        <color rgb="FF000000"/>
        <rFont val="Calibri"/>
      </rPr>
      <t>Run the following command to ensure that the SLES for vRealize enforces the limit of "3" consecutive invalid logon attempts by a user:</t>
    </r>
    <r>
      <rPr>
        <sz val="11"/>
        <color rgb="FF000000"/>
        <rFont val="Calibri"/>
      </rPr>
      <t xml:space="preserve">
</t>
    </r>
    <r>
      <rPr>
        <sz val="11"/>
        <color rgb="FF000000"/>
        <rFont val="Calibri"/>
      </rPr>
      <t># grep pam_tally2.so /etc/pam.d/common-auth</t>
    </r>
    <r>
      <rPr>
        <sz val="11"/>
        <color rgb="FF000000"/>
        <rFont val="Calibri"/>
      </rPr>
      <t xml:space="preserve">
</t>
    </r>
    <r>
      <rPr>
        <sz val="11"/>
        <color rgb="FF000000"/>
        <rFont val="Calibri"/>
      </rPr>
      <t xml:space="preserve">The output should contain "deny=3" in the returned line. </t>
    </r>
    <r>
      <rPr>
        <sz val="11"/>
        <color rgb="FF000000"/>
        <rFont val="Calibri"/>
      </rPr>
      <t xml:space="preserve">
</t>
    </r>
    <r>
      <rPr>
        <sz val="11"/>
        <color rgb="FF000000"/>
        <rFont val="Calibri"/>
      </rPr>
      <t>If the output does not contain "deny=3", this is a finding.</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auth    required       pam_tally2.so deny=3 onerr=fail even_deny_root unlock_time=86400 root_unlock_time=300</t>
    </r>
  </si>
  <si>
    <t>V-88363</t>
  </si>
  <si>
    <r>
      <rPr>
        <sz val="11"/>
        <rFont val="Calibri"/>
      </rPr>
      <t>The SLES for vRealize must display the Standard Mandatory DoD Notice and Consent Banner before granting access via SSH.</t>
    </r>
  </si>
  <si>
    <r>
      <rPr>
        <sz val="11"/>
        <color rgb="FF000000"/>
        <rFont val="Calibri"/>
      </rPr>
      <t>To configure the SSH daemon with the logon warning banners, modify /etc/ssh/sshd_config execute the following command:</t>
    </r>
    <r>
      <rPr>
        <sz val="11"/>
        <color rgb="FF000000"/>
        <rFont val="Calibri"/>
      </rPr>
      <t xml:space="preserve">
</t>
    </r>
    <r>
      <rPr>
        <sz val="11"/>
        <color rgb="FF000000"/>
        <rFont val="Calibri"/>
      </rPr>
      <t># sed -i "/^[^#]*Banner/ c\Banner /etc/issue" /etc/ssh/sshd_config</t>
    </r>
    <r>
      <rPr>
        <sz val="11"/>
        <color rgb="FF000000"/>
        <rFont val="Calibri"/>
      </rPr>
      <t xml:space="preserve">
</t>
    </r>
    <r>
      <rPr>
        <sz val="11"/>
        <color rgb="FF000000"/>
        <rFont val="Calibri"/>
      </rPr>
      <t>The SSH service will need to be restarted after the above change has been made to SSH. This can be done by running the following command:</t>
    </r>
    <r>
      <rPr>
        <sz val="11"/>
        <color rgb="FF000000"/>
        <rFont val="Calibri"/>
      </rPr>
      <t xml:space="preserve">
</t>
    </r>
    <r>
      <rPr>
        <sz val="11"/>
        <color rgb="FF000000"/>
        <rFont val="Calibri"/>
      </rPr>
      <t># service sshd restart</t>
    </r>
  </si>
  <si>
    <r>
      <rPr>
        <sz val="11"/>
        <color rgb="FF000000"/>
        <rFont val="Calibri"/>
      </rPr>
      <t>Display of a standardized and approved use notification before granting access to the SLES for vRealize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 and are not required when such human interfaces do not exist.</t>
    </r>
    <r>
      <rPr>
        <sz val="11"/>
        <color rgb="FF000000"/>
        <rFont val="Calibri"/>
      </rPr>
      <t xml:space="preserve">
</t>
    </r>
    <r>
      <rPr>
        <sz val="11"/>
        <color rgb="FF000000"/>
        <rFont val="Calibri"/>
      </rPr>
      <t>The banner must be formatted in accordance with applicable DoD policy. Use the following verbiage for SLES for vRealize systems that can accommodate banners of 1300 characters: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Use the following verbiage for SLES for vRealize systems that have severe limitations on the number of characters that can be displayed in the banner:</t>
    </r>
    <r>
      <rPr>
        <sz val="11"/>
        <color rgb="FF000000"/>
        <rFont val="Calibri"/>
      </rPr>
      <t xml:space="preserve">
</t>
    </r>
    <r>
      <rPr>
        <sz val="11"/>
        <color rgb="FF000000"/>
        <rFont val="Calibri"/>
      </rPr>
      <t>"I've read &amp; consent to terms in IS user agreem't."</t>
    </r>
  </si>
  <si>
    <r>
      <rPr>
        <sz val="11"/>
        <color rgb="FF000000"/>
        <rFont val="Calibri"/>
      </rPr>
      <t>Check that the SSH daemon is configured for logon warning banners:</t>
    </r>
    <r>
      <rPr>
        <sz val="11"/>
        <color rgb="FF000000"/>
        <rFont val="Calibri"/>
      </rPr>
      <t xml:space="preserve">
</t>
    </r>
    <r>
      <rPr>
        <sz val="11"/>
        <color rgb="FF000000"/>
        <rFont val="Calibri"/>
      </rPr>
      <t># grep -i banner /etc/ssh/sshd_config | grep -v '#'</t>
    </r>
    <r>
      <rPr>
        <sz val="11"/>
        <color rgb="FF000000"/>
        <rFont val="Calibri"/>
      </rPr>
      <t xml:space="preserve">
</t>
    </r>
    <r>
      <rPr>
        <sz val="11"/>
        <color rgb="FF000000"/>
        <rFont val="Calibri"/>
      </rPr>
      <t>The output should contain "Banner /etc/issue".</t>
    </r>
    <r>
      <rPr>
        <sz val="11"/>
        <color rgb="FF000000"/>
        <rFont val="Calibri"/>
      </rPr>
      <t xml:space="preserve">
</t>
    </r>
    <r>
      <rPr>
        <sz val="11"/>
        <color rgb="FF000000"/>
        <rFont val="Calibri"/>
      </rPr>
      <t>If the output does not contain "Banner /etc/issue", this is a finding.</t>
    </r>
  </si>
  <si>
    <t>V-88365</t>
  </si>
  <si>
    <r>
      <rPr>
        <sz val="11"/>
        <rFont val="Calibri"/>
      </rPr>
      <t>The SLES for vRealize must limit the number of concurrent sessions to ten for all accounts and/or account types.</t>
    </r>
  </si>
  <si>
    <r>
      <rPr>
        <sz val="11"/>
        <color rgb="FF000000"/>
        <rFont val="Calibri"/>
      </rPr>
      <t>Configure the SLES for vRealize to limit the number of concurrent sessions to "10" for all accounts and/or account types by using the following command:</t>
    </r>
    <r>
      <rPr>
        <sz val="11"/>
        <color rgb="FF000000"/>
        <rFont val="Calibri"/>
      </rPr>
      <t xml:space="preserve">
</t>
    </r>
    <r>
      <rPr>
        <sz val="11"/>
        <color rgb="FF000000"/>
        <rFont val="Calibri"/>
      </rPr>
      <t>sed -i 's/\(^* *hard *maxlogins\).*/*              hard    maxlogins      10/g' /etc/security/limits.conf</t>
    </r>
  </si>
  <si>
    <r>
      <rPr>
        <sz val="11"/>
        <color rgb="FF000000"/>
        <rFont val="Calibri"/>
      </rPr>
      <t>Operating system management includes the ability to control the number of users and user sessions that utilize an operating system. Limiting the number of allowed users and sessions per user is helpful in reducing the risks related to DoS attacks.</t>
    </r>
    <r>
      <rPr>
        <sz val="11"/>
        <color rgb="FF000000"/>
        <rFont val="Calibri"/>
      </rPr>
      <t xml:space="preserve">
</t>
    </r>
    <r>
      <rPr>
        <sz val="11"/>
        <color rgb="FF000000"/>
        <rFont val="Calibri"/>
      </rPr>
      <t>This requirement addresses concurrent sessions for information system accounts and does not address concurrent sessions by single users via multiple system accounts. The maximum number of concurrent sessions should be defined based upon mission needs and the operational environment for each system.</t>
    </r>
  </si>
  <si>
    <r>
      <rPr>
        <sz val="11"/>
        <color rgb="FF000000"/>
        <rFont val="Calibri"/>
      </rPr>
      <t>Verify the SLES for vRealize limits the number of concurrent sessions to "10" for all accounts and/or account types with the following command:</t>
    </r>
    <r>
      <rPr>
        <sz val="11"/>
        <color rgb="FF000000"/>
        <rFont val="Calibri"/>
      </rPr>
      <t xml:space="preserve">
</t>
    </r>
    <r>
      <rPr>
        <sz val="11"/>
        <color rgb="FF000000"/>
        <rFont val="Calibri"/>
      </rPr>
      <t xml:space="preserve"># grep maxlogins /etc/security/limits.conf  | grep -v '#' </t>
    </r>
    <r>
      <rPr>
        <sz val="11"/>
        <color rgb="FF000000"/>
        <rFont val="Calibri"/>
      </rPr>
      <t xml:space="preserve">
</t>
    </r>
    <r>
      <rPr>
        <sz val="11"/>
        <color rgb="FF000000"/>
        <rFont val="Calibri"/>
      </rPr>
      <t>The default maxlimits should be set to a max of "10" or a documented site defined number:</t>
    </r>
    <r>
      <rPr>
        <sz val="11"/>
        <color rgb="FF000000"/>
        <rFont val="Calibri"/>
      </rPr>
      <t xml:space="preserve">
</t>
    </r>
    <r>
      <rPr>
        <sz val="11"/>
        <color rgb="FF000000"/>
        <rFont val="Calibri"/>
      </rPr>
      <t>* hard    maxlogins      10</t>
    </r>
    <r>
      <rPr>
        <sz val="11"/>
        <color rgb="FF000000"/>
        <rFont val="Calibri"/>
      </rPr>
      <t xml:space="preserve">
</t>
    </r>
    <r>
      <rPr>
        <sz val="11"/>
        <color rgb="FF000000"/>
        <rFont val="Calibri"/>
      </rPr>
      <t>If the default maxlimits is not set to "10" or the documented site defined number, this is a finding.</t>
    </r>
  </si>
  <si>
    <t>V-88367</t>
  </si>
  <si>
    <r>
      <rPr>
        <sz val="11"/>
        <rFont val="Calibri"/>
      </rPr>
      <t>The SLES for vRealize must initiate a session lock after a 15-minute period of inactivity for all connection types.</t>
    </r>
  </si>
  <si>
    <r>
      <rPr>
        <sz val="11"/>
        <color rgb="FF000000"/>
        <rFont val="Calibri"/>
      </rPr>
      <t>Ensure the file exists and is owned by root. If the files does not exist, use the following commands to create the file:</t>
    </r>
    <r>
      <rPr>
        <sz val="11"/>
        <color rgb="FF000000"/>
        <rFont val="Calibri"/>
      </rPr>
      <t xml:space="preserve">
</t>
    </r>
    <r>
      <rPr>
        <sz val="11"/>
        <color rgb="FF000000"/>
        <rFont val="Calibri"/>
      </rPr>
      <t># touch /etc/profile.d/tmout.sh</t>
    </r>
    <r>
      <rPr>
        <sz val="11"/>
        <color rgb="FF000000"/>
        <rFont val="Calibri"/>
      </rPr>
      <t xml:space="preserve">
</t>
    </r>
    <r>
      <rPr>
        <sz val="11"/>
        <color rgb="FF000000"/>
        <rFont val="Calibri"/>
      </rPr>
      <t># chown root:root /etc/profile.d/tmout.sh</t>
    </r>
    <r>
      <rPr>
        <sz val="11"/>
        <color rgb="FF000000"/>
        <rFont val="Calibri"/>
      </rPr>
      <t xml:space="preserve">
</t>
    </r>
    <r>
      <rPr>
        <sz val="11"/>
        <color rgb="FF000000"/>
        <rFont val="Calibri"/>
      </rPr>
      <t># chmod 644 /etc/profile.d/tmout.sh</t>
    </r>
    <r>
      <rPr>
        <sz val="11"/>
        <color rgb="FF000000"/>
        <rFont val="Calibri"/>
      </rPr>
      <t xml:space="preserve">
</t>
    </r>
    <r>
      <rPr>
        <sz val="11"/>
        <color rgb="FF000000"/>
        <rFont val="Calibri"/>
      </rPr>
      <t xml:space="preserve">Edit the file "/etc/profile.d/tmout.sh", and add the following lines: </t>
    </r>
    <r>
      <rPr>
        <sz val="11"/>
        <color rgb="FF000000"/>
        <rFont val="Calibri"/>
      </rPr>
      <t xml:space="preserve">
</t>
    </r>
    <r>
      <rPr>
        <sz val="11"/>
        <color rgb="FF000000"/>
        <rFont val="Calibri"/>
      </rPr>
      <t>TMOUT=900</t>
    </r>
    <r>
      <rPr>
        <sz val="11"/>
        <color rgb="FF000000"/>
        <rFont val="Calibri"/>
      </rPr>
      <t xml:space="preserve">
</t>
    </r>
    <r>
      <rPr>
        <sz val="11"/>
        <color rgb="FF000000"/>
        <rFont val="Calibri"/>
      </rPr>
      <t>readonly TMOUT</t>
    </r>
    <r>
      <rPr>
        <sz val="11"/>
        <color rgb="FF000000"/>
        <rFont val="Calibri"/>
      </rPr>
      <t xml:space="preserve">
</t>
    </r>
    <r>
      <rPr>
        <sz val="11"/>
        <color rgb="FF000000"/>
        <rFont val="Calibri"/>
      </rPr>
      <t>export TMOUT</t>
    </r>
    <r>
      <rPr>
        <sz val="11"/>
        <color rgb="FF000000"/>
        <rFont val="Calibri"/>
      </rPr>
      <t xml:space="preserve">
</t>
    </r>
    <r>
      <rPr>
        <sz val="11"/>
        <color rgb="FF000000"/>
        <rFont val="Calibri"/>
      </rPr>
      <t>mesg n 2&gt;/dev/null</t>
    </r>
  </si>
  <si>
    <r>
      <rPr>
        <sz val="11"/>
        <color rgb="FF000000"/>
        <rFont val="Calibri"/>
      </rPr>
      <t>A session time-out lock is a temporary action taken when a user stops work and moves away from the immediate physical vicinity of the information system but does not log out because of the temporary nature of the absence. Rather than relying on the user to manually lock their operating system session prior to vacating the vicinity, SLES for vRealize needs to be able to identify when a user's session has idled and take action to initiate the session lock.</t>
    </r>
    <r>
      <rPr>
        <sz val="11"/>
        <color rgb="FF000000"/>
        <rFont val="Calibri"/>
      </rPr>
      <t xml:space="preserve">
</t>
    </r>
    <r>
      <rPr>
        <sz val="11"/>
        <color rgb="FF000000"/>
        <rFont val="Calibri"/>
      </rPr>
      <t>The session lock is implemented at the point where session activity can be determined and/or controlled.</t>
    </r>
  </si>
  <si>
    <r>
      <rPr>
        <sz val="11"/>
        <color rgb="FF000000"/>
        <rFont val="Calibri"/>
      </rPr>
      <t>Check for the existence of the /etc/profile.d/tmout.sh file:</t>
    </r>
    <r>
      <rPr>
        <sz val="11"/>
        <color rgb="FF000000"/>
        <rFont val="Calibri"/>
      </rPr>
      <t xml:space="preserve">
</t>
    </r>
    <r>
      <rPr>
        <sz val="11"/>
        <color rgb="FF000000"/>
        <rFont val="Calibri"/>
      </rPr>
      <t># ls -al /etc/profile.d/tmout.sh</t>
    </r>
    <r>
      <rPr>
        <sz val="11"/>
        <color rgb="FF000000"/>
        <rFont val="Calibri"/>
      </rPr>
      <t xml:space="preserve">
</t>
    </r>
    <r>
      <rPr>
        <sz val="11"/>
        <color rgb="FF000000"/>
        <rFont val="Calibri"/>
      </rPr>
      <t>Check for the presence of the "TMOUT" variable:</t>
    </r>
    <r>
      <rPr>
        <sz val="11"/>
        <color rgb="FF000000"/>
        <rFont val="Calibri"/>
      </rPr>
      <t xml:space="preserve">
</t>
    </r>
    <r>
      <rPr>
        <sz val="11"/>
        <color rgb="FF000000"/>
        <rFont val="Calibri"/>
      </rPr>
      <t># grep TMOUT /etc/profile.d/tmout.sh</t>
    </r>
    <r>
      <rPr>
        <sz val="11"/>
        <color rgb="FF000000"/>
        <rFont val="Calibri"/>
      </rPr>
      <t xml:space="preserve">
</t>
    </r>
    <r>
      <rPr>
        <sz val="11"/>
        <color rgb="FF000000"/>
        <rFont val="Calibri"/>
      </rPr>
      <t>The value of "TMOUT" should be set to 900 seconds (15 minutes).</t>
    </r>
    <r>
      <rPr>
        <sz val="11"/>
        <color rgb="FF000000"/>
        <rFont val="Calibri"/>
      </rPr>
      <t xml:space="preserve">
</t>
    </r>
    <r>
      <rPr>
        <sz val="11"/>
        <color rgb="FF000000"/>
        <rFont val="Calibri"/>
      </rPr>
      <t>If the file does not exist, or the "TMOUT" variable is not set, this is a finding.</t>
    </r>
  </si>
  <si>
    <t>V-88369</t>
  </si>
  <si>
    <r>
      <rPr>
        <sz val="11"/>
        <rFont val="Calibri"/>
      </rPr>
      <t>The SLES for vRealize must initiate a session lock after a 15-minute period of inactivity for an SSH connection.</t>
    </r>
  </si>
  <si>
    <r>
      <rPr>
        <sz val="11"/>
        <color rgb="FF000000"/>
        <rFont val="Calibri"/>
      </rPr>
      <t>Configure SLES for vRealize to initiate a session lock after a 15-minute period of inactivity for SSH.</t>
    </r>
    <r>
      <rPr>
        <sz val="11"/>
        <color rgb="FF000000"/>
        <rFont val="Calibri"/>
      </rPr>
      <t xml:space="preserve">
</t>
    </r>
    <r>
      <rPr>
        <sz val="11"/>
        <color rgb="FF000000"/>
        <rFont val="Calibri"/>
      </rPr>
      <t>Set the session lock after a 15-minute period by executing the following command:</t>
    </r>
    <r>
      <rPr>
        <sz val="11"/>
        <color rgb="FF000000"/>
        <rFont val="Calibri"/>
      </rPr>
      <t xml:space="preserve">
</t>
    </r>
    <r>
      <rPr>
        <sz val="11"/>
        <color rgb="FF000000"/>
        <rFont val="Calibri"/>
      </rPr>
      <t># sed -i 's/^.*\bClientAliveInterval\b.*$/ClientAliveInterval 900/' /etc/ssh/sshd_config; sed -i 's/^.*\bClientAliveCountMax\b.*$/ClientAliveCountMax 0/' /etc/ssh/sshd_config</t>
    </r>
  </si>
  <si>
    <r>
      <rPr>
        <sz val="11"/>
        <color rgb="FF000000"/>
        <rFont val="Calibri"/>
      </rPr>
      <t xml:space="preserve">Verify SLES for vRealize initiates a session lock after a 15-minute period of inactivity for SSH. </t>
    </r>
    <r>
      <rPr>
        <sz val="11"/>
        <color rgb="FF000000"/>
        <rFont val="Calibri"/>
      </rPr>
      <t xml:space="preserve">
</t>
    </r>
    <r>
      <rPr>
        <sz val="11"/>
        <color rgb="FF000000"/>
        <rFont val="Calibri"/>
      </rPr>
      <t>Execute the following command:</t>
    </r>
    <r>
      <rPr>
        <sz val="11"/>
        <color rgb="FF000000"/>
        <rFont val="Calibri"/>
      </rPr>
      <t xml:space="preserve">
</t>
    </r>
    <r>
      <rPr>
        <sz val="11"/>
        <color rgb="FF000000"/>
        <rFont val="Calibri"/>
      </rPr>
      <t># grep ClientAliveInterval /etc/ssh/sshd_config; grep  ClientAliveCountMax /etc/ssh/sshd_config</t>
    </r>
    <r>
      <rPr>
        <sz val="11"/>
        <color rgb="FF000000"/>
        <rFont val="Calibri"/>
      </rPr>
      <t xml:space="preserve">
</t>
    </r>
    <r>
      <rPr>
        <sz val="11"/>
        <color rgb="FF000000"/>
        <rFont val="Calibri"/>
      </rPr>
      <t>Verify the following result:</t>
    </r>
    <r>
      <rPr>
        <sz val="11"/>
        <color rgb="FF000000"/>
        <rFont val="Calibri"/>
      </rPr>
      <t xml:space="preserve">
</t>
    </r>
    <r>
      <rPr>
        <sz val="11"/>
        <color rgb="FF000000"/>
        <rFont val="Calibri"/>
      </rPr>
      <t xml:space="preserve">ClientAliveInterval 900 </t>
    </r>
    <r>
      <rPr>
        <sz val="11"/>
        <color rgb="FF000000"/>
        <rFont val="Calibri"/>
      </rPr>
      <t xml:space="preserve">
</t>
    </r>
    <r>
      <rPr>
        <sz val="11"/>
        <color rgb="FF000000"/>
        <rFont val="Calibri"/>
      </rPr>
      <t>ClientAliveCountMax 0</t>
    </r>
    <r>
      <rPr>
        <sz val="11"/>
        <color rgb="FF000000"/>
        <rFont val="Calibri"/>
      </rPr>
      <t xml:space="preserve">
</t>
    </r>
    <r>
      <rPr>
        <sz val="11"/>
        <color rgb="FF000000"/>
        <rFont val="Calibri"/>
      </rPr>
      <t>If the session lock is not set to a 15-minute period, this is a finding.</t>
    </r>
  </si>
  <si>
    <t>V-88371</t>
  </si>
  <si>
    <r>
      <rPr>
        <sz val="11"/>
        <rFont val="Calibri"/>
      </rPr>
      <t>The SLES for vRealize must monitor remote access methods - SSH Daemon.</t>
    </r>
  </si>
  <si>
    <r>
      <rPr>
        <sz val="11"/>
        <color rgb="FF000000"/>
        <rFont val="Calibri"/>
      </rPr>
      <t>To configure SSH to verbosely log connection attempts and failed logon attempts to the server, run the following command:</t>
    </r>
    <r>
      <rPr>
        <sz val="11"/>
        <color rgb="FF000000"/>
        <rFont val="Calibri"/>
      </rPr>
      <t xml:space="preserve">
</t>
    </r>
    <r>
      <rPr>
        <sz val="11"/>
        <color rgb="FF000000"/>
        <rFont val="Calibri"/>
      </rPr>
      <t># sed -i 's/^.*\bLogLevel\b.*$/LogLevel VERBOSE/' /etc/ssh/sshd_config</t>
    </r>
    <r>
      <rPr>
        <sz val="11"/>
        <color rgb="FF000000"/>
        <rFont val="Calibri"/>
      </rPr>
      <t xml:space="preserve">
</t>
    </r>
    <r>
      <rPr>
        <sz val="11"/>
        <color rgb="FF000000"/>
        <rFont val="Calibri"/>
      </rPr>
      <t>The SSH service will need to be restarted after the above change has been made to SSH. This can be done by running the following command:</t>
    </r>
    <r>
      <rPr>
        <sz val="11"/>
        <color rgb="FF000000"/>
        <rFont val="Calibri"/>
      </rPr>
      <t xml:space="preserve">
</t>
    </r>
    <r>
      <rPr>
        <sz val="11"/>
        <color rgb="FF000000"/>
        <rFont val="Calibri"/>
      </rPr>
      <t># service sshd restart</t>
    </r>
  </si>
  <si>
    <r>
      <rPr>
        <sz val="11"/>
        <color rgb="FF000000"/>
        <rFont val="Calibri"/>
      </rPr>
      <t>Remote access services, such as those providing remote access to network devices and information systems, which lack automated monitoring capabilities, increase risk and make remote user access management difficult at best.</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Automated monitoring of remote access sessions allows organizations to detect cyber attacks and also ensure ongoing compliance with remote access policies by auditing connection activities of remote access capabilities, such as Remote Desktop Protocol (RDP), on a variety of information system components (e.g., servers, workstations, notebook computers, smartphones, and tablets).</t>
    </r>
  </si>
  <si>
    <r>
      <rPr>
        <sz val="11"/>
        <color rgb="FF000000"/>
        <rFont val="Calibri"/>
      </rPr>
      <t>Verify that SSH is configured to verbosely log connection attempts and failed logon attempts to the server by running the following command:</t>
    </r>
    <r>
      <rPr>
        <sz val="11"/>
        <color rgb="FF000000"/>
        <rFont val="Calibri"/>
      </rPr>
      <t xml:space="preserve">
</t>
    </r>
    <r>
      <rPr>
        <sz val="11"/>
        <color rgb="FF000000"/>
        <rFont val="Calibri"/>
      </rPr>
      <t xml:space="preserve"># grep LogLevel /etc/ssh/sshd_config  | grep -v '#' </t>
    </r>
    <r>
      <rPr>
        <sz val="11"/>
        <color rgb="FF000000"/>
        <rFont val="Calibri"/>
      </rPr>
      <t xml:space="preserve">
</t>
    </r>
    <r>
      <rPr>
        <sz val="11"/>
        <color rgb="FF000000"/>
        <rFont val="Calibri"/>
      </rPr>
      <t>The output message must contain the following text:</t>
    </r>
    <r>
      <rPr>
        <sz val="11"/>
        <color rgb="FF000000"/>
        <rFont val="Calibri"/>
      </rPr>
      <t xml:space="preserve">
</t>
    </r>
    <r>
      <rPr>
        <sz val="11"/>
        <color rgb="FF000000"/>
        <rFont val="Calibri"/>
      </rPr>
      <t>LogLevel VERBOSE</t>
    </r>
    <r>
      <rPr>
        <sz val="11"/>
        <color rgb="FF000000"/>
        <rFont val="Calibri"/>
      </rPr>
      <t xml:space="preserve">
</t>
    </r>
    <r>
      <rPr>
        <sz val="11"/>
        <color rgb="FF000000"/>
        <rFont val="Calibri"/>
      </rPr>
      <t>If it is not set to "VERBOSE", this is a finding.</t>
    </r>
  </si>
  <si>
    <t>V-88373</t>
  </si>
  <si>
    <r>
      <rPr>
        <sz val="11"/>
        <rFont val="Calibri"/>
      </rPr>
      <t>The SLES for vRealize must implement DoD-approved encryption to protect the confidentiality of remote access sessions - SSH Daemon.</t>
    </r>
  </si>
  <si>
    <r>
      <rPr>
        <sz val="11"/>
        <color rgb="FF000000"/>
        <rFont val="Calibri"/>
      </rPr>
      <t xml:space="preserve">Update the Ciphers directive with the following command: </t>
    </r>
    <r>
      <rPr>
        <sz val="11"/>
        <color rgb="FF000000"/>
        <rFont val="Calibri"/>
      </rPr>
      <t xml:space="preserve">
</t>
    </r>
    <r>
      <rPr>
        <sz val="11"/>
        <color rgb="FF000000"/>
        <rFont val="Calibri"/>
      </rPr>
      <t># sed -i "/^[^#]*Ciphers/ c\Ciphers aes256-ctr,aes128-ctr" /etc/ssh/sshd_config</t>
    </r>
    <r>
      <rPr>
        <sz val="11"/>
        <color rgb="FF000000"/>
        <rFont val="Calibri"/>
      </rPr>
      <t xml:space="preserve">
</t>
    </r>
    <r>
      <rPr>
        <sz val="11"/>
        <color rgb="FF000000"/>
        <rFont val="Calibri"/>
      </rPr>
      <t xml:space="preserve">Save and close the file. Restart the sshd process: </t>
    </r>
    <r>
      <rPr>
        <sz val="11"/>
        <color rgb="FF000000"/>
        <rFont val="Calibri"/>
      </rPr>
      <t xml:space="preserve">
</t>
    </r>
    <r>
      <rPr>
        <sz val="11"/>
        <color rgb="FF000000"/>
        <rFont val="Calibri"/>
      </rPr>
      <t># service sshd restart</t>
    </r>
  </si>
  <si>
    <r>
      <rPr>
        <sz val="11"/>
        <color rgb="FF000000"/>
        <rFont val="Calibri"/>
      </rPr>
      <t>Without confidentiality protection mechanisms, unauthorized individuals may gain access to sensitive information via a remote access session.</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Encryption provides a means to secure the remote connection to prevent unauthorized access to the data traversing the remote access connection (e.g., RDP), thereby providing a degree of confidentiality. The encryption strength of a mechanism is selected based on the security categorization of the information.</t>
    </r>
  </si>
  <si>
    <r>
      <rPr>
        <sz val="11"/>
        <color rgb="FF000000"/>
        <rFont val="Calibri"/>
      </rPr>
      <t>Check the SSH daemon configuration for DoD-approved encryption to protect the confidentiality of SSH remote connections by performing the following commands:</t>
    </r>
    <r>
      <rPr>
        <sz val="11"/>
        <color rgb="FF000000"/>
        <rFont val="Calibri"/>
      </rPr>
      <t xml:space="preserve">
</t>
    </r>
    <r>
      <rPr>
        <sz val="11"/>
        <color rgb="FF000000"/>
        <rFont val="Calibri"/>
      </rPr>
      <t>Check the Cipher setting in the sshd_config file.</t>
    </r>
    <r>
      <rPr>
        <sz val="11"/>
        <color rgb="FF000000"/>
        <rFont val="Calibri"/>
      </rPr>
      <t xml:space="preserve">
</t>
    </r>
    <r>
      <rPr>
        <sz val="11"/>
        <color rgb="FF000000"/>
        <rFont val="Calibri"/>
      </rPr>
      <t xml:space="preserve"># grep -i Ciphers /etc/ssh/sshd_config  | grep -v '#' </t>
    </r>
    <r>
      <rPr>
        <sz val="11"/>
        <color rgb="FF000000"/>
        <rFont val="Calibri"/>
      </rPr>
      <t xml:space="preserve">
</t>
    </r>
    <r>
      <rPr>
        <sz val="11"/>
        <color rgb="FF000000"/>
        <rFont val="Calibri"/>
      </rPr>
      <t>The output must contain either none or any number of the following algorithms:</t>
    </r>
    <r>
      <rPr>
        <sz val="11"/>
        <color rgb="FF000000"/>
        <rFont val="Calibri"/>
      </rPr>
      <t xml:space="preserve">
</t>
    </r>
    <r>
      <rPr>
        <sz val="11"/>
        <color rgb="FF000000"/>
        <rFont val="Calibri"/>
      </rPr>
      <t>aes128-ctr, aes256-ctr.</t>
    </r>
    <r>
      <rPr>
        <sz val="11"/>
        <color rgb="FF000000"/>
        <rFont val="Calibri"/>
      </rPr>
      <t xml:space="preserve">
</t>
    </r>
    <r>
      <rPr>
        <sz val="11"/>
        <color rgb="FF000000"/>
        <rFont val="Calibri"/>
      </rPr>
      <t>If the output contains an algorithm not listed above, this is a finding.</t>
    </r>
    <r>
      <rPr>
        <sz val="11"/>
        <color rgb="FF000000"/>
        <rFont val="Calibri"/>
      </rPr>
      <t xml:space="preserve">
</t>
    </r>
    <r>
      <rPr>
        <sz val="11"/>
        <color rgb="FF000000"/>
        <rFont val="Calibri"/>
      </rPr>
      <t>Expected Output:</t>
    </r>
    <r>
      <rPr>
        <sz val="11"/>
        <color rgb="FF000000"/>
        <rFont val="Calibri"/>
      </rPr>
      <t xml:space="preserve">
</t>
    </r>
    <r>
      <rPr>
        <sz val="11"/>
        <color rgb="FF000000"/>
        <rFont val="Calibri"/>
      </rPr>
      <t>Ciphers aes256-ctr,aes128-ctr</t>
    </r>
  </si>
  <si>
    <t>V-88375</t>
  </si>
  <si>
    <r>
      <rPr>
        <sz val="11"/>
        <rFont val="Calibri"/>
      </rPr>
      <t>The SLES for vRealize must implement DoD-approved encryption to protect the confidentiality of remote access sessions - SSH Client.</t>
    </r>
  </si>
  <si>
    <r>
      <rPr>
        <sz val="11"/>
        <color rgb="FF000000"/>
        <rFont val="Calibri"/>
      </rPr>
      <t xml:space="preserve">Update the Ciphers directive with the following command: </t>
    </r>
    <r>
      <rPr>
        <sz val="11"/>
        <color rgb="FF000000"/>
        <rFont val="Calibri"/>
      </rPr>
      <t xml:space="preserve">
</t>
    </r>
    <r>
      <rPr>
        <sz val="11"/>
        <color rgb="FF000000"/>
        <rFont val="Calibri"/>
      </rPr>
      <t># sed -i "/^[^#]*Ciphers/ c\Ciphers aes256-ctr,aes128-ctr" /etc/ssh/ssh_config</t>
    </r>
    <r>
      <rPr>
        <sz val="11"/>
        <color rgb="FF000000"/>
        <rFont val="Calibri"/>
      </rPr>
      <t xml:space="preserve">
</t>
    </r>
    <r>
      <rPr>
        <sz val="11"/>
        <color rgb="FF000000"/>
        <rFont val="Calibri"/>
      </rPr>
      <t>Save and close the file.</t>
    </r>
  </si>
  <si>
    <r>
      <rPr>
        <sz val="11"/>
        <color rgb="FF000000"/>
        <rFont val="Calibri"/>
      </rPr>
      <t>Check the SSH daemon configuration for DoD-approved encryption to protect the confidentiality of SSH remote connections by performing the following commands:</t>
    </r>
    <r>
      <rPr>
        <sz val="11"/>
        <color rgb="FF000000"/>
        <rFont val="Calibri"/>
      </rPr>
      <t xml:space="preserve">
</t>
    </r>
    <r>
      <rPr>
        <sz val="11"/>
        <color rgb="FF000000"/>
        <rFont val="Calibri"/>
      </rPr>
      <t>Check the Cipher setting in the ssh_config file.</t>
    </r>
    <r>
      <rPr>
        <sz val="11"/>
        <color rgb="FF000000"/>
        <rFont val="Calibri"/>
      </rPr>
      <t xml:space="preserve">
</t>
    </r>
    <r>
      <rPr>
        <sz val="11"/>
        <color rgb="FF000000"/>
        <rFont val="Calibri"/>
      </rPr>
      <t xml:space="preserve"># grep -i Ciphers /etc/ssh/ssh_config  | grep -v '#' </t>
    </r>
    <r>
      <rPr>
        <sz val="11"/>
        <color rgb="FF000000"/>
        <rFont val="Calibri"/>
      </rPr>
      <t xml:space="preserve">
</t>
    </r>
    <r>
      <rPr>
        <sz val="11"/>
        <color rgb="FF000000"/>
        <rFont val="Calibri"/>
      </rPr>
      <t>The output must contain either none or any number of the following algorithms:</t>
    </r>
    <r>
      <rPr>
        <sz val="11"/>
        <color rgb="FF000000"/>
        <rFont val="Calibri"/>
      </rPr>
      <t xml:space="preserve">
</t>
    </r>
    <r>
      <rPr>
        <sz val="11"/>
        <color rgb="FF000000"/>
        <rFont val="Calibri"/>
      </rPr>
      <t>aes128-ctr, aes256-ctr.</t>
    </r>
    <r>
      <rPr>
        <sz val="11"/>
        <color rgb="FF000000"/>
        <rFont val="Calibri"/>
      </rPr>
      <t xml:space="preserve">
</t>
    </r>
    <r>
      <rPr>
        <sz val="11"/>
        <color rgb="FF000000"/>
        <rFont val="Calibri"/>
      </rPr>
      <t>If the output contains an algorithm not listed above, this is a finding.</t>
    </r>
    <r>
      <rPr>
        <sz val="11"/>
        <color rgb="FF000000"/>
        <rFont val="Calibri"/>
      </rPr>
      <t xml:space="preserve">
</t>
    </r>
    <r>
      <rPr>
        <sz val="11"/>
        <color rgb="FF000000"/>
        <rFont val="Calibri"/>
      </rPr>
      <t>Expected Output:</t>
    </r>
    <r>
      <rPr>
        <sz val="11"/>
        <color rgb="FF000000"/>
        <rFont val="Calibri"/>
      </rPr>
      <t xml:space="preserve">
</t>
    </r>
    <r>
      <rPr>
        <sz val="11"/>
        <color rgb="FF000000"/>
        <rFont val="Calibri"/>
      </rPr>
      <t>Ciphers aes256-ctr,aes128-ctr</t>
    </r>
  </si>
  <si>
    <t>V-88377</t>
  </si>
  <si>
    <r>
      <rPr>
        <sz val="11"/>
        <rFont val="Calibri"/>
      </rPr>
      <t>The SLES for vRealize must produce audit records.</t>
    </r>
  </si>
  <si>
    <r>
      <rPr>
        <sz val="11"/>
        <color rgb="FF000000"/>
        <rFont val="Calibri"/>
      </rPr>
      <t>Enable the "auditd" service by performing the following commands:</t>
    </r>
    <r>
      <rPr>
        <sz val="11"/>
        <color rgb="FF000000"/>
        <rFont val="Calibri"/>
      </rPr>
      <t xml:space="preserve">
</t>
    </r>
    <r>
      <rPr>
        <sz val="11"/>
        <color rgb="FF000000"/>
        <rFont val="Calibri"/>
      </rPr>
      <t># chkconfig auditd on</t>
    </r>
    <r>
      <rPr>
        <sz val="11"/>
        <color rgb="FF000000"/>
        <rFont val="Calibri"/>
      </rPr>
      <t xml:space="preserve">
</t>
    </r>
    <r>
      <rPr>
        <sz val="11"/>
        <color rgb="FF000000"/>
        <rFont val="Calibri"/>
      </rPr>
      <t># service auditd start</t>
    </r>
  </si>
  <si>
    <r>
      <rPr>
        <sz val="11"/>
        <color rgb="FF000000"/>
        <rFont val="Calibri"/>
      </rPr>
      <t>Without establishing what type of events occurred, it would be difficult to establish, correlate, and investigate the events leading up to an outage or attack.</t>
    </r>
    <r>
      <rPr>
        <sz val="11"/>
        <color rgb="FF000000"/>
        <rFont val="Calibri"/>
      </rPr>
      <t xml:space="preserve">
</t>
    </r>
    <r>
      <rPr>
        <sz val="11"/>
        <color rgb="FF000000"/>
        <rFont val="Calibri"/>
      </rPr>
      <t>Audit record content that may be necessary to satisfy this requirement includes, for example, time stamps, source and destination addresses, user/process identifiers, event descriptions, success/fail indications, filenames involved, and access control or flow control rules invoked.</t>
    </r>
    <r>
      <rPr>
        <sz val="11"/>
        <color rgb="FF000000"/>
        <rFont val="Calibri"/>
      </rPr>
      <t xml:space="preserve">
</t>
    </r>
    <r>
      <rPr>
        <sz val="11"/>
        <color rgb="FF000000"/>
        <rFont val="Calibri"/>
      </rPr>
      <t>Associating event types with detected events in the SLES for vRealize audit logs provides a means of investigating an attack; recognizing resource utilization or capacity thresholds; or identifying an improperly configured operating system.</t>
    </r>
  </si>
  <si>
    <r>
      <rPr>
        <sz val="11"/>
        <color rgb="FF000000"/>
        <rFont val="Calibri"/>
      </rPr>
      <t>Verify SLES for vRealize produces audit records by running the following command to determine the current status of the "auditd" service:</t>
    </r>
    <r>
      <rPr>
        <sz val="11"/>
        <color rgb="FF000000"/>
        <rFont val="Calibri"/>
      </rPr>
      <t xml:space="preserve">
</t>
    </r>
    <r>
      <rPr>
        <sz val="11"/>
        <color rgb="FF000000"/>
        <rFont val="Calibri"/>
      </rPr>
      <t># service auditd status</t>
    </r>
    <r>
      <rPr>
        <sz val="11"/>
        <color rgb="FF000000"/>
        <rFont val="Calibri"/>
      </rPr>
      <t xml:space="preserve">
</t>
    </r>
    <r>
      <rPr>
        <sz val="11"/>
        <color rgb="FF000000"/>
        <rFont val="Calibri"/>
      </rPr>
      <t>If the service is enabled, the returned message must contain the following text:</t>
    </r>
    <r>
      <rPr>
        <sz val="11"/>
        <color rgb="FF000000"/>
        <rFont val="Calibri"/>
      </rPr>
      <t xml:space="preserve">
</t>
    </r>
    <r>
      <rPr>
        <sz val="11"/>
        <color rgb="FF000000"/>
        <rFont val="Calibri"/>
      </rPr>
      <t xml:space="preserve">Checking for: </t>
    </r>
    <r>
      <rPr>
        <sz val="11"/>
        <color rgb="FF000000"/>
        <rFont val="Calibri"/>
      </rPr>
      <t xml:space="preserve">
</t>
    </r>
    <r>
      <rPr>
        <sz val="11"/>
        <color rgb="FF000000"/>
        <rFont val="Calibri"/>
      </rPr>
      <t>service   auditd   running</t>
    </r>
    <r>
      <rPr>
        <sz val="11"/>
        <color rgb="FF000000"/>
        <rFont val="Calibri"/>
      </rPr>
      <t xml:space="preserve">
</t>
    </r>
    <r>
      <rPr>
        <sz val="11"/>
        <color rgb="FF000000"/>
        <rFont val="Calibri"/>
      </rPr>
      <t>If the service is not running, this is a finding.</t>
    </r>
  </si>
  <si>
    <t>V-88379</t>
  </si>
  <si>
    <r>
      <rPr>
        <sz val="11"/>
        <rFont val="Calibri"/>
      </rPr>
      <t>The SLES for vRealize must alert the ISSO and SA (at a minimum) in the event of an audit processing failure.</t>
    </r>
  </si>
  <si>
    <r>
      <rPr>
        <sz val="11"/>
        <color rgb="FF000000"/>
        <rFont val="Calibri"/>
      </rPr>
      <t>Set the "space_left_action" parameter to the valid setting "SYSLOG", by running the following command:</t>
    </r>
    <r>
      <rPr>
        <sz val="11"/>
        <color rgb="FF000000"/>
        <rFont val="Calibri"/>
      </rPr>
      <t xml:space="preserve">
</t>
    </r>
    <r>
      <rPr>
        <sz val="11"/>
        <color rgb="FF000000"/>
        <rFont val="Calibri"/>
      </rPr>
      <t># sed -i "/^[^#]*space_left_action/ c\space_left_action = SYSLOG" /etc/audit/auditd.conf</t>
    </r>
    <r>
      <rPr>
        <sz val="11"/>
        <color rgb="FF000000"/>
        <rFont val="Calibri"/>
      </rPr>
      <t xml:space="preserve">
</t>
    </r>
    <r>
      <rPr>
        <sz val="11"/>
        <color rgb="FF000000"/>
        <rFont val="Calibri"/>
      </rPr>
      <t xml:space="preserve">Restart the audit service: </t>
    </r>
    <r>
      <rPr>
        <sz val="11"/>
        <color rgb="FF000000"/>
        <rFont val="Calibri"/>
      </rPr>
      <t xml:space="preserve">
</t>
    </r>
    <r>
      <rPr>
        <sz val="11"/>
        <color rgb="FF000000"/>
        <rFont val="Calibri"/>
      </rPr>
      <t># service auditd restart</t>
    </r>
  </si>
  <si>
    <r>
      <rPr>
        <sz val="11"/>
        <color rgb="FF000000"/>
        <rFont val="Calibri"/>
      </rPr>
      <t>It is critical for the appropriate personnel to be aware if a system is at risk of failing to process audit logs as required. Without this notification, the security personnel may be unaware of an impending failure of the audit capability, and system operation may be adversely affected.</t>
    </r>
    <r>
      <rPr>
        <sz val="11"/>
        <color rgb="FF000000"/>
        <rFont val="Calibri"/>
      </rPr>
      <t xml:space="preserve">
</t>
    </r>
    <r>
      <rPr>
        <sz val="11"/>
        <color rgb="FF000000"/>
        <rFont val="Calibri"/>
      </rPr>
      <t>Audit processing failures include software/hardware errors, failures in the audit capturing mechanisms, and audit storage capacity being reached or exceeded.</t>
    </r>
    <r>
      <rPr>
        <sz val="11"/>
        <color rgb="FF000000"/>
        <rFont val="Calibri"/>
      </rPr>
      <t xml:space="preserve">
</t>
    </r>
    <r>
      <rPr>
        <sz val="11"/>
        <color rgb="FF000000"/>
        <rFont val="Calibri"/>
      </rPr>
      <t>This requirement applies to each audit data storage repository (i.e., distinct information system component where audit records are stored), the centralized audit storage capacity of organizations (i.e., all audit data storage repositories combined), or both.</t>
    </r>
  </si>
  <si>
    <r>
      <rPr>
        <sz val="11"/>
        <color rgb="FF000000"/>
        <rFont val="Calibri"/>
      </rPr>
      <t>Check /etc/audit/auditd.conf for the "space_left_action" with the following command:</t>
    </r>
    <r>
      <rPr>
        <sz val="11"/>
        <color rgb="FF000000"/>
        <rFont val="Calibri"/>
      </rPr>
      <t xml:space="preserve">
</t>
    </r>
    <r>
      <rPr>
        <sz val="11"/>
        <color rgb="FF000000"/>
        <rFont val="Calibri"/>
      </rPr>
      <t xml:space="preserve"># cat /etc/audit/auditd.conf | grep space_left_action </t>
    </r>
    <r>
      <rPr>
        <sz val="11"/>
        <color rgb="FF000000"/>
        <rFont val="Calibri"/>
      </rPr>
      <t xml:space="preserve">
</t>
    </r>
    <r>
      <rPr>
        <sz val="11"/>
        <color rgb="FF000000"/>
        <rFont val="Calibri"/>
      </rPr>
      <t>If the "space_left_action" parameter is missing, set to "ignore", set to "suspend", set to "single", set to "halt", or is blank, this is a finding.</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space_left_action = SYSLOG</t>
    </r>
    <r>
      <rPr>
        <sz val="11"/>
        <color rgb="FF000000"/>
        <rFont val="Calibri"/>
      </rPr>
      <t xml:space="preserve">
</t>
    </r>
    <r>
      <rPr>
        <sz val="11"/>
        <color rgb="FF000000"/>
        <rFont val="Calibri"/>
      </rPr>
      <t xml:space="preserve">Notes: </t>
    </r>
    <r>
      <rPr>
        <sz val="11"/>
        <color rgb="FF000000"/>
        <rFont val="Calibri"/>
      </rPr>
      <t xml:space="preserve">
</t>
    </r>
    <r>
      <rPr>
        <sz val="11"/>
        <color rgb="FF000000"/>
        <rFont val="Calibri"/>
      </rPr>
      <t>If the space_left_action is set to "exec" the system executes a designated script. If this script informs the SA of the event, this is not a finding.</t>
    </r>
    <r>
      <rPr>
        <sz val="11"/>
        <color rgb="FF000000"/>
        <rFont val="Calibri"/>
      </rPr>
      <t xml:space="preserve">
</t>
    </r>
    <r>
      <rPr>
        <sz val="11"/>
        <color rgb="FF000000"/>
        <rFont val="Calibri"/>
      </rPr>
      <t xml:space="preserve">If the space_left_action is set to "email" and the "action_mail_acct" parameter is not set to the email address of the system administrator, this is a finding. </t>
    </r>
    <r>
      <rPr>
        <sz val="11"/>
        <color rgb="FF000000"/>
        <rFont val="Calibri"/>
      </rPr>
      <t xml:space="preserve">
</t>
    </r>
    <r>
      <rPr>
        <sz val="11"/>
        <color rgb="FF000000"/>
        <rFont val="Calibri"/>
      </rPr>
      <t>The "action_mail_acct" parameter, if missing, defaults to "root".</t>
    </r>
    <r>
      <rPr>
        <sz val="11"/>
        <color rgb="FF000000"/>
        <rFont val="Calibri"/>
      </rPr>
      <t xml:space="preserve">
</t>
    </r>
    <r>
      <rPr>
        <sz val="11"/>
        <color rgb="FF000000"/>
        <rFont val="Calibri"/>
      </rPr>
      <t>Note:  If the email address of the system administrator is on a remote system "sendmail" must be available.</t>
    </r>
  </si>
  <si>
    <t>V-88381</t>
  </si>
  <si>
    <r>
      <rPr>
        <sz val="11"/>
        <rFont val="Calibri"/>
      </rPr>
      <t>The SLES for vRealize must shut down by default upon audit failure (unless availability is an overriding concern).</t>
    </r>
  </si>
  <si>
    <r>
      <rPr>
        <sz val="11"/>
        <color rgb="FF000000"/>
        <rFont val="Calibri"/>
      </rPr>
      <t xml:space="preserve">Edit /etc/audit/auditd.conf and set the "disk_full_action", "disk_error_action", and "admin_space_left_action" parameters to "syslog" with the following commands: </t>
    </r>
    <r>
      <rPr>
        <sz val="11"/>
        <color rgb="FF000000"/>
        <rFont val="Calibri"/>
      </rPr>
      <t xml:space="preserve">
</t>
    </r>
    <r>
      <rPr>
        <sz val="11"/>
        <color rgb="FF000000"/>
        <rFont val="Calibri"/>
      </rPr>
      <t># sed -i "/^[^#]*disk_full_action/ c\disk_full_action = SYSLOG" /etc/audit/auditd.conf</t>
    </r>
    <r>
      <rPr>
        <sz val="11"/>
        <color rgb="FF000000"/>
        <rFont val="Calibri"/>
      </rPr>
      <t xml:space="preserve">
</t>
    </r>
    <r>
      <rPr>
        <sz val="11"/>
        <color rgb="FF000000"/>
        <rFont val="Calibri"/>
      </rPr>
      <t># sed -i "/^[^#]*disk_error_action/ c\disk_error_action = SYSLOG" /etc/audit/auditd.conf</t>
    </r>
    <r>
      <rPr>
        <sz val="11"/>
        <color rgb="FF000000"/>
        <rFont val="Calibri"/>
      </rPr>
      <t xml:space="preserve">
</t>
    </r>
    <r>
      <rPr>
        <sz val="11"/>
        <color rgb="FF000000"/>
        <rFont val="Calibri"/>
      </rPr>
      <t># sed -i "/^[^#]*admin_space_left_action/ c\admin_space_left_action = SYSLOG" /etc/audit/auditd.conf</t>
    </r>
    <r>
      <rPr>
        <sz val="11"/>
        <color rgb="FF000000"/>
        <rFont val="Calibri"/>
      </rPr>
      <t xml:space="preserve">
</t>
    </r>
    <r>
      <rPr>
        <sz val="11"/>
        <color rgb="FF000000"/>
        <rFont val="Calibri"/>
      </rPr>
      <t>For certain systems, the need for availability outweighs the need to log all actions, and a different setting should be determined.</t>
    </r>
  </si>
  <si>
    <r>
      <rPr>
        <sz val="11"/>
        <color rgb="FF000000"/>
        <rFont val="Calibri"/>
      </rPr>
      <t>It is critical that when the SLES for vRealize is at risk of failing to process audit logs as required, it takes action to mitigate the failure. Audit processing failures include: software/hardware errors; failures in the audit capturing mechanisms; and audit storage capacity being reached or exceeded. Responses to audit failure depend upon the nature of the failure mode.</t>
    </r>
    <r>
      <rPr>
        <sz val="11"/>
        <color rgb="FF000000"/>
        <rFont val="Calibri"/>
      </rPr>
      <t xml:space="preserve">
</t>
    </r>
    <r>
      <rPr>
        <sz val="11"/>
        <color rgb="FF000000"/>
        <rFont val="Calibri"/>
      </rPr>
      <t xml:space="preserve">When availability is an overriding concern, other approved actions in response to an audit failure are as follows: </t>
    </r>
    <r>
      <rPr>
        <sz val="11"/>
        <color rgb="FF000000"/>
        <rFont val="Calibri"/>
      </rPr>
      <t xml:space="preserve">
</t>
    </r>
    <r>
      <rPr>
        <sz val="11"/>
        <color rgb="FF000000"/>
        <rFont val="Calibri"/>
      </rPr>
      <t>1) If the failure was caused by the lack of audit record storage capacity, the operating system must continue generating audit records if possible (automatically restarting the audit service if necessary), overwriting the oldest audit records in a first-in-first-out manner.</t>
    </r>
    <r>
      <rPr>
        <sz val="11"/>
        <color rgb="FF000000"/>
        <rFont val="Calibri"/>
      </rPr>
      <t xml:space="preserve">
</t>
    </r>
    <r>
      <rPr>
        <sz val="11"/>
        <color rgb="FF000000"/>
        <rFont val="Calibri"/>
      </rPr>
      <t>2) If audit records are sent to a centralized collection server and communication with this server is lost or the server fails, SLES for vRealize  must queue audit records locally until communication is restored or until the audit records are retrieved manually. Upon restoration of the connection to the centralized collection server, action should be taken to synchronize the local audit data with the collection server.</t>
    </r>
  </si>
  <si>
    <r>
      <rPr>
        <sz val="11"/>
        <color rgb="FF000000"/>
        <rFont val="Calibri"/>
      </rPr>
      <t>Verify the /etc/audit/auditd.conf has the "disk_full_action", "disk_error_action", and "admin_disk_space_left" parameters set.</t>
    </r>
    <r>
      <rPr>
        <sz val="11"/>
        <color rgb="FF000000"/>
        <rFont val="Calibri"/>
      </rPr>
      <t xml:space="preserve">
</t>
    </r>
    <r>
      <rPr>
        <sz val="11"/>
        <color rgb="FF000000"/>
        <rFont val="Calibri"/>
      </rPr>
      <t># grep disk_full_action /etc/audit/auditd.conf</t>
    </r>
    <r>
      <rPr>
        <sz val="11"/>
        <color rgb="FF000000"/>
        <rFont val="Calibri"/>
      </rPr>
      <t xml:space="preserve">
</t>
    </r>
    <r>
      <rPr>
        <sz val="11"/>
        <color rgb="FF000000"/>
        <rFont val="Calibri"/>
      </rPr>
      <t>If the "disk_full_action" parameter is missing or set to "suspend" or "ignore", this is a finding.</t>
    </r>
    <r>
      <rPr>
        <sz val="11"/>
        <color rgb="FF000000"/>
        <rFont val="Calibri"/>
      </rPr>
      <t xml:space="preserve">
</t>
    </r>
    <r>
      <rPr>
        <sz val="11"/>
        <color rgb="FF000000"/>
        <rFont val="Calibri"/>
      </rPr>
      <t># grep disk_error_action /etc/audit/auditd.conf</t>
    </r>
    <r>
      <rPr>
        <sz val="11"/>
        <color rgb="FF000000"/>
        <rFont val="Calibri"/>
      </rPr>
      <t xml:space="preserve">
</t>
    </r>
    <r>
      <rPr>
        <sz val="11"/>
        <color rgb="FF000000"/>
        <rFont val="Calibri"/>
      </rPr>
      <t>If the "disk_error_action" parameter is missing or set to "suspend" or "ignore", this is a finding.</t>
    </r>
    <r>
      <rPr>
        <sz val="11"/>
        <color rgb="FF000000"/>
        <rFont val="Calibri"/>
      </rPr>
      <t xml:space="preserve">
</t>
    </r>
    <r>
      <rPr>
        <sz val="11"/>
        <color rgb="FF000000"/>
        <rFont val="Calibri"/>
      </rPr>
      <t># grep admin_space_left_action /etc/audit/auditd.conf</t>
    </r>
    <r>
      <rPr>
        <sz val="11"/>
        <color rgb="FF000000"/>
        <rFont val="Calibri"/>
      </rPr>
      <t xml:space="preserve">
</t>
    </r>
    <r>
      <rPr>
        <sz val="11"/>
        <color rgb="FF000000"/>
        <rFont val="Calibri"/>
      </rPr>
      <t>If the "admin_space_left_action" parameter is missing or set to "suspend" or "ignore", this is a finding.</t>
    </r>
  </si>
  <si>
    <t>V-88383</t>
  </si>
  <si>
    <r>
      <rPr>
        <sz val="11"/>
        <rFont val="Calibri"/>
      </rPr>
      <t>The SLES for vRealize must protect audit information from unauthorized read access - ownership.</t>
    </r>
  </si>
  <si>
    <r>
      <rPr>
        <sz val="11"/>
        <color rgb="FF000000"/>
        <rFont val="Calibri"/>
      </rPr>
      <t>Change the ownership of the audit log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chown root &lt;audit log file&gt;</t>
    </r>
    <r>
      <rPr>
        <sz val="11"/>
        <color rgb="FF000000"/>
        <rFont val="Calibri"/>
      </rPr>
      <t xml:space="preserve">
</t>
    </r>
    <r>
      <rPr>
        <sz val="11"/>
        <color rgb="FF000000"/>
        <rFont val="Calibri"/>
      </rPr>
      <t># chown root /var/log/audit/audit.log</t>
    </r>
  </si>
  <si>
    <r>
      <rPr>
        <sz val="11"/>
        <color rgb="FF000000"/>
        <rFont val="Calibri"/>
      </rPr>
      <t>Unauthorized disclosure of audit records can reveal system and configuration data to attackers, thus compromising its confidentiality.</t>
    </r>
    <r>
      <rPr>
        <sz val="11"/>
        <color rgb="FF000000"/>
        <rFont val="Calibri"/>
      </rPr>
      <t xml:space="preserve">
</t>
    </r>
    <r>
      <rPr>
        <sz val="11"/>
        <color rgb="FF000000"/>
        <rFont val="Calibri"/>
      </rPr>
      <t>Audit information includes all information (e.g., audit records, audit settings, audit reports) needed to successfully audit SLES for vRealize activity.</t>
    </r>
  </si>
  <si>
    <r>
      <rPr>
        <sz val="11"/>
        <color rgb="FF000000"/>
        <rFont val="Calibri"/>
      </rPr>
      <t>Verify that the SLES for vRealize audit logs are owned by "root".</t>
    </r>
    <r>
      <rPr>
        <sz val="11"/>
        <color rgb="FF000000"/>
        <rFont val="Calibri"/>
      </rPr>
      <t xml:space="preserve">
</t>
    </r>
    <r>
      <rPr>
        <sz val="11"/>
        <color rgb="FF000000"/>
        <rFont val="Calibri"/>
      </rPr>
      <t># (audit_log_file=$(grep "^log_file" /etc/audit/auditd.conf|sed s/^[^\/]*//) &amp;&amp; if [ -f "${audit_log_file}" ] ; then printf "Log(s) found in "${audit_log_file%/*}":\n"; ls -l ${audit_log_file%/*}; else printf "audit log file(s) not found\n"; fi)</t>
    </r>
    <r>
      <rPr>
        <sz val="11"/>
        <color rgb="FF000000"/>
        <rFont val="Calibri"/>
      </rPr>
      <t xml:space="preserve">
</t>
    </r>
    <r>
      <rPr>
        <sz val="11"/>
        <color rgb="FF000000"/>
        <rFont val="Calibri"/>
      </rPr>
      <t>If any audit log file is not owned by "root" or "admin", this is a finding.</t>
    </r>
  </si>
  <si>
    <t>V-88385</t>
  </si>
  <si>
    <r>
      <rPr>
        <sz val="11"/>
        <rFont val="Calibri"/>
      </rPr>
      <t>The SLES for vRealize must protect audit information from unauthorized read access - group ownership.</t>
    </r>
  </si>
  <si>
    <r>
      <rPr>
        <sz val="11"/>
        <color rgb="FF000000"/>
        <rFont val="Calibri"/>
      </rPr>
      <t>Change the group ownership of the audit log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&lt;audit log file&gt;</t>
    </r>
    <r>
      <rPr>
        <sz val="11"/>
        <color rgb="FF000000"/>
        <rFont val="Calibri"/>
      </rPr>
      <t xml:space="preserve">
</t>
    </r>
    <r>
      <rPr>
        <sz val="11"/>
        <color rgb="FF000000"/>
        <rFont val="Calibri"/>
      </rPr>
      <t># chgrp root /var/log/audit/audit.log</t>
    </r>
  </si>
  <si>
    <r>
      <rPr>
        <sz val="11"/>
        <color rgb="FF000000"/>
        <rFont val="Calibri"/>
      </rPr>
      <t>Verify that the SLES for vRealize audit logs are group-owned by "root".</t>
    </r>
    <r>
      <rPr>
        <sz val="11"/>
        <color rgb="FF000000"/>
        <rFont val="Calibri"/>
      </rPr>
      <t xml:space="preserve">
</t>
    </r>
    <r>
      <rPr>
        <sz val="11"/>
        <color rgb="FF000000"/>
        <rFont val="Calibri"/>
      </rPr>
      <t># (audit_log_file=$(grep "^log_file" /etc/audit/auditd.conf|sed s/^[^\/]*//) &amp;&amp; if [ -f "${audit_log_file}" ] ; then printf "Log(s) found in "${audit_log_file%/*}":\n"; ls -l ${audit_log_file%/*}; else printf "audit log file(s) not found\n"; fi)</t>
    </r>
    <r>
      <rPr>
        <sz val="11"/>
        <color rgb="FF000000"/>
        <rFont val="Calibri"/>
      </rPr>
      <t xml:space="preserve">
</t>
    </r>
    <r>
      <rPr>
        <sz val="11"/>
        <color rgb="FF000000"/>
        <rFont val="Calibri"/>
      </rPr>
      <t>If any audit log file is not group-owned by "root" or "admin", this is a finding.</t>
    </r>
  </si>
  <si>
    <t>V-88387</t>
  </si>
  <si>
    <r>
      <rPr>
        <sz val="11"/>
        <rFont val="Calibri"/>
      </rPr>
      <t>The SLES for vRealize must protect audit information from unauthorized modification.</t>
    </r>
  </si>
  <si>
    <r>
      <rPr>
        <sz val="11"/>
        <color rgb="FF000000"/>
        <rFont val="Calibri"/>
      </rPr>
      <t>Change the mode of the audit log file(s):</t>
    </r>
    <r>
      <rPr>
        <sz val="11"/>
        <color rgb="FF000000"/>
        <rFont val="Calibri"/>
      </rPr>
      <t xml:space="preserve">
</t>
    </r>
    <r>
      <rPr>
        <sz val="11"/>
        <color rgb="FF000000"/>
        <rFont val="Calibri"/>
      </rPr>
      <t># chmod 0640 &lt;audit log file&gt;</t>
    </r>
  </si>
  <si>
    <r>
      <rPr>
        <sz val="11"/>
        <color rgb="FF000000"/>
        <rFont val="Calibri"/>
      </rPr>
      <t>If audit information were to become compromised, then forensic analysis and discovery of the true source of potentially malicious system activity is impossible to achieve.</t>
    </r>
    <r>
      <rPr>
        <sz val="11"/>
        <color rgb="FF000000"/>
        <rFont val="Calibri"/>
      </rPr>
      <t xml:space="preserve">
</t>
    </r>
    <r>
      <rPr>
        <sz val="11"/>
        <color rgb="FF000000"/>
        <rFont val="Calibri"/>
      </rPr>
      <t>To ensure the veracity of audit information, the SLES for vRealize must protect audit information from unauthorized modification.</t>
    </r>
    <r>
      <rPr>
        <sz val="11"/>
        <color rgb="FF000000"/>
        <rFont val="Calibri"/>
      </rPr>
      <t xml:space="preserve">
</t>
    </r>
    <r>
      <rPr>
        <sz val="11"/>
        <color rgb="FF000000"/>
        <rFont val="Calibri"/>
      </rPr>
      <t>Audit information includes all information (e.g., audit records, audit settings, audit reports) needed to successfully audit information system activity.</t>
    </r>
  </si>
  <si>
    <r>
      <rPr>
        <sz val="11"/>
        <color rgb="FF000000"/>
        <rFont val="Calibri"/>
      </rPr>
      <t>Check that the SLES for vRealize audit logs with the following command:</t>
    </r>
    <r>
      <rPr>
        <sz val="11"/>
        <color rgb="FF000000"/>
        <rFont val="Calibri"/>
      </rPr>
      <t xml:space="preserve">
</t>
    </r>
    <r>
      <rPr>
        <sz val="11"/>
        <color rgb="FF000000"/>
        <rFont val="Calibri"/>
      </rPr>
      <t># (audit_log_file=$(grep "^log_file" /etc/audit/auditd.conf|sed s/^[^\/]*//) &amp;&amp; if [ -f "${audit_log_file}" ] ; then printf "Log(s) found in "${audit_log_file%/*}":\n"; ls -l ${audit_log_file%/*}; else printf "audit log file(s) not found\n"; fi)</t>
    </r>
    <r>
      <rPr>
        <sz val="11"/>
        <color rgb="FF000000"/>
        <rFont val="Calibri"/>
      </rPr>
      <t xml:space="preserve">
</t>
    </r>
    <r>
      <rPr>
        <sz val="11"/>
        <color rgb="FF000000"/>
        <rFont val="Calibri"/>
      </rPr>
      <t>If any audit log file has a mode more permissive than "0640", this is a finding.</t>
    </r>
  </si>
  <si>
    <t>V-88389</t>
  </si>
  <si>
    <r>
      <rPr>
        <sz val="11"/>
        <rFont val="Calibri"/>
      </rPr>
      <t>The SLES for vRealize must protect audit information from unauthorized deletion.</t>
    </r>
  </si>
  <si>
    <r>
      <rPr>
        <sz val="11"/>
        <color rgb="FF000000"/>
        <rFont val="Calibri"/>
      </rPr>
      <t>If audit information were to become compromised, then forensic analysis and discovery of the true source of potentially malicious system activity is impossible to achieve.</t>
    </r>
    <r>
      <rPr>
        <sz val="11"/>
        <color rgb="FF000000"/>
        <rFont val="Calibri"/>
      </rPr>
      <t xml:space="preserve">
</t>
    </r>
    <r>
      <rPr>
        <sz val="11"/>
        <color rgb="FF000000"/>
        <rFont val="Calibri"/>
      </rPr>
      <t>To ensure the veracity of audit information, the SLES for vRealize must protect audit information from unauthorized deletion. This requirement can be achieved through multiple methods, which will depend upon system architecture and design.</t>
    </r>
    <r>
      <rPr>
        <sz val="11"/>
        <color rgb="FF000000"/>
        <rFont val="Calibri"/>
      </rPr>
      <t xml:space="preserve">
</t>
    </r>
    <r>
      <rPr>
        <sz val="11"/>
        <color rgb="FF000000"/>
        <rFont val="Calibri"/>
      </rPr>
      <t>Audit information includes all information (e.g., audit records, audit settings, audit reports) needed to successfully audit information system activity.</t>
    </r>
  </si>
  <si>
    <t>V-88391</t>
  </si>
  <si>
    <r>
      <rPr>
        <sz val="11"/>
        <rFont val="Calibri"/>
      </rPr>
      <t>The SLES for vRealize must protect audit information from unauthorized deletion - log directories.</t>
    </r>
  </si>
  <si>
    <r>
      <rPr>
        <sz val="11"/>
        <color rgb="FF000000"/>
        <rFont val="Calibri"/>
      </rPr>
      <t xml:space="preserve">Change the mode of the audit log directories with the following command: </t>
    </r>
    <r>
      <rPr>
        <sz val="11"/>
        <color rgb="FF000000"/>
        <rFont val="Calibri"/>
      </rPr>
      <t xml:space="preserve">
</t>
    </r>
    <r>
      <rPr>
        <sz val="11"/>
        <color rgb="FF000000"/>
        <rFont val="Calibri"/>
      </rPr>
      <t># chmod 700 &lt;audit log directory&gt;</t>
    </r>
  </si>
  <si>
    <r>
      <rPr>
        <sz val="11"/>
        <color rgb="FF000000"/>
        <rFont val="Calibri"/>
      </rPr>
      <t xml:space="preserve">Run the following command to check the mode of the system audit directories: </t>
    </r>
    <r>
      <rPr>
        <sz val="11"/>
        <color rgb="FF000000"/>
        <rFont val="Calibri"/>
      </rPr>
      <t xml:space="preserve">
</t>
    </r>
    <r>
      <rPr>
        <sz val="11"/>
        <color rgb="FF000000"/>
        <rFont val="Calibri"/>
      </rPr>
      <t># grep "^log_file" /etc/audit/auditd.conf|sed 's/^[^/]*//; s/[^/]*$//'|xargs stat -c %a:%n</t>
    </r>
    <r>
      <rPr>
        <sz val="11"/>
        <color rgb="FF000000"/>
        <rFont val="Calibri"/>
      </rPr>
      <t xml:space="preserve">
</t>
    </r>
    <r>
      <rPr>
        <sz val="11"/>
        <color rgb="FF000000"/>
        <rFont val="Calibri"/>
      </rPr>
      <t xml:space="preserve">Audit directories must be mode "0700". </t>
    </r>
    <r>
      <rPr>
        <sz val="11"/>
        <color rgb="FF000000"/>
        <rFont val="Calibri"/>
      </rPr>
      <t xml:space="preserve">
</t>
    </r>
    <r>
      <rPr>
        <sz val="11"/>
        <color rgb="FF000000"/>
        <rFont val="Calibri"/>
      </rPr>
      <t>If the audit directories is not set to mode "0700", this is a finding.</t>
    </r>
  </si>
  <si>
    <t>V-88393</t>
  </si>
  <si>
    <r>
      <rPr>
        <sz val="11"/>
        <rFont val="Calibri"/>
      </rPr>
      <t>The SLES for vRealize audit system must be configured to audit all administrative, privileged, and security actions.</t>
    </r>
  </si>
  <si>
    <r>
      <rPr>
        <sz val="11"/>
        <color rgb="FF000000"/>
        <rFont val="Calibri"/>
      </rPr>
      <t>Add the following lines to the "audit.rules" file to enable auditing of administrative, privileged, and security actions:</t>
    </r>
    <r>
      <rPr>
        <sz val="11"/>
        <color rgb="FF000000"/>
        <rFont val="Calibri"/>
      </rPr>
      <t xml:space="preserve">
</t>
    </r>
    <r>
      <rPr>
        <sz val="11"/>
        <color rgb="FF000000"/>
        <rFont val="Calibri"/>
      </rPr>
      <t>echo '-w /etc/audit/auditd.conf' &gt;&gt; /etc/audit/audit.rules</t>
    </r>
    <r>
      <rPr>
        <sz val="11"/>
        <color rgb="FF000000"/>
        <rFont val="Calibri"/>
      </rPr>
      <t xml:space="preserve">
</t>
    </r>
    <r>
      <rPr>
        <sz val="11"/>
        <color rgb="FF000000"/>
        <rFont val="Calibri"/>
      </rPr>
      <t>Or run the following command to implement all logging requirements:</t>
    </r>
    <r>
      <rPr>
        <sz val="11"/>
        <color rgb="FF000000"/>
        <rFont val="Calibri"/>
      </rPr>
      <t xml:space="preserve">
</t>
    </r>
    <r>
      <rPr>
        <sz val="11"/>
        <color rgb="FF000000"/>
        <rFont val="Calibri"/>
      </rPr>
      <t># /etc/dodscript.sh</t>
    </r>
  </si>
  <si>
    <r>
      <rPr>
        <sz val="11"/>
        <color rgb="FF000000"/>
        <rFont val="Calibri"/>
      </rPr>
      <t>Without the capability to generate audit records,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The list of audited events is the set of events for which audits are to be generated. This set of events is typically a subset of the list of all events for which the system is capable of generating audit records.</t>
    </r>
    <r>
      <rPr>
        <sz val="11"/>
        <color rgb="FF000000"/>
        <rFont val="Calibri"/>
      </rPr>
      <t xml:space="preserve">
</t>
    </r>
    <r>
      <rPr>
        <sz val="11"/>
        <color rgb="FF000000"/>
        <rFont val="Calibri"/>
      </rPr>
      <t xml:space="preserve">DoD has defined the list of events for which the operating system will provide an audit record generation capability as the following: </t>
    </r>
    <r>
      <rPr>
        <sz val="11"/>
        <color rgb="FF000000"/>
        <rFont val="Calibri"/>
      </rPr>
      <t xml:space="preserve">
</t>
    </r>
    <r>
      <rPr>
        <sz val="11"/>
        <color rgb="FF000000"/>
        <rFont val="Calibri"/>
      </rPr>
      <t>1) Successful and unsuccessful attempts to access, modify, or delete privileges, security objects, security levels, or categories of information (e.g., classification levels);</t>
    </r>
    <r>
      <rPr>
        <sz val="11"/>
        <color rgb="FF000000"/>
        <rFont val="Calibri"/>
      </rPr>
      <t xml:space="preserve">
</t>
    </r>
    <r>
      <rPr>
        <sz val="11"/>
        <color rgb="FF000000"/>
        <rFont val="Calibri"/>
      </rPr>
      <t>2) Access actions, such as successful and unsuccessful logon attempts, privileged activities or other system-level access, starting and ending time for user access to the system, concurrent logons from different workstations, successful and unsuccessful accesses to objects, all program initiations, and all direct access to the information system;</t>
    </r>
    <r>
      <rPr>
        <sz val="11"/>
        <color rgb="FF000000"/>
        <rFont val="Calibri"/>
      </rPr>
      <t xml:space="preserve">
</t>
    </r>
    <r>
      <rPr>
        <sz val="11"/>
        <color rgb="FF000000"/>
        <rFont val="Calibri"/>
      </rPr>
      <t xml:space="preserve">3) All account creations, modifications, disabling, and terminations; and </t>
    </r>
    <r>
      <rPr>
        <sz val="11"/>
        <color rgb="FF000000"/>
        <rFont val="Calibri"/>
      </rPr>
      <t xml:space="preserve">
</t>
    </r>
    <r>
      <rPr>
        <sz val="11"/>
        <color rgb="FF000000"/>
        <rFont val="Calibri"/>
      </rPr>
      <t>4) All kernel module load, unload, and restart actions.</t>
    </r>
  </si>
  <si>
    <r>
      <rPr>
        <sz val="11"/>
        <color rgb="FF000000"/>
        <rFont val="Calibri"/>
      </rPr>
      <t>Check the auditing configuration of the system:</t>
    </r>
    <r>
      <rPr>
        <sz val="11"/>
        <color rgb="FF000000"/>
        <rFont val="Calibri"/>
      </rPr>
      <t xml:space="preserve">
</t>
    </r>
    <r>
      <rPr>
        <sz val="11"/>
        <color rgb="FF000000"/>
        <rFont val="Calibri"/>
      </rPr>
      <t xml:space="preserve"># cat /etc/audit/audit.rules | grep -i "auditd.conf" </t>
    </r>
    <r>
      <rPr>
        <sz val="11"/>
        <color rgb="FF000000"/>
        <rFont val="Calibri"/>
      </rPr>
      <t xml:space="preserve">
</t>
    </r>
    <r>
      <rPr>
        <sz val="11"/>
        <color rgb="FF000000"/>
        <rFont val="Calibri"/>
      </rPr>
      <t>If no results are returned, or the line does not start with "-w", this is a finding.</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-w /etc/audit/auditd.conf</t>
    </r>
  </si>
  <si>
    <t>V-88395</t>
  </si>
  <si>
    <r>
      <rPr>
        <sz val="11"/>
        <rFont val="Calibri"/>
      </rPr>
      <t>The SLES for vRealize audit system must be configured to audit all attempts to alter system time through adjtimex.</t>
    </r>
  </si>
  <si>
    <r>
      <rPr>
        <sz val="11"/>
        <color rgb="FF000000"/>
        <rFont val="Calibri"/>
      </rPr>
      <t>Run the following command:</t>
    </r>
    <r>
      <rPr>
        <sz val="11"/>
        <color rgb="FF000000"/>
        <rFont val="Calibri"/>
      </rPr>
      <t xml:space="preserve">
</t>
    </r>
    <r>
      <rPr>
        <sz val="11"/>
        <color rgb="FF000000"/>
        <rFont val="Calibri"/>
      </rPr>
      <t>echo '-a exit,always -F arch=b64 -S adjtimex -F auid=0' &gt;&gt; /etc/audit/audit.rules</t>
    </r>
    <r>
      <rPr>
        <sz val="11"/>
        <color rgb="FF000000"/>
        <rFont val="Calibri"/>
      </rPr>
      <t xml:space="preserve">
</t>
    </r>
    <r>
      <rPr>
        <sz val="11"/>
        <color rgb="FF000000"/>
        <rFont val="Calibri"/>
      </rPr>
      <t>echo '-a exit,always -F arch=b64 -S adjtimex -F auid&gt;=500 -F auid!=4294967295' &gt;&gt; /etc/audit/audit.rules</t>
    </r>
    <r>
      <rPr>
        <sz val="11"/>
        <color rgb="FF000000"/>
        <rFont val="Calibri"/>
      </rPr>
      <t xml:space="preserve">
</t>
    </r>
    <r>
      <rPr>
        <sz val="11"/>
        <color rgb="FF000000"/>
        <rFont val="Calibri"/>
      </rPr>
      <t>Or run the following command to implement all logging requirements:</t>
    </r>
    <r>
      <rPr>
        <sz val="11"/>
        <color rgb="FF000000"/>
        <rFont val="Calibri"/>
      </rPr>
      <t xml:space="preserve">
</t>
    </r>
    <r>
      <rPr>
        <sz val="11"/>
        <color rgb="FF000000"/>
        <rFont val="Calibri"/>
      </rPr>
      <t># /etc/dodscript.sh</t>
    </r>
  </si>
  <si>
    <r>
      <rPr>
        <sz val="11"/>
        <color rgb="FF000000"/>
        <rFont val="Calibri"/>
      </rPr>
      <t>Without the capability to generate audit records,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The list of audited events is the set of events for which audits are to be generated. This set of events is typically a subset of the list of all events for which the SLES for vRealize is capable of generating audit records.</t>
    </r>
    <r>
      <rPr>
        <sz val="11"/>
        <color rgb="FF000000"/>
        <rFont val="Calibri"/>
      </rPr>
      <t xml:space="preserve">
</t>
    </r>
    <r>
      <rPr>
        <sz val="11"/>
        <color rgb="FF000000"/>
        <rFont val="Calibri"/>
      </rPr>
      <t xml:space="preserve">DoD has defined the list of events for which the operating system will provide an audit record generation capability as the following: </t>
    </r>
    <r>
      <rPr>
        <sz val="11"/>
        <color rgb="FF000000"/>
        <rFont val="Calibri"/>
      </rPr>
      <t xml:space="preserve">
</t>
    </r>
    <r>
      <rPr>
        <sz val="11"/>
        <color rgb="FF000000"/>
        <rFont val="Calibri"/>
      </rPr>
      <t>1) Successful and unsuccessful attempts to access, modify, or delete privileges, security objects, security levels, or categories of information (e.g., classification levels);</t>
    </r>
    <r>
      <rPr>
        <sz val="11"/>
        <color rgb="FF000000"/>
        <rFont val="Calibri"/>
      </rPr>
      <t xml:space="preserve">
</t>
    </r>
    <r>
      <rPr>
        <sz val="11"/>
        <color rgb="FF000000"/>
        <rFont val="Calibri"/>
      </rPr>
      <t>2) Access actions, such as successful and unsuccessful logon attempts, privileged activities or other system-level access, starting and ending time for user access to the system, concurrent logons from different workstations, successful and unsuccessful accesses to objects, all program initiations, and all direct access to the information system;</t>
    </r>
    <r>
      <rPr>
        <sz val="11"/>
        <color rgb="FF000000"/>
        <rFont val="Calibri"/>
      </rPr>
      <t xml:space="preserve">
</t>
    </r>
    <r>
      <rPr>
        <sz val="11"/>
        <color rgb="FF000000"/>
        <rFont val="Calibri"/>
      </rPr>
      <t xml:space="preserve">3) All account creations, modifications, disabling, and terminations; and </t>
    </r>
    <r>
      <rPr>
        <sz val="11"/>
        <color rgb="FF000000"/>
        <rFont val="Calibri"/>
      </rPr>
      <t xml:space="preserve">
</t>
    </r>
    <r>
      <rPr>
        <sz val="11"/>
        <color rgb="FF000000"/>
        <rFont val="Calibri"/>
      </rPr>
      <t>4) All kernel module load, unload, and restart actions.</t>
    </r>
  </si>
  <si>
    <r>
      <rPr>
        <sz val="11"/>
        <color rgb="FF000000"/>
        <rFont val="Calibri"/>
      </rPr>
      <t>Check if SLES for vRealize system is configured to audit calls to the "adjtimex" system call, run the following command:</t>
    </r>
    <r>
      <rPr>
        <sz val="11"/>
        <color rgb="FF000000"/>
        <rFont val="Calibri"/>
      </rPr>
      <t xml:space="preserve">
</t>
    </r>
    <r>
      <rPr>
        <sz val="11"/>
        <color rgb="FF000000"/>
        <rFont val="Calibri"/>
      </rPr>
      <t># grep -w "adjtimex" /etc/audit/audit.rules</t>
    </r>
    <r>
      <rPr>
        <sz val="11"/>
        <color rgb="FF000000"/>
        <rFont val="Calibri"/>
      </rPr>
      <t xml:space="preserve">
</t>
    </r>
    <r>
      <rPr>
        <sz val="11"/>
        <color rgb="FF000000"/>
        <rFont val="Calibri"/>
      </rPr>
      <t>If SLES for vRealize is configured to audit time changes, it will return at least two lines containing "-S adjtimex" that also contain "arch=b64". If no line is returned, this is a finding.</t>
    </r>
  </si>
  <si>
    <t>V-88397</t>
  </si>
  <si>
    <r>
      <rPr>
        <sz val="11"/>
        <rFont val="Calibri"/>
      </rPr>
      <t>The SLES for vRealize audit system must be configured to audit all attempts to alter system time through settimeofday.</t>
    </r>
  </si>
  <si>
    <r>
      <rPr>
        <sz val="11"/>
        <color rgb="FF000000"/>
        <rFont val="Calibri"/>
      </rPr>
      <t>Run the following command:</t>
    </r>
    <r>
      <rPr>
        <sz val="11"/>
        <color rgb="FF000000"/>
        <rFont val="Calibri"/>
      </rPr>
      <t xml:space="preserve">
</t>
    </r>
    <r>
      <rPr>
        <sz val="11"/>
        <color rgb="FF000000"/>
        <rFont val="Calibri"/>
      </rPr>
      <t>echo '-a exit,always -F arch=b64 -S settimeofday -F auid=0' &gt;&gt; /etc/audit/audit.rules</t>
    </r>
    <r>
      <rPr>
        <sz val="11"/>
        <color rgb="FF000000"/>
        <rFont val="Calibri"/>
      </rPr>
      <t xml:space="preserve">
</t>
    </r>
    <r>
      <rPr>
        <sz val="11"/>
        <color rgb="FF000000"/>
        <rFont val="Calibri"/>
      </rPr>
      <t>echo '-a exit,always -F arch=b64 -S settimeofday -F auid&gt;=500 -F auid!=4294967295' &gt;&gt; /etc/audit/audit.rules</t>
    </r>
    <r>
      <rPr>
        <sz val="11"/>
        <color rgb="FF000000"/>
        <rFont val="Calibri"/>
      </rPr>
      <t xml:space="preserve">
</t>
    </r>
    <r>
      <rPr>
        <sz val="11"/>
        <color rgb="FF000000"/>
        <rFont val="Calibri"/>
      </rPr>
      <t>Or run the following command to implement all logging requirements:</t>
    </r>
    <r>
      <rPr>
        <sz val="11"/>
        <color rgb="FF000000"/>
        <rFont val="Calibri"/>
      </rPr>
      <t xml:space="preserve">
</t>
    </r>
    <r>
      <rPr>
        <sz val="11"/>
        <color rgb="FF000000"/>
        <rFont val="Calibri"/>
      </rPr>
      <t># /etc/dodscript.sh</t>
    </r>
  </si>
  <si>
    <r>
      <rPr>
        <sz val="11"/>
        <color rgb="FF000000"/>
        <rFont val="Calibri"/>
      </rPr>
      <t>Check if SLES for vRealize is configured to audit calls to the "settimeofday" system call, run the following command:</t>
    </r>
    <r>
      <rPr>
        <sz val="11"/>
        <color rgb="FF000000"/>
        <rFont val="Calibri"/>
      </rPr>
      <t xml:space="preserve">
</t>
    </r>
    <r>
      <rPr>
        <sz val="11"/>
        <color rgb="FF000000"/>
        <rFont val="Calibri"/>
      </rPr>
      <t># grep -w "settimeofday" /etc/audit/audit.rules</t>
    </r>
    <r>
      <rPr>
        <sz val="11"/>
        <color rgb="FF000000"/>
        <rFont val="Calibri"/>
      </rPr>
      <t xml:space="preserve">
</t>
    </r>
    <r>
      <rPr>
        <sz val="11"/>
        <color rgb="FF000000"/>
        <rFont val="Calibri"/>
      </rPr>
      <t>If SLES for vRealize is configured to audit this activity, it will return at least two lines containing "-S settimeofday" that also contain "arch=b64".</t>
    </r>
    <r>
      <rPr>
        <sz val="11"/>
        <color rgb="FF000000"/>
        <rFont val="Calibri"/>
      </rPr>
      <t xml:space="preserve">
</t>
    </r>
    <r>
      <rPr>
        <sz val="11"/>
        <color rgb="FF000000"/>
        <rFont val="Calibri"/>
      </rPr>
      <t>If no line is returned, this is a finding.</t>
    </r>
  </si>
  <si>
    <t>V-88399</t>
  </si>
  <si>
    <r>
      <rPr>
        <sz val="11"/>
        <rFont val="Calibri"/>
      </rPr>
      <t>The SLES for vRealize audit system must be configured to audit all attempts to alter system time through stime.</t>
    </r>
  </si>
  <si>
    <r>
      <rPr>
        <sz val="11"/>
        <color rgb="FF000000"/>
        <rFont val="Calibri"/>
      </rPr>
      <t>Run the following command:</t>
    </r>
    <r>
      <rPr>
        <sz val="11"/>
        <color rgb="FF000000"/>
        <rFont val="Calibri"/>
      </rPr>
      <t xml:space="preserve">
</t>
    </r>
    <r>
      <rPr>
        <sz val="11"/>
        <color rgb="FF000000"/>
        <rFont val="Calibri"/>
      </rPr>
      <t>echo '-a exit,always -F arch=b64 -S stime' &gt;&gt; /etc/audit/audit.rules</t>
    </r>
    <r>
      <rPr>
        <sz val="11"/>
        <color rgb="FF000000"/>
        <rFont val="Calibri"/>
      </rPr>
      <t xml:space="preserve">
</t>
    </r>
    <r>
      <rPr>
        <sz val="11"/>
        <color rgb="FF000000"/>
        <rFont val="Calibri"/>
      </rPr>
      <t>Or run the following command to implement all logging requirements:</t>
    </r>
    <r>
      <rPr>
        <sz val="11"/>
        <color rgb="FF000000"/>
        <rFont val="Calibri"/>
      </rPr>
      <t xml:space="preserve">
</t>
    </r>
    <r>
      <rPr>
        <sz val="11"/>
        <color rgb="FF000000"/>
        <rFont val="Calibri"/>
      </rPr>
      <t># /etc/dodscript.sh</t>
    </r>
  </si>
  <si>
    <r>
      <rPr>
        <sz val="11"/>
        <color rgb="FF000000"/>
        <rFont val="Calibri"/>
      </rPr>
      <t>Without the capability to generate audit records,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The list of audited events is the set of events for which audits are to be generated. This set of events is typically a subset of the list of all events for which the SLES for vRealize is capable of generating audit records.</t>
    </r>
    <r>
      <rPr>
        <sz val="11"/>
        <color rgb="FF000000"/>
        <rFont val="Calibri"/>
      </rPr>
      <t xml:space="preserve">
</t>
    </r>
    <r>
      <rPr>
        <sz val="11"/>
        <color rgb="FF000000"/>
        <rFont val="Calibri"/>
      </rPr>
      <t xml:space="preserve">DoD has defined the list of events for which the SLES for vRealize will provide an audit record generation capability as the following: </t>
    </r>
    <r>
      <rPr>
        <sz val="11"/>
        <color rgb="FF000000"/>
        <rFont val="Calibri"/>
      </rPr>
      <t xml:space="preserve">
</t>
    </r>
    <r>
      <rPr>
        <sz val="11"/>
        <color rgb="FF000000"/>
        <rFont val="Calibri"/>
      </rPr>
      <t>1) Successful and unsuccessful attempts to access, modify, or delete privileges, security objects, security levels, or categories of information (e.g., classification levels);</t>
    </r>
    <r>
      <rPr>
        <sz val="11"/>
        <color rgb="FF000000"/>
        <rFont val="Calibri"/>
      </rPr>
      <t xml:space="preserve">
</t>
    </r>
    <r>
      <rPr>
        <sz val="11"/>
        <color rgb="FF000000"/>
        <rFont val="Calibri"/>
      </rPr>
      <t>2) Access actions, such as successful and unsuccessful logon attempts, privileged activities or other system-level access, starting and ending time for user access to the system, concurrent logons from different workstations, successful and unsuccessful accesses to objects, all program initiations, and all direct access to the information system;</t>
    </r>
    <r>
      <rPr>
        <sz val="11"/>
        <color rgb="FF000000"/>
        <rFont val="Calibri"/>
      </rPr>
      <t xml:space="preserve">
</t>
    </r>
    <r>
      <rPr>
        <sz val="11"/>
        <color rgb="FF000000"/>
        <rFont val="Calibri"/>
      </rPr>
      <t xml:space="preserve">3) All account creations, modifications, disabling, and terminations; and </t>
    </r>
    <r>
      <rPr>
        <sz val="11"/>
        <color rgb="FF000000"/>
        <rFont val="Calibri"/>
      </rPr>
      <t xml:space="preserve">
</t>
    </r>
    <r>
      <rPr>
        <sz val="11"/>
        <color rgb="FF000000"/>
        <rFont val="Calibri"/>
      </rPr>
      <t>4) All kernel module load, unload, and restart actions.</t>
    </r>
  </si>
  <si>
    <r>
      <rPr>
        <sz val="11"/>
        <color rgb="FF000000"/>
        <rFont val="Calibri"/>
      </rPr>
      <t>Check if SLES for vRealize is configured to audit calls to the "settimeofday" system call, run the following command:</t>
    </r>
    <r>
      <rPr>
        <sz val="11"/>
        <color rgb="FF000000"/>
        <rFont val="Calibri"/>
      </rPr>
      <t xml:space="preserve">
</t>
    </r>
    <r>
      <rPr>
        <sz val="11"/>
        <color rgb="FF000000"/>
        <rFont val="Calibri"/>
      </rPr>
      <t># grep -w "stime" /etc/audit/audit.rules</t>
    </r>
    <r>
      <rPr>
        <sz val="11"/>
        <color rgb="FF000000"/>
        <rFont val="Calibri"/>
      </rPr>
      <t xml:space="preserve">
</t>
    </r>
    <r>
      <rPr>
        <sz val="11"/>
        <color rgb="FF000000"/>
        <rFont val="Calibri"/>
      </rPr>
      <t>If SLES for vRealize is configured to audit this activity, it will return at least two lines containing "-S settimeofday" that also contain "arch=b64". If no line is returned, this is a finding.</t>
    </r>
  </si>
  <si>
    <t>V-88401</t>
  </si>
  <si>
    <r>
      <rPr>
        <sz val="11"/>
        <rFont val="Calibri"/>
      </rPr>
      <t>The SLES for vRealize audit system must be configured to audit all attempts to alter system time through clock_settime.</t>
    </r>
  </si>
  <si>
    <r>
      <rPr>
        <sz val="11"/>
        <color rgb="FF000000"/>
        <rFont val="Calibri"/>
      </rPr>
      <t>Run the following command:</t>
    </r>
    <r>
      <rPr>
        <sz val="11"/>
        <color rgb="FF000000"/>
        <rFont val="Calibri"/>
      </rPr>
      <t xml:space="preserve">
</t>
    </r>
    <r>
      <rPr>
        <sz val="11"/>
        <color rgb="FF000000"/>
        <rFont val="Calibri"/>
      </rPr>
      <t>echo '-a exit,always -F arch=b64 -S clock_settime' &gt;&gt; /etc/audit/audit.rules</t>
    </r>
    <r>
      <rPr>
        <sz val="11"/>
        <color rgb="FF000000"/>
        <rFont val="Calibri"/>
      </rPr>
      <t xml:space="preserve">
</t>
    </r>
    <r>
      <rPr>
        <sz val="11"/>
        <color rgb="FF000000"/>
        <rFont val="Calibri"/>
      </rPr>
      <t>Or run the following command to implement all logging requirements:</t>
    </r>
    <r>
      <rPr>
        <sz val="11"/>
        <color rgb="FF000000"/>
        <rFont val="Calibri"/>
      </rPr>
      <t xml:space="preserve">
</t>
    </r>
    <r>
      <rPr>
        <sz val="11"/>
        <color rgb="FF000000"/>
        <rFont val="Calibri"/>
      </rPr>
      <t># /etc/dodscript.sh</t>
    </r>
  </si>
  <si>
    <r>
      <rPr>
        <sz val="11"/>
        <color rgb="FF000000"/>
        <rFont val="Calibri"/>
      </rPr>
      <t>Check if SLES for vRealize is configured to audit calls to the "clock_settime" system call, run the following command:</t>
    </r>
    <r>
      <rPr>
        <sz val="11"/>
        <color rgb="FF000000"/>
        <rFont val="Calibri"/>
      </rPr>
      <t xml:space="preserve">
</t>
    </r>
    <r>
      <rPr>
        <sz val="11"/>
        <color rgb="FF000000"/>
        <rFont val="Calibri"/>
      </rPr>
      <t># grep -w "clock_settime" /etc/audit/audit.rules</t>
    </r>
    <r>
      <rPr>
        <sz val="11"/>
        <color rgb="FF000000"/>
        <rFont val="Calibri"/>
      </rPr>
      <t xml:space="preserve">
</t>
    </r>
    <r>
      <rPr>
        <sz val="11"/>
        <color rgb="FF000000"/>
        <rFont val="Calibri"/>
      </rPr>
      <t>If SLES for vRealize is configured to audit this activity, it will return at least a line containing "-S clock_settime" that also contain "arch=b64". If no line is returned, this is a finding.</t>
    </r>
  </si>
  <si>
    <t>V-88403</t>
  </si>
  <si>
    <r>
      <rPr>
        <sz val="11"/>
        <rFont val="Calibri"/>
      </rPr>
      <t>The SLES for vRealize audit system must be configured to audit all attempts to alter system time through /etc/localtime.</t>
    </r>
  </si>
  <si>
    <r>
      <rPr>
        <sz val="11"/>
        <color rgb="FF000000"/>
        <rFont val="Calibri"/>
      </rPr>
      <t>To configure the SLES for vRealize to audit attempts to alter time via the /etc/localtime file, run the following command:</t>
    </r>
    <r>
      <rPr>
        <sz val="11"/>
        <color rgb="FF000000"/>
        <rFont val="Calibri"/>
      </rPr>
      <t xml:space="preserve">
</t>
    </r>
    <r>
      <rPr>
        <sz val="11"/>
        <color rgb="FF000000"/>
        <rFont val="Calibri"/>
      </rPr>
      <t>echo '-w /etc/localtime -p wa -k localtime' &gt;&gt; /etc/audit/audit.rules</t>
    </r>
    <r>
      <rPr>
        <sz val="11"/>
        <color rgb="FF000000"/>
        <rFont val="Calibri"/>
      </rPr>
      <t xml:space="preserve">
</t>
    </r>
    <r>
      <rPr>
        <sz val="11"/>
        <color rgb="FF000000"/>
        <rFont val="Calibri"/>
      </rPr>
      <t>Or run the following command to implement all logging requirements:</t>
    </r>
    <r>
      <rPr>
        <sz val="11"/>
        <color rgb="FF000000"/>
        <rFont val="Calibri"/>
      </rPr>
      <t xml:space="preserve">
</t>
    </r>
    <r>
      <rPr>
        <sz val="11"/>
        <color rgb="FF000000"/>
        <rFont val="Calibri"/>
      </rPr>
      <t># /etc/dodscript.sh</t>
    </r>
  </si>
  <si>
    <r>
      <rPr>
        <sz val="11"/>
        <color rgb="FF000000"/>
        <rFont val="Calibri"/>
      </rPr>
      <t xml:space="preserve">To determine if SLES for vRealize is configured to audit attempts to alter time via the /etc/localtime file, run the following command: </t>
    </r>
    <r>
      <rPr>
        <sz val="11"/>
        <color rgb="FF000000"/>
        <rFont val="Calibri"/>
      </rPr>
      <t xml:space="preserve">
</t>
    </r>
    <r>
      <rPr>
        <sz val="11"/>
        <color rgb="FF000000"/>
        <rFont val="Calibri"/>
      </rPr>
      <t># auditctl -l | grep "watch=/etc/localtime"</t>
    </r>
    <r>
      <rPr>
        <sz val="11"/>
        <color rgb="FF000000"/>
        <rFont val="Calibri"/>
      </rPr>
      <t xml:space="preserve">
</t>
    </r>
    <r>
      <rPr>
        <sz val="11"/>
        <color rgb="FF000000"/>
        <rFont val="Calibri"/>
      </rPr>
      <t xml:space="preserve">If SLES for vRealize is configured to audit this activity, it will return a line. </t>
    </r>
    <r>
      <rPr>
        <sz val="11"/>
        <color rgb="FF000000"/>
        <rFont val="Calibri"/>
      </rPr>
      <t xml:space="preserve">
</t>
    </r>
    <r>
      <rPr>
        <sz val="11"/>
        <color rgb="FF000000"/>
        <rFont val="Calibri"/>
      </rPr>
      <t>LIST_RULES: exit,always watch=/etc/localtime perm=wa key=localtime</t>
    </r>
    <r>
      <rPr>
        <sz val="11"/>
        <color rgb="FF000000"/>
        <rFont val="Calibri"/>
      </rPr>
      <t xml:space="preserve">
</t>
    </r>
    <r>
      <rPr>
        <sz val="11"/>
        <color rgb="FF000000"/>
        <rFont val="Calibri"/>
      </rPr>
      <t>If no line is returned, this is a finding.</t>
    </r>
  </si>
  <si>
    <t>V-88405</t>
  </si>
  <si>
    <r>
      <rPr>
        <sz val="11"/>
        <rFont val="Calibri"/>
      </rPr>
      <t>The SLES for vRealize audit system must be configured to audit all attempts to alter the system through sethostname.</t>
    </r>
  </si>
  <si>
    <r>
      <rPr>
        <sz val="11"/>
        <color rgb="FF000000"/>
        <rFont val="Calibri"/>
      </rPr>
      <t>Run the following command:</t>
    </r>
    <r>
      <rPr>
        <sz val="11"/>
        <color rgb="FF000000"/>
        <rFont val="Calibri"/>
      </rPr>
      <t xml:space="preserve">
</t>
    </r>
    <r>
      <rPr>
        <sz val="11"/>
        <color rgb="FF000000"/>
        <rFont val="Calibri"/>
      </rPr>
      <t># echo '-a exit,always -F arch=b64 -S sethostname' &gt;&gt; /etc/audit/audit.rules</t>
    </r>
    <r>
      <rPr>
        <sz val="11"/>
        <color rgb="FF000000"/>
        <rFont val="Calibri"/>
      </rPr>
      <t xml:space="preserve">
</t>
    </r>
    <r>
      <rPr>
        <sz val="11"/>
        <color rgb="FF000000"/>
        <rFont val="Calibri"/>
      </rPr>
      <t>Or run the following command to implement all logging requirements:</t>
    </r>
    <r>
      <rPr>
        <sz val="11"/>
        <color rgb="FF000000"/>
        <rFont val="Calibri"/>
      </rPr>
      <t xml:space="preserve">
</t>
    </r>
    <r>
      <rPr>
        <sz val="11"/>
        <color rgb="FF000000"/>
        <rFont val="Calibri"/>
      </rPr>
      <t># /etc/dodscript.sh</t>
    </r>
  </si>
  <si>
    <r>
      <rPr>
        <sz val="11"/>
        <color rgb="FF000000"/>
        <rFont val="Calibri"/>
      </rPr>
      <t>Check if SLES for vRealize is configured to audit calls to the "sethostname" system call, run the following command:</t>
    </r>
    <r>
      <rPr>
        <sz val="11"/>
        <color rgb="FF000000"/>
        <rFont val="Calibri"/>
      </rPr>
      <t xml:space="preserve">
</t>
    </r>
    <r>
      <rPr>
        <sz val="11"/>
        <color rgb="FF000000"/>
        <rFont val="Calibri"/>
      </rPr>
      <t># grep -w "sethostname" /etc/audit/audit.rules</t>
    </r>
    <r>
      <rPr>
        <sz val="11"/>
        <color rgb="FF000000"/>
        <rFont val="Calibri"/>
      </rPr>
      <t xml:space="preserve">
</t>
    </r>
    <r>
      <rPr>
        <sz val="11"/>
        <color rgb="FF000000"/>
        <rFont val="Calibri"/>
      </rPr>
      <t>If SLES for vRealize is configured to audit this activity, it will return at least one line. If no line is returned, this is a finding.</t>
    </r>
  </si>
  <si>
    <t>V-88407</t>
  </si>
  <si>
    <r>
      <rPr>
        <sz val="11"/>
        <rFont val="Calibri"/>
      </rPr>
      <t>The SLES for vRealize audit system must be configured to audit all attempts to alter the system through setdomainname.</t>
    </r>
  </si>
  <si>
    <r>
      <rPr>
        <sz val="11"/>
        <color rgb="FF000000"/>
        <rFont val="Calibri"/>
      </rPr>
      <t>Run the following command:</t>
    </r>
    <r>
      <rPr>
        <sz val="11"/>
        <color rgb="FF000000"/>
        <rFont val="Calibri"/>
      </rPr>
      <t xml:space="preserve">
</t>
    </r>
    <r>
      <rPr>
        <sz val="11"/>
        <color rgb="FF000000"/>
        <rFont val="Calibri"/>
      </rPr>
      <t># echo '-a exit,always -F arch=b64 -S setdomainname' &gt;&gt; /etc/audit/audit.rules</t>
    </r>
    <r>
      <rPr>
        <sz val="11"/>
        <color rgb="FF000000"/>
        <rFont val="Calibri"/>
      </rPr>
      <t xml:space="preserve">
</t>
    </r>
    <r>
      <rPr>
        <sz val="11"/>
        <color rgb="FF000000"/>
        <rFont val="Calibri"/>
      </rPr>
      <t>Or run the following command to implement all logging requirements:</t>
    </r>
    <r>
      <rPr>
        <sz val="11"/>
        <color rgb="FF000000"/>
        <rFont val="Calibri"/>
      </rPr>
      <t xml:space="preserve">
</t>
    </r>
    <r>
      <rPr>
        <sz val="11"/>
        <color rgb="FF000000"/>
        <rFont val="Calibri"/>
      </rPr>
      <t># /etc/dodscript.sh</t>
    </r>
  </si>
  <si>
    <r>
      <rPr>
        <sz val="11"/>
        <color rgb="FF000000"/>
        <rFont val="Calibri"/>
      </rPr>
      <t>Without the capability to generate audit records,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The list of audited events is the set of events for which audits are to be generated. This set of events is typically a subset of the list of all events for which the system is capable of generating audit records.</t>
    </r>
    <r>
      <rPr>
        <sz val="11"/>
        <color rgb="FF000000"/>
        <rFont val="Calibri"/>
      </rPr>
      <t xml:space="preserve">
</t>
    </r>
    <r>
      <rPr>
        <sz val="11"/>
        <color rgb="FF000000"/>
        <rFont val="Calibri"/>
      </rPr>
      <t xml:space="preserve">DoD has defined the list of events for which the SLES for vRealize will provide an audit record generation capability as the following: </t>
    </r>
    <r>
      <rPr>
        <sz val="11"/>
        <color rgb="FF000000"/>
        <rFont val="Calibri"/>
      </rPr>
      <t xml:space="preserve">
</t>
    </r>
    <r>
      <rPr>
        <sz val="11"/>
        <color rgb="FF000000"/>
        <rFont val="Calibri"/>
      </rPr>
      <t>1) Successful and unsuccessful attempts to access, modify, or delete privileges, security objects, security levels, or categories of information (e.g., classification levels);</t>
    </r>
    <r>
      <rPr>
        <sz val="11"/>
        <color rgb="FF000000"/>
        <rFont val="Calibri"/>
      </rPr>
      <t xml:space="preserve">
</t>
    </r>
    <r>
      <rPr>
        <sz val="11"/>
        <color rgb="FF000000"/>
        <rFont val="Calibri"/>
      </rPr>
      <t>2) Access actions, such as successful and unsuccessful logon attempts, privileged activities or other system-level access, starting and ending time for user access to the system, concurrent logons from different workstations, successful and unsuccessful accesses to objects, all program initiations, and all direct access to the information system;</t>
    </r>
    <r>
      <rPr>
        <sz val="11"/>
        <color rgb="FF000000"/>
        <rFont val="Calibri"/>
      </rPr>
      <t xml:space="preserve">
</t>
    </r>
    <r>
      <rPr>
        <sz val="11"/>
        <color rgb="FF000000"/>
        <rFont val="Calibri"/>
      </rPr>
      <t xml:space="preserve">3) All account creations, modifications, disabling, and terminations; and </t>
    </r>
    <r>
      <rPr>
        <sz val="11"/>
        <color rgb="FF000000"/>
        <rFont val="Calibri"/>
      </rPr>
      <t xml:space="preserve">
</t>
    </r>
    <r>
      <rPr>
        <sz val="11"/>
        <color rgb="FF000000"/>
        <rFont val="Calibri"/>
      </rPr>
      <t>4) All kernel module load, unload, and restart actions.</t>
    </r>
  </si>
  <si>
    <r>
      <rPr>
        <sz val="11"/>
        <color rgb="FF000000"/>
        <rFont val="Calibri"/>
      </rPr>
      <t>Check if SLES for vRealize is configured to audit calls to the "sethostname" system call, run the following command:</t>
    </r>
    <r>
      <rPr>
        <sz val="11"/>
        <color rgb="FF000000"/>
        <rFont val="Calibri"/>
      </rPr>
      <t xml:space="preserve">
</t>
    </r>
    <r>
      <rPr>
        <sz val="11"/>
        <color rgb="FF000000"/>
        <rFont val="Calibri"/>
      </rPr>
      <t># grep -w "setdomainname" /etc/audit/audit.rules</t>
    </r>
    <r>
      <rPr>
        <sz val="11"/>
        <color rgb="FF000000"/>
        <rFont val="Calibri"/>
      </rPr>
      <t xml:space="preserve">
</t>
    </r>
    <r>
      <rPr>
        <sz val="11"/>
        <color rgb="FF000000"/>
        <rFont val="Calibri"/>
      </rPr>
      <t>If SLES for vRealize is configured to audit this activity, it will return a line. If no line is returned, this is a finding.</t>
    </r>
  </si>
  <si>
    <t>V-88409</t>
  </si>
  <si>
    <r>
      <rPr>
        <sz val="11"/>
        <rFont val="Calibri"/>
      </rPr>
      <t>The SLES for vRealize must be configured to audit all attempts to alter the system through sched_setparam.</t>
    </r>
  </si>
  <si>
    <r>
      <rPr>
        <sz val="11"/>
        <color rgb="FF000000"/>
        <rFont val="Calibri"/>
      </rPr>
      <t>Run the following command:</t>
    </r>
    <r>
      <rPr>
        <sz val="11"/>
        <color rgb="FF000000"/>
        <rFont val="Calibri"/>
      </rPr>
      <t xml:space="preserve">
</t>
    </r>
    <r>
      <rPr>
        <sz val="11"/>
        <color rgb="FF000000"/>
        <rFont val="Calibri"/>
      </rPr>
      <t>echo '-a exit,always -F arch=b64 -S sched_setparam' &gt;&gt; /etc/audit/audit.rules</t>
    </r>
    <r>
      <rPr>
        <sz val="11"/>
        <color rgb="FF000000"/>
        <rFont val="Calibri"/>
      </rPr>
      <t xml:space="preserve">
</t>
    </r>
    <r>
      <rPr>
        <sz val="11"/>
        <color rgb="FF000000"/>
        <rFont val="Calibri"/>
      </rPr>
      <t>Or run the following command to implement all logging requirements:</t>
    </r>
    <r>
      <rPr>
        <sz val="11"/>
        <color rgb="FF000000"/>
        <rFont val="Calibri"/>
      </rPr>
      <t xml:space="preserve">
</t>
    </r>
    <r>
      <rPr>
        <sz val="11"/>
        <color rgb="FF000000"/>
        <rFont val="Calibri"/>
      </rPr>
      <t># /etc/dodscript.sh</t>
    </r>
  </si>
  <si>
    <r>
      <rPr>
        <sz val="11"/>
        <color rgb="FF000000"/>
        <rFont val="Calibri"/>
      </rPr>
      <t>Check if SLES for vRealize is configured to audit calls to the "sethostname" system call, run the following command:</t>
    </r>
    <r>
      <rPr>
        <sz val="11"/>
        <color rgb="FF000000"/>
        <rFont val="Calibri"/>
      </rPr>
      <t xml:space="preserve">
</t>
    </r>
    <r>
      <rPr>
        <sz val="11"/>
        <color rgb="FF000000"/>
        <rFont val="Calibri"/>
      </rPr>
      <t># grep -w "sched_setparam" /etc/audit/audit.rules</t>
    </r>
    <r>
      <rPr>
        <sz val="11"/>
        <color rgb="FF000000"/>
        <rFont val="Calibri"/>
      </rPr>
      <t xml:space="preserve">
</t>
    </r>
    <r>
      <rPr>
        <sz val="11"/>
        <color rgb="FF000000"/>
        <rFont val="Calibri"/>
      </rPr>
      <t>If SLES for vRealize is configured to audit this activity, it will return a line.</t>
    </r>
    <r>
      <rPr>
        <sz val="11"/>
        <color rgb="FF000000"/>
        <rFont val="Calibri"/>
      </rPr>
      <t xml:space="preserve">
</t>
    </r>
    <r>
      <rPr>
        <sz val="11"/>
        <color rgb="FF000000"/>
        <rFont val="Calibri"/>
      </rPr>
      <t>If no line is returned, this is a finding.</t>
    </r>
  </si>
  <si>
    <t>V-88411</t>
  </si>
  <si>
    <r>
      <rPr>
        <sz val="11"/>
        <rFont val="Calibri"/>
      </rPr>
      <t>The SLES for vRealize must be configured to audit all attempts to alter the system through sched_setscheduler.</t>
    </r>
  </si>
  <si>
    <r>
      <rPr>
        <sz val="11"/>
        <color rgb="FF000000"/>
        <rFont val="Calibri"/>
      </rPr>
      <t>Run the following command:</t>
    </r>
    <r>
      <rPr>
        <sz val="11"/>
        <color rgb="FF000000"/>
        <rFont val="Calibri"/>
      </rPr>
      <t xml:space="preserve">
</t>
    </r>
    <r>
      <rPr>
        <sz val="11"/>
        <color rgb="FF000000"/>
        <rFont val="Calibri"/>
      </rPr>
      <t>echo '-a exit,always -F arch=b64 -S sched_setscheduler' &gt;&gt; /etc/audit/audit.rules</t>
    </r>
    <r>
      <rPr>
        <sz val="11"/>
        <color rgb="FF000000"/>
        <rFont val="Calibri"/>
      </rPr>
      <t xml:space="preserve">
</t>
    </r>
    <r>
      <rPr>
        <sz val="11"/>
        <color rgb="FF000000"/>
        <rFont val="Calibri"/>
      </rPr>
      <t>Or run the following command to implement all logging requirements:</t>
    </r>
    <r>
      <rPr>
        <sz val="11"/>
        <color rgb="FF000000"/>
        <rFont val="Calibri"/>
      </rPr>
      <t xml:space="preserve">
</t>
    </r>
    <r>
      <rPr>
        <sz val="11"/>
        <color rgb="FF000000"/>
        <rFont val="Calibri"/>
      </rPr>
      <t># /etc/dodscript.sh</t>
    </r>
  </si>
  <si>
    <r>
      <rPr>
        <sz val="11"/>
        <color rgb="FF000000"/>
        <rFont val="Calibri"/>
      </rPr>
      <t>Check if SLES for vRealize is configured to audit calls to the "sethostname" system call, run the following command:</t>
    </r>
    <r>
      <rPr>
        <sz val="11"/>
        <color rgb="FF000000"/>
        <rFont val="Calibri"/>
      </rPr>
      <t xml:space="preserve">
</t>
    </r>
    <r>
      <rPr>
        <sz val="11"/>
        <color rgb="FF000000"/>
        <rFont val="Calibri"/>
      </rPr>
      <t># grep -w "sched_setscheduler" /etc/audit/audit.rules</t>
    </r>
    <r>
      <rPr>
        <sz val="11"/>
        <color rgb="FF000000"/>
        <rFont val="Calibri"/>
      </rPr>
      <t xml:space="preserve">
</t>
    </r>
    <r>
      <rPr>
        <sz val="11"/>
        <color rgb="FF000000"/>
        <rFont val="Calibri"/>
      </rPr>
      <t>If SLES for vRealize is configured to audit this activity, it will return a line. If no line is returned, this is a finding.</t>
    </r>
  </si>
  <si>
    <t>V-88413</t>
  </si>
  <si>
    <r>
      <rPr>
        <sz val="11"/>
        <rFont val="Calibri"/>
      </rPr>
      <t>The SLES for vRealize must be configured to audit all attempts to alter /var/log/faillog.</t>
    </r>
  </si>
  <si>
    <r>
      <rPr>
        <sz val="11"/>
        <color rgb="FF000000"/>
        <rFont val="Calibri"/>
      </rPr>
      <t>Ensure attempts to alter /var/log/faillog are audited by modifying /etc/audit/audit.rules to contain "-w /var/log/faillog -p wa" with the following command:</t>
    </r>
    <r>
      <rPr>
        <sz val="11"/>
        <color rgb="FF000000"/>
        <rFont val="Calibri"/>
      </rPr>
      <t xml:space="preserve">
</t>
    </r>
    <r>
      <rPr>
        <sz val="11"/>
        <color rgb="FF000000"/>
        <rFont val="Calibri"/>
      </rPr>
      <t>echo '-w /var/log/faillog -p wa' &gt;&gt; /etc/audit/audit.rules</t>
    </r>
    <r>
      <rPr>
        <sz val="11"/>
        <color rgb="FF000000"/>
        <rFont val="Calibri"/>
      </rPr>
      <t xml:space="preserve">
</t>
    </r>
    <r>
      <rPr>
        <sz val="11"/>
        <color rgb="FF000000"/>
        <rFont val="Calibri"/>
      </rPr>
      <t>Or run the following command to implement all logging requirements:</t>
    </r>
    <r>
      <rPr>
        <sz val="11"/>
        <color rgb="FF000000"/>
        <rFont val="Calibri"/>
      </rPr>
      <t xml:space="preserve">
</t>
    </r>
    <r>
      <rPr>
        <sz val="11"/>
        <color rgb="FF000000"/>
        <rFont val="Calibri"/>
      </rPr>
      <t># /etc/dodscript.sh</t>
    </r>
  </si>
  <si>
    <r>
      <rPr>
        <sz val="11"/>
        <color rgb="FF000000"/>
        <rFont val="Calibri"/>
      </rPr>
      <t>Verify that attempts to alter the log files /var/log/faillog are audited:</t>
    </r>
    <r>
      <rPr>
        <sz val="11"/>
        <color rgb="FF000000"/>
        <rFont val="Calibri"/>
      </rPr>
      <t xml:space="preserve">
</t>
    </r>
    <r>
      <rPr>
        <sz val="11"/>
        <color rgb="FF000000"/>
        <rFont val="Calibri"/>
      </rPr>
      <t># egrep "faillog" /etc/audit/audit.rules</t>
    </r>
    <r>
      <rPr>
        <sz val="11"/>
        <color rgb="FF000000"/>
        <rFont val="Calibri"/>
      </rPr>
      <t xml:space="preserve">
</t>
    </r>
    <r>
      <rPr>
        <sz val="11"/>
        <color rgb="FF000000"/>
        <rFont val="Calibri"/>
      </rPr>
      <t>If "-w /var/log/faillog -p wa" entry does not exist, this is a finding.</t>
    </r>
  </si>
  <si>
    <t>V-88415</t>
  </si>
  <si>
    <r>
      <rPr>
        <sz val="11"/>
        <rFont val="Calibri"/>
      </rPr>
      <t>The SLES for vRealize must be configured to audit all attempts to alter /var/log/lastlog.</t>
    </r>
  </si>
  <si>
    <r>
      <rPr>
        <sz val="11"/>
        <color rgb="FF000000"/>
        <rFont val="Calibri"/>
      </rPr>
      <t>Ensure attempts to alter /var/log/lastlog are audited by modifying /etc/audit/audit.rules to contain "-w /var/log/lastlog -p wa" with the following command:</t>
    </r>
    <r>
      <rPr>
        <sz val="11"/>
        <color rgb="FF000000"/>
        <rFont val="Calibri"/>
      </rPr>
      <t xml:space="preserve">
</t>
    </r>
    <r>
      <rPr>
        <sz val="11"/>
        <color rgb="FF000000"/>
        <rFont val="Calibri"/>
      </rPr>
      <t>echo '-w /var/log/lastlog -p wa' &gt;&gt; /etc/audit/audit.rules</t>
    </r>
    <r>
      <rPr>
        <sz val="11"/>
        <color rgb="FF000000"/>
        <rFont val="Calibri"/>
      </rPr>
      <t xml:space="preserve">
</t>
    </r>
    <r>
      <rPr>
        <sz val="11"/>
        <color rgb="FF000000"/>
        <rFont val="Calibri"/>
      </rPr>
      <t>Or run the following command to implement all logging requirements:</t>
    </r>
    <r>
      <rPr>
        <sz val="11"/>
        <color rgb="FF000000"/>
        <rFont val="Calibri"/>
      </rPr>
      <t xml:space="preserve">
</t>
    </r>
    <r>
      <rPr>
        <sz val="11"/>
        <color rgb="FF000000"/>
        <rFont val="Calibri"/>
      </rPr>
      <t># /etc/dodscript.sh</t>
    </r>
  </si>
  <si>
    <r>
      <rPr>
        <sz val="11"/>
        <color rgb="FF000000"/>
        <rFont val="Calibri"/>
      </rPr>
      <t>Verify that attempts to alter the log files /var/log/lastlog are audited:</t>
    </r>
    <r>
      <rPr>
        <sz val="11"/>
        <color rgb="FF000000"/>
        <rFont val="Calibri"/>
      </rPr>
      <t xml:space="preserve">
</t>
    </r>
    <r>
      <rPr>
        <sz val="11"/>
        <color rgb="FF000000"/>
        <rFont val="Calibri"/>
      </rPr>
      <t># egrep "lastlog" /etc/audit/audit.rules</t>
    </r>
    <r>
      <rPr>
        <sz val="11"/>
        <color rgb="FF000000"/>
        <rFont val="Calibri"/>
      </rPr>
      <t xml:space="preserve">
</t>
    </r>
    <r>
      <rPr>
        <sz val="11"/>
        <color rgb="FF000000"/>
        <rFont val="Calibri"/>
      </rPr>
      <t>If "-w /var/log/lastlog -p wa" entry does not exist, this is a finding.</t>
    </r>
  </si>
  <si>
    <t>V-88417</t>
  </si>
  <si>
    <r>
      <rPr>
        <sz val="11"/>
        <rFont val="Calibri"/>
      </rPr>
      <t>The SLES for vRealize must be configured to audit all attempts to alter /var/log/tallylog.</t>
    </r>
  </si>
  <si>
    <r>
      <rPr>
        <sz val="11"/>
        <color rgb="FF000000"/>
        <rFont val="Calibri"/>
      </rPr>
      <t>Ensure attempts to alter /var/log/tallylog are audited by modifying /etc/audit/audit.rules to contain "-w /var/log/tallylog -p wa" with the following command:</t>
    </r>
    <r>
      <rPr>
        <sz val="11"/>
        <color rgb="FF000000"/>
        <rFont val="Calibri"/>
      </rPr>
      <t xml:space="preserve">
</t>
    </r>
    <r>
      <rPr>
        <sz val="11"/>
        <color rgb="FF000000"/>
        <rFont val="Calibri"/>
      </rPr>
      <t>echo '-w /var/log/tallylog -p wa' &gt;&gt; /etc/audit/audit.rules</t>
    </r>
    <r>
      <rPr>
        <sz val="11"/>
        <color rgb="FF000000"/>
        <rFont val="Calibri"/>
      </rPr>
      <t xml:space="preserve">
</t>
    </r>
    <r>
      <rPr>
        <sz val="11"/>
        <color rgb="FF000000"/>
        <rFont val="Calibri"/>
      </rPr>
      <t>Or run the following command to implement all logging requirements:</t>
    </r>
    <r>
      <rPr>
        <sz val="11"/>
        <color rgb="FF000000"/>
        <rFont val="Calibri"/>
      </rPr>
      <t xml:space="preserve">
</t>
    </r>
    <r>
      <rPr>
        <sz val="11"/>
        <color rgb="FF000000"/>
        <rFont val="Calibri"/>
      </rPr>
      <t># /etc/dodscript.sh</t>
    </r>
  </si>
  <si>
    <r>
      <rPr>
        <sz val="11"/>
        <color rgb="FF000000"/>
        <rFont val="Calibri"/>
      </rPr>
      <t>Verify that attempts to alter the log files /var/log/tallylog are audited:</t>
    </r>
    <r>
      <rPr>
        <sz val="11"/>
        <color rgb="FF000000"/>
        <rFont val="Calibri"/>
      </rPr>
      <t xml:space="preserve">
</t>
    </r>
    <r>
      <rPr>
        <sz val="11"/>
        <color rgb="FF000000"/>
        <rFont val="Calibri"/>
      </rPr>
      <t># egrep "tallylog" /etc/audit/audit.rules</t>
    </r>
    <r>
      <rPr>
        <sz val="11"/>
        <color rgb="FF000000"/>
        <rFont val="Calibri"/>
      </rPr>
      <t xml:space="preserve">
</t>
    </r>
    <r>
      <rPr>
        <sz val="11"/>
        <color rgb="FF000000"/>
        <rFont val="Calibri"/>
      </rPr>
      <t>If "-w /var/log/tallylog -p wa" entry does not exist, this is a finding.</t>
    </r>
  </si>
  <si>
    <t>V-88419</t>
  </si>
  <si>
    <r>
      <rPr>
        <sz val="11"/>
        <rFont val="Calibri"/>
      </rPr>
      <t>The SLES for vRealize must allow only the ISSM (or individuals or roles appointed by the ISSM) to select which auditable events are to be audited - Permissions.</t>
    </r>
  </si>
  <si>
    <r>
      <rPr>
        <sz val="11"/>
        <color rgb="FF000000"/>
        <rFont val="Calibri"/>
      </rPr>
      <t>Change the permissions of the /etc/audit/audit.rules.STIG, the /etc/audit/audit.rules.ORIG, and the /etc/audit/audit.rules files (if not a symbolic link):</t>
    </r>
    <r>
      <rPr>
        <sz val="11"/>
        <color rgb="FF000000"/>
        <rFont val="Calibri"/>
      </rPr>
      <t xml:space="preserve">
</t>
    </r>
    <r>
      <rPr>
        <sz val="11"/>
        <color rgb="FF000000"/>
        <rFont val="Calibri"/>
      </rPr>
      <t># chmod 640 /etc/audit/audit.rules.STIG</t>
    </r>
    <r>
      <rPr>
        <sz val="11"/>
        <color rgb="FF000000"/>
        <rFont val="Calibri"/>
      </rPr>
      <t xml:space="preserve">
</t>
    </r>
    <r>
      <rPr>
        <sz val="11"/>
        <color rgb="FF000000"/>
        <rFont val="Calibri"/>
      </rPr>
      <t># chmod 640 /etc/audit/audit.rules.ORIG</t>
    </r>
    <r>
      <rPr>
        <sz val="11"/>
        <color rgb="FF000000"/>
        <rFont val="Calibri"/>
      </rPr>
      <t xml:space="preserve">
</t>
    </r>
    <r>
      <rPr>
        <sz val="11"/>
        <color rgb="FF000000"/>
        <rFont val="Calibri"/>
      </rPr>
      <t># if [ -f /etc/audit/audit.rules ]; then chmod 640 /etc/audit/audit.rules; fi</t>
    </r>
    <r>
      <rPr>
        <sz val="11"/>
        <color rgb="FF000000"/>
        <rFont val="Calibri"/>
      </rPr>
      <t xml:space="preserve">
</t>
    </r>
    <r>
      <rPr>
        <sz val="11"/>
        <color rgb="FF000000"/>
        <rFont val="Calibri"/>
      </rPr>
      <t>Or run the following command to implement all logging requirements:</t>
    </r>
    <r>
      <rPr>
        <sz val="11"/>
        <color rgb="FF000000"/>
        <rFont val="Calibri"/>
      </rPr>
      <t xml:space="preserve">
</t>
    </r>
    <r>
      <rPr>
        <sz val="11"/>
        <color rgb="FF000000"/>
        <rFont val="Calibri"/>
      </rPr>
      <t># /etc/dodscript.sh</t>
    </r>
  </si>
  <si>
    <r>
      <rPr>
        <sz val="11"/>
        <color rgb="FF000000"/>
        <rFont val="Calibri"/>
      </rPr>
      <t>Without the capability to restrict which roles and individuals can select which events are audited, unauthorized personnel may be able to prevent the auditing of critical events. Misconfigured audits may degrade the system's performance by overwhelming the audit log. Misconfigured audits may also make it more difficult to establish, correlate, and investigate the events relating to an incident or identify those responsible for one.</t>
    </r>
  </si>
  <si>
    <r>
      <rPr>
        <sz val="11"/>
        <color rgb="FF000000"/>
        <rFont val="Calibri"/>
      </rPr>
      <t>Check the permissions of the rules files in /etc/audit:</t>
    </r>
    <r>
      <rPr>
        <sz val="11"/>
        <color rgb="FF000000"/>
        <rFont val="Calibri"/>
      </rPr>
      <t xml:space="preserve">
</t>
    </r>
    <r>
      <rPr>
        <sz val="11"/>
        <color rgb="FF000000"/>
        <rFont val="Calibri"/>
      </rPr>
      <t># ls -l /etc/audit/</t>
    </r>
    <r>
      <rPr>
        <sz val="11"/>
        <color rgb="FF000000"/>
        <rFont val="Calibri"/>
      </rPr>
      <t xml:space="preserve">
</t>
    </r>
    <r>
      <rPr>
        <sz val="11"/>
        <color rgb="FF000000"/>
        <rFont val="Calibri"/>
      </rPr>
      <t>Note: If /etc/audit/audit.rules is a symbolic link to /etc/audit/audit.rules.STIG, then the check is only applicable to /etc/audit/audit.rules.STIG.</t>
    </r>
    <r>
      <rPr>
        <sz val="11"/>
        <color rgb="FF000000"/>
        <rFont val="Calibri"/>
      </rPr>
      <t xml:space="preserve">
</t>
    </r>
    <r>
      <rPr>
        <sz val="11"/>
        <color rgb="FF000000"/>
        <rFont val="Calibri"/>
      </rPr>
      <t>If the permissions of the file is not set to "640", this is a finding.</t>
    </r>
  </si>
  <si>
    <t>V-88421</t>
  </si>
  <si>
    <r>
      <rPr>
        <sz val="11"/>
        <rFont val="Calibri"/>
      </rPr>
      <t>The SLES for vRealize must allow only the ISSM (or individuals or roles appointed by the ISSM) to select which auditable events are to be audited - ownership.</t>
    </r>
  </si>
  <si>
    <r>
      <rPr>
        <sz val="11"/>
        <color rgb="FF000000"/>
        <rFont val="Calibri"/>
      </rPr>
      <t>Change the ownership of the /etc/audit/audit.rules.STIG, the /etc/audit/audit.rules.ORIG, and the /etc/audit/audit.rules files (if not a symbolic link):</t>
    </r>
    <r>
      <rPr>
        <sz val="11"/>
        <color rgb="FF000000"/>
        <rFont val="Calibri"/>
      </rPr>
      <t xml:space="preserve">
</t>
    </r>
    <r>
      <rPr>
        <sz val="11"/>
        <color rgb="FF000000"/>
        <rFont val="Calibri"/>
      </rPr>
      <t># chown root /etc/audit/audit.rules.STIG</t>
    </r>
    <r>
      <rPr>
        <sz val="11"/>
        <color rgb="FF000000"/>
        <rFont val="Calibri"/>
      </rPr>
      <t xml:space="preserve">
</t>
    </r>
    <r>
      <rPr>
        <sz val="11"/>
        <color rgb="FF000000"/>
        <rFont val="Calibri"/>
      </rPr>
      <t># chown root /etc/audit/audit.rules.ORIG</t>
    </r>
    <r>
      <rPr>
        <sz val="11"/>
        <color rgb="FF000000"/>
        <rFont val="Calibri"/>
      </rPr>
      <t xml:space="preserve">
</t>
    </r>
    <r>
      <rPr>
        <sz val="11"/>
        <color rgb="FF000000"/>
        <rFont val="Calibri"/>
      </rPr>
      <t># if [ -f /etc/audit/audit.rules ]; then chown root /etc/audit/audit.rules; fi</t>
    </r>
    <r>
      <rPr>
        <sz val="11"/>
        <color rgb="FF000000"/>
        <rFont val="Calibri"/>
      </rPr>
      <t xml:space="preserve">
</t>
    </r>
    <r>
      <rPr>
        <sz val="11"/>
        <color rgb="FF000000"/>
        <rFont val="Calibri"/>
      </rPr>
      <t>Or run the following command to implement all logging requirements:</t>
    </r>
    <r>
      <rPr>
        <sz val="11"/>
        <color rgb="FF000000"/>
        <rFont val="Calibri"/>
      </rPr>
      <t xml:space="preserve">
</t>
    </r>
    <r>
      <rPr>
        <sz val="11"/>
        <color rgb="FF000000"/>
        <rFont val="Calibri"/>
      </rPr>
      <t># /etc/dodscript.sh</t>
    </r>
  </si>
  <si>
    <r>
      <rPr>
        <sz val="11"/>
        <color rgb="FF000000"/>
        <rFont val="Calibri"/>
      </rPr>
      <t>Check the permissions of the rules files in /etc/audit:</t>
    </r>
    <r>
      <rPr>
        <sz val="11"/>
        <color rgb="FF000000"/>
        <rFont val="Calibri"/>
      </rPr>
      <t xml:space="preserve">
</t>
    </r>
    <r>
      <rPr>
        <sz val="11"/>
        <color rgb="FF000000"/>
        <rFont val="Calibri"/>
      </rPr>
      <t># ls -l /etc/audit/</t>
    </r>
    <r>
      <rPr>
        <sz val="11"/>
        <color rgb="FF000000"/>
        <rFont val="Calibri"/>
      </rPr>
      <t xml:space="preserve">
</t>
    </r>
    <r>
      <rPr>
        <sz val="11"/>
        <color rgb="FF000000"/>
        <rFont val="Calibri"/>
      </rPr>
      <t>Note: If /etc/audit/audit.rules is a symbolic link to /etc/audit/audit.rules.STIG, then the check is only applicable to /etc/audit/audit.rules.STIG.</t>
    </r>
    <r>
      <rPr>
        <sz val="11"/>
        <color rgb="FF000000"/>
        <rFont val="Calibri"/>
      </rPr>
      <t xml:space="preserve">
</t>
    </r>
    <r>
      <rPr>
        <sz val="11"/>
        <color rgb="FF000000"/>
        <rFont val="Calibri"/>
      </rPr>
      <t>If the ownership is not set to "root", this is a finding.</t>
    </r>
  </si>
  <si>
    <t>V-88423</t>
  </si>
  <si>
    <r>
      <rPr>
        <sz val="11"/>
        <rFont val="Calibri"/>
      </rPr>
      <t>The SLES for vRealize must allow only the ISSM (or individuals or roles appointed by the ISSM) to select which auditable events are to be audited - group ownership.</t>
    </r>
  </si>
  <si>
    <r>
      <rPr>
        <sz val="11"/>
        <color rgb="FF000000"/>
        <rFont val="Calibri"/>
      </rPr>
      <t>Change the group ownership of the /etc/audit/audit.rules.STIG, the /etc/audit/audit.rules.ORIG, and the /etc/audit/audit.rules files (if not a symbolic link):</t>
    </r>
    <r>
      <rPr>
        <sz val="11"/>
        <color rgb="FF000000"/>
        <rFont val="Calibri"/>
      </rPr>
      <t xml:space="preserve">
</t>
    </r>
    <r>
      <rPr>
        <sz val="11"/>
        <color rgb="FF000000"/>
        <rFont val="Calibri"/>
      </rPr>
      <t># chgrp root /etc/audit/audit.rules.STIG</t>
    </r>
    <r>
      <rPr>
        <sz val="11"/>
        <color rgb="FF000000"/>
        <rFont val="Calibri"/>
      </rPr>
      <t xml:space="preserve">
</t>
    </r>
    <r>
      <rPr>
        <sz val="11"/>
        <color rgb="FF000000"/>
        <rFont val="Calibri"/>
      </rPr>
      <t># chgrp root /etc/audit/audit.rules.ORIG</t>
    </r>
    <r>
      <rPr>
        <sz val="11"/>
        <color rgb="FF000000"/>
        <rFont val="Calibri"/>
      </rPr>
      <t xml:space="preserve">
</t>
    </r>
    <r>
      <rPr>
        <sz val="11"/>
        <color rgb="FF000000"/>
        <rFont val="Calibri"/>
      </rPr>
      <t># if [ -f /etc/audit/audit.rules ]; then chgrp root /etc/audit/audit.rules; fi</t>
    </r>
    <r>
      <rPr>
        <sz val="11"/>
        <color rgb="FF000000"/>
        <rFont val="Calibri"/>
      </rPr>
      <t xml:space="preserve">
</t>
    </r>
    <r>
      <rPr>
        <sz val="11"/>
        <color rgb="FF000000"/>
        <rFont val="Calibri"/>
      </rPr>
      <t>Or run the following command to implement all logging requirements:</t>
    </r>
    <r>
      <rPr>
        <sz val="11"/>
        <color rgb="FF000000"/>
        <rFont val="Calibri"/>
      </rPr>
      <t xml:space="preserve">
</t>
    </r>
    <r>
      <rPr>
        <sz val="11"/>
        <color rgb="FF000000"/>
        <rFont val="Calibri"/>
      </rPr>
      <t># /etc/dodscript.sh</t>
    </r>
  </si>
  <si>
    <r>
      <rPr>
        <sz val="11"/>
        <color rgb="FF000000"/>
        <rFont val="Calibri"/>
      </rPr>
      <t>Check the permissions of the rules files in /etc/audit:</t>
    </r>
    <r>
      <rPr>
        <sz val="11"/>
        <color rgb="FF000000"/>
        <rFont val="Calibri"/>
      </rPr>
      <t xml:space="preserve">
</t>
    </r>
    <r>
      <rPr>
        <sz val="11"/>
        <color rgb="FF000000"/>
        <rFont val="Calibri"/>
      </rPr>
      <t># ls -l /etc/audit/</t>
    </r>
    <r>
      <rPr>
        <sz val="11"/>
        <color rgb="FF000000"/>
        <rFont val="Calibri"/>
      </rPr>
      <t xml:space="preserve">
</t>
    </r>
    <r>
      <rPr>
        <sz val="11"/>
        <color rgb="FF000000"/>
        <rFont val="Calibri"/>
      </rPr>
      <t>Note: If /etc/audit/audit.rules is a symbolic link to /etc/audit/audit.rules.STIG, then the check is only applicable to /etc/audit/audit.rules.STIG.</t>
    </r>
    <r>
      <rPr>
        <sz val="11"/>
        <color rgb="FF000000"/>
        <rFont val="Calibri"/>
      </rPr>
      <t xml:space="preserve">
</t>
    </r>
    <r>
      <rPr>
        <sz val="11"/>
        <color rgb="FF000000"/>
        <rFont val="Calibri"/>
      </rPr>
      <t>If the group owner is not set to "root", this is a finding.</t>
    </r>
  </si>
  <si>
    <t>V-88425</t>
  </si>
  <si>
    <r>
      <rPr>
        <sz val="11"/>
        <rFont val="Calibri"/>
      </rPr>
      <t>The SLES for vRealize must generate audit records when successful/unsuccessful attempts to access privileges occur. The operating system must generate audit records for all discretionary access control permission modifications using chmod.</t>
    </r>
  </si>
  <si>
    <r>
      <rPr>
        <sz val="11"/>
        <color rgb="FF000000"/>
        <rFont val="Calibri"/>
      </rPr>
      <t xml:space="preserve">At a minimum, the audit system should collect file permission changes for all users and root. Add the following to "/etc/audit/audit.rules": </t>
    </r>
    <r>
      <rPr>
        <sz val="11"/>
        <color rgb="FF000000"/>
        <rFont val="Calibri"/>
      </rPr>
      <t xml:space="preserve">
</t>
    </r>
    <r>
      <rPr>
        <sz val="11"/>
        <color rgb="FF000000"/>
        <rFont val="Calibri"/>
      </rPr>
      <t>-a always,exit -F arch=b64 -S chmod -F auid=0</t>
    </r>
    <r>
      <rPr>
        <sz val="11"/>
        <color rgb="FF000000"/>
        <rFont val="Calibri"/>
      </rPr>
      <t xml:space="preserve">
</t>
    </r>
    <r>
      <rPr>
        <sz val="11"/>
        <color rgb="FF000000"/>
        <rFont val="Calibri"/>
      </rPr>
      <t>-a always,exit -F arch=b64 -S chmod -F auid&gt;=500 -F auid!=4294967295</t>
    </r>
    <r>
      <rPr>
        <sz val="11"/>
        <color rgb="FF000000"/>
        <rFont val="Calibri"/>
      </rPr>
      <t xml:space="preserve">
</t>
    </r>
    <r>
      <rPr>
        <sz val="11"/>
        <color rgb="FF000000"/>
        <rFont val="Calibri"/>
      </rPr>
      <t>Or run the following command to implement all logging requirements:</t>
    </r>
    <r>
      <rPr>
        <sz val="11"/>
        <color rgb="FF000000"/>
        <rFont val="Calibri"/>
      </rPr>
      <t xml:space="preserve">
</t>
    </r>
    <r>
      <rPr>
        <sz val="11"/>
        <color rgb="FF000000"/>
        <rFont val="Calibri"/>
      </rPr>
      <t># /etc/dodscript.sh</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</si>
  <si>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</si>
  <si>
    <r>
      <rPr>
        <sz val="11"/>
        <color rgb="FF000000"/>
        <rFont val="Calibri"/>
      </rPr>
      <t xml:space="preserve">To determine if the system is configured to audit calls to the "chmod" system call, run the following command: </t>
    </r>
    <r>
      <rPr>
        <sz val="11"/>
        <color rgb="FF000000"/>
        <rFont val="Calibri"/>
      </rPr>
      <t xml:space="preserve">
</t>
    </r>
    <r>
      <rPr>
        <sz val="11"/>
        <color rgb="FF000000"/>
        <rFont val="Calibri"/>
      </rPr>
      <t># auditctl -l | grep syscall | grep chmod</t>
    </r>
    <r>
      <rPr>
        <sz val="11"/>
        <color rgb="FF000000"/>
        <rFont val="Calibri"/>
      </rPr>
      <t xml:space="preserve">
</t>
    </r>
    <r>
      <rPr>
        <sz val="11"/>
        <color rgb="FF000000"/>
        <rFont val="Calibri"/>
      </rPr>
      <t xml:space="preserve">If the system is configured to audit this activity, it will return several lines, such as: </t>
    </r>
    <r>
      <rPr>
        <sz val="11"/>
        <color rgb="FF000000"/>
        <rFont val="Calibri"/>
      </rPr>
      <t xml:space="preserve">
</t>
    </r>
    <r>
      <rPr>
        <sz val="11"/>
        <color rgb="FF000000"/>
        <rFont val="Calibri"/>
      </rPr>
      <t>LIST_RULES: exit,always arch=3221225534 (0xc000003e) auid=0 syscall=chmod,fchmod,chown,fchown,fchownat,fchmodat</t>
    </r>
    <r>
      <rPr>
        <sz val="11"/>
        <color rgb="FF000000"/>
        <rFont val="Calibri"/>
      </rPr>
      <t xml:space="preserve">
</t>
    </r>
    <r>
      <rPr>
        <sz val="11"/>
        <color rgb="FF000000"/>
        <rFont val="Calibri"/>
      </rPr>
      <t>LIST_RULES: exit,always arch=3221225534 (0xc000003e) auid&gt;=500 (0x1f4) auid!=-1 (0xffffffff) syscall=chmod,fchmod,chown,fchown,fchownat,fchmodat</t>
    </r>
    <r>
      <rPr>
        <sz val="11"/>
        <color rgb="FF000000"/>
        <rFont val="Calibri"/>
      </rPr>
      <t xml:space="preserve">
</t>
    </r>
    <r>
      <rPr>
        <sz val="11"/>
        <color rgb="FF000000"/>
        <rFont val="Calibri"/>
      </rPr>
      <t>If no lines are returned, this is a finding.</t>
    </r>
  </si>
  <si>
    <t>V-88427</t>
  </si>
  <si>
    <r>
      <rPr>
        <sz val="11"/>
        <rFont val="Calibri"/>
      </rPr>
      <t>The SLES for vRealize must generate audit records when successful/unsuccessful attempts to access privileges occur. The SLES for vRealize must generate audit records for all discretionary access control permission modifications using chown.</t>
    </r>
  </si>
  <si>
    <r>
      <rPr>
        <sz val="11"/>
        <color rgb="FF000000"/>
        <rFont val="Calibri"/>
      </rPr>
      <t xml:space="preserve">At a minimum, the SLES for vRealize audit system should collect file permission changes for all users and "root". Add the following to "/etc/audit/audit.rules": </t>
    </r>
    <r>
      <rPr>
        <sz val="11"/>
        <color rgb="FF000000"/>
        <rFont val="Calibri"/>
      </rPr>
      <t xml:space="preserve">
</t>
    </r>
    <r>
      <rPr>
        <sz val="11"/>
        <color rgb="FF000000"/>
        <rFont val="Calibri"/>
      </rPr>
      <t>-a always,exit -F arch=b64 -S chown -F auid=0</t>
    </r>
    <r>
      <rPr>
        <sz val="11"/>
        <color rgb="FF000000"/>
        <rFont val="Calibri"/>
      </rPr>
      <t xml:space="preserve">
</t>
    </r>
    <r>
      <rPr>
        <sz val="11"/>
        <color rgb="FF000000"/>
        <rFont val="Calibri"/>
      </rPr>
      <t>-a always,exit -F arch=b64 -S chown -F auid&gt;=500 -F auid!=4294967295</t>
    </r>
    <r>
      <rPr>
        <sz val="11"/>
        <color rgb="FF000000"/>
        <rFont val="Calibri"/>
      </rPr>
      <t xml:space="preserve">
</t>
    </r>
    <r>
      <rPr>
        <sz val="11"/>
        <color rgb="FF000000"/>
        <rFont val="Calibri"/>
      </rPr>
      <t>Or run the following command to implement all logging requirements:</t>
    </r>
    <r>
      <rPr>
        <sz val="11"/>
        <color rgb="FF000000"/>
        <rFont val="Calibri"/>
      </rPr>
      <t xml:space="preserve">
</t>
    </r>
    <r>
      <rPr>
        <sz val="11"/>
        <color rgb="FF000000"/>
        <rFont val="Calibri"/>
      </rPr>
      <t># /etc/dodscript.sh</t>
    </r>
  </si>
  <si>
    <r>
      <rPr>
        <sz val="11"/>
        <color rgb="FF000000"/>
        <rFont val="Calibri"/>
      </rPr>
      <t xml:space="preserve">To determine if the SLES for vRealize is configured to audit calls to the "chown" system call, run the following command: </t>
    </r>
    <r>
      <rPr>
        <sz val="11"/>
        <color rgb="FF000000"/>
        <rFont val="Calibri"/>
      </rPr>
      <t xml:space="preserve">
</t>
    </r>
    <r>
      <rPr>
        <sz val="11"/>
        <color rgb="FF000000"/>
        <rFont val="Calibri"/>
      </rPr>
      <t># auditctl -l | grep syscall | grep chown</t>
    </r>
    <r>
      <rPr>
        <sz val="11"/>
        <color rgb="FF000000"/>
        <rFont val="Calibri"/>
      </rPr>
      <t xml:space="preserve">
</t>
    </r>
    <r>
      <rPr>
        <sz val="11"/>
        <color rgb="FF000000"/>
        <rFont val="Calibri"/>
      </rPr>
      <t xml:space="preserve">If the SLES for vRealize is configured to audit this activity, it will return several lines, such as: </t>
    </r>
    <r>
      <rPr>
        <sz val="11"/>
        <color rgb="FF000000"/>
        <rFont val="Calibri"/>
      </rPr>
      <t xml:space="preserve">
</t>
    </r>
    <r>
      <rPr>
        <sz val="11"/>
        <color rgb="FF000000"/>
        <rFont val="Calibri"/>
      </rPr>
      <t>LIST_RULES: exit,always arch=3221225534 (0xc000003e) auid=0 syscall=chmod,fchmod,chown,fchown,fchownat,fchmodat</t>
    </r>
    <r>
      <rPr>
        <sz val="11"/>
        <color rgb="FF000000"/>
        <rFont val="Calibri"/>
      </rPr>
      <t xml:space="preserve">
</t>
    </r>
    <r>
      <rPr>
        <sz val="11"/>
        <color rgb="FF000000"/>
        <rFont val="Calibri"/>
      </rPr>
      <t>LIST_RULES: exit,always arch=3221225534 (0xc000003e) auid&gt;=500 (0x1f4) auid!=-1 (0xffffffff) syscall=chmod,fchmod,chown,fchown,fchownat,fchmodat</t>
    </r>
    <r>
      <rPr>
        <sz val="11"/>
        <color rgb="FF000000"/>
        <rFont val="Calibri"/>
      </rPr>
      <t xml:space="preserve">
</t>
    </r>
    <r>
      <rPr>
        <sz val="11"/>
        <color rgb="FF000000"/>
        <rFont val="Calibri"/>
      </rPr>
      <t>If no lines are returned, this is a finding.</t>
    </r>
  </si>
  <si>
    <t>V-88429</t>
  </si>
  <si>
    <r>
      <rPr>
        <sz val="11"/>
        <rFont val="Calibri"/>
      </rPr>
      <t>The SLES for vRealize must generate audit records when successful/unsuccessful attempts to access privileges occur. The SLES for vRealize must generate audit records for all discretionary access control permission modifications using fchmod.</t>
    </r>
  </si>
  <si>
    <r>
      <rPr>
        <sz val="11"/>
        <color rgb="FF000000"/>
        <rFont val="Calibri"/>
      </rPr>
      <t xml:space="preserve">At a minimum, the SLES for vRealize audit system should collect file permission changes for all users and "root". Add the following to "/etc/audit/audit.rules": </t>
    </r>
    <r>
      <rPr>
        <sz val="11"/>
        <color rgb="FF000000"/>
        <rFont val="Calibri"/>
      </rPr>
      <t xml:space="preserve">
</t>
    </r>
    <r>
      <rPr>
        <sz val="11"/>
        <color rgb="FF000000"/>
        <rFont val="Calibri"/>
      </rPr>
      <t>-a always,exit -F arch=b64 -S fchmod -F auid=0</t>
    </r>
    <r>
      <rPr>
        <sz val="11"/>
        <color rgb="FF000000"/>
        <rFont val="Calibri"/>
      </rPr>
      <t xml:space="preserve">
</t>
    </r>
    <r>
      <rPr>
        <sz val="11"/>
        <color rgb="FF000000"/>
        <rFont val="Calibri"/>
      </rPr>
      <t>-a always,exit -F arch=b64 -S fchmod -F auid&gt;=500 -F auid!=4294967295</t>
    </r>
    <r>
      <rPr>
        <sz val="11"/>
        <color rgb="FF000000"/>
        <rFont val="Calibri"/>
      </rPr>
      <t xml:space="preserve">
</t>
    </r>
    <r>
      <rPr>
        <sz val="11"/>
        <color rgb="FF000000"/>
        <rFont val="Calibri"/>
      </rPr>
      <t>Or run the following command to implement all logging requirements:</t>
    </r>
    <r>
      <rPr>
        <sz val="11"/>
        <color rgb="FF000000"/>
        <rFont val="Calibri"/>
      </rPr>
      <t xml:space="preserve">
</t>
    </r>
    <r>
      <rPr>
        <sz val="11"/>
        <color rgb="FF000000"/>
        <rFont val="Calibri"/>
      </rPr>
      <t># /etc/dodscript.sh</t>
    </r>
  </si>
  <si>
    <r>
      <rPr>
        <sz val="11"/>
        <color rgb="FF000000"/>
        <rFont val="Calibri"/>
      </rPr>
      <t xml:space="preserve">To determine if SLES for vRealize is configured to audit calls to the "fchmod" system call, run the following command: </t>
    </r>
    <r>
      <rPr>
        <sz val="11"/>
        <color rgb="FF000000"/>
        <rFont val="Calibri"/>
      </rPr>
      <t xml:space="preserve">
</t>
    </r>
    <r>
      <rPr>
        <sz val="11"/>
        <color rgb="FF000000"/>
        <rFont val="Calibri"/>
      </rPr>
      <t># auditctl -l | grep syscall | grep fchmod</t>
    </r>
    <r>
      <rPr>
        <sz val="11"/>
        <color rgb="FF000000"/>
        <rFont val="Calibri"/>
      </rPr>
      <t xml:space="preserve">
</t>
    </r>
    <r>
      <rPr>
        <sz val="11"/>
        <color rgb="FF000000"/>
        <rFont val="Calibri"/>
      </rPr>
      <t xml:space="preserve">If SLES for vRealize is configured to audit this activity, it will return several lines, such as: </t>
    </r>
    <r>
      <rPr>
        <sz val="11"/>
        <color rgb="FF000000"/>
        <rFont val="Calibri"/>
      </rPr>
      <t xml:space="preserve">
</t>
    </r>
    <r>
      <rPr>
        <sz val="11"/>
        <color rgb="FF000000"/>
        <rFont val="Calibri"/>
      </rPr>
      <t>LIST_RULES: exit,always arch=3221225534 (0xc000003e) auid=0 syscall=chmod,fchmod,chown,fchown,fchownat,fchmodat</t>
    </r>
    <r>
      <rPr>
        <sz val="11"/>
        <color rgb="FF000000"/>
        <rFont val="Calibri"/>
      </rPr>
      <t xml:space="preserve">
</t>
    </r>
    <r>
      <rPr>
        <sz val="11"/>
        <color rgb="FF000000"/>
        <rFont val="Calibri"/>
      </rPr>
      <t>LIST_RULES: exit,always arch=3221225534 (0xc000003e) auid&gt;=500 (0x1f4) auid!=-1 (0xffffffff) syscall=chmod,fchmod,chown,fchown,fchownat,fchmodat</t>
    </r>
    <r>
      <rPr>
        <sz val="11"/>
        <color rgb="FF000000"/>
        <rFont val="Calibri"/>
      </rPr>
      <t xml:space="preserve">
</t>
    </r>
    <r>
      <rPr>
        <sz val="11"/>
        <color rgb="FF000000"/>
        <rFont val="Calibri"/>
      </rPr>
      <t>If no lines are returned, this is a finding.</t>
    </r>
  </si>
  <si>
    <t>V-88431</t>
  </si>
  <si>
    <r>
      <rPr>
        <sz val="11"/>
        <rFont val="Calibri"/>
      </rPr>
      <t>The SLES for vRealize must generate audit records when successful/unsuccessful attempts to access privileges occur. The SLES for vRealize must generate audit records for all discretionary access control permission modifications using fchmodat.</t>
    </r>
  </si>
  <si>
    <r>
      <rPr>
        <sz val="11"/>
        <color rgb="FF000000"/>
        <rFont val="Calibri"/>
      </rPr>
      <t xml:space="preserve">At a minimum, the SLES for vRealize audit system should collect file permission changes for all users and "root". Add the following to "/etc/audit/audit.rules": </t>
    </r>
    <r>
      <rPr>
        <sz val="11"/>
        <color rgb="FF000000"/>
        <rFont val="Calibri"/>
      </rPr>
      <t xml:space="preserve">
</t>
    </r>
    <r>
      <rPr>
        <sz val="11"/>
        <color rgb="FF000000"/>
        <rFont val="Calibri"/>
      </rPr>
      <t>-a always,exit -F arch=b64 -S fchmodat -F auid=0</t>
    </r>
    <r>
      <rPr>
        <sz val="11"/>
        <color rgb="FF000000"/>
        <rFont val="Calibri"/>
      </rPr>
      <t xml:space="preserve">
</t>
    </r>
    <r>
      <rPr>
        <sz val="11"/>
        <color rgb="FF000000"/>
        <rFont val="Calibri"/>
      </rPr>
      <t>-a always,exit -F arch=b64 -S fchmodat -F auid&gt;=500 -F auid!=4294967295</t>
    </r>
    <r>
      <rPr>
        <sz val="11"/>
        <color rgb="FF000000"/>
        <rFont val="Calibri"/>
      </rPr>
      <t xml:space="preserve">
</t>
    </r>
    <r>
      <rPr>
        <sz val="11"/>
        <color rgb="FF000000"/>
        <rFont val="Calibri"/>
      </rPr>
      <t>Or run the following command to implement all logging requirements:</t>
    </r>
    <r>
      <rPr>
        <sz val="11"/>
        <color rgb="FF000000"/>
        <rFont val="Calibri"/>
      </rPr>
      <t xml:space="preserve">
</t>
    </r>
    <r>
      <rPr>
        <sz val="11"/>
        <color rgb="FF000000"/>
        <rFont val="Calibri"/>
      </rPr>
      <t># /etc/dodscript.sh</t>
    </r>
  </si>
  <si>
    <r>
      <rPr>
        <sz val="11"/>
        <color rgb="FF000000"/>
        <rFont val="Calibri"/>
      </rPr>
      <t xml:space="preserve">To determine if SLES for vRealize is configured to audit calls to the "fchmodat" system call, run the following command: </t>
    </r>
    <r>
      <rPr>
        <sz val="11"/>
        <color rgb="FF000000"/>
        <rFont val="Calibri"/>
      </rPr>
      <t xml:space="preserve">
</t>
    </r>
    <r>
      <rPr>
        <sz val="11"/>
        <color rgb="FF000000"/>
        <rFont val="Calibri"/>
      </rPr>
      <t># auditctl -l | grep syscall | grep fchmodat</t>
    </r>
    <r>
      <rPr>
        <sz val="11"/>
        <color rgb="FF000000"/>
        <rFont val="Calibri"/>
      </rPr>
      <t xml:space="preserve">
</t>
    </r>
    <r>
      <rPr>
        <sz val="11"/>
        <color rgb="FF000000"/>
        <rFont val="Calibri"/>
      </rPr>
      <t xml:space="preserve">If SLES for vRealize is configured to audit this activity, it will return several lines, such as: </t>
    </r>
    <r>
      <rPr>
        <sz val="11"/>
        <color rgb="FF000000"/>
        <rFont val="Calibri"/>
      </rPr>
      <t xml:space="preserve">
</t>
    </r>
    <r>
      <rPr>
        <sz val="11"/>
        <color rgb="FF000000"/>
        <rFont val="Calibri"/>
      </rPr>
      <t>LIST_RULES: exit,always arch=3221225534 (0xc000003e) auid=0 syscall=chmod,fchmod,chown,fchown,fchownat,fchmodat</t>
    </r>
    <r>
      <rPr>
        <sz val="11"/>
        <color rgb="FF000000"/>
        <rFont val="Calibri"/>
      </rPr>
      <t xml:space="preserve">
</t>
    </r>
    <r>
      <rPr>
        <sz val="11"/>
        <color rgb="FF000000"/>
        <rFont val="Calibri"/>
      </rPr>
      <t>LIST_RULES: exit,always arch=3221225534 (0xc000003e) auid&gt;=500 (0x1f4) auid!=-1 (0xffffffff) syscall=chmod,fchmod,chown,fchown,fchownat,fchmodat</t>
    </r>
    <r>
      <rPr>
        <sz val="11"/>
        <color rgb="FF000000"/>
        <rFont val="Calibri"/>
      </rPr>
      <t xml:space="preserve">
</t>
    </r>
    <r>
      <rPr>
        <sz val="11"/>
        <color rgb="FF000000"/>
        <rFont val="Calibri"/>
      </rPr>
      <t>If no lines are returned, this is a finding.</t>
    </r>
  </si>
  <si>
    <t>V-88433</t>
  </si>
  <si>
    <r>
      <rPr>
        <sz val="11"/>
        <rFont val="Calibri"/>
      </rPr>
      <t>The SLES for vRealize must generate audit records when successful/unsuccessful attempts to access privileges occur. The SLES for vRealize must generate audit records for all discretionary access control permission modifications using fchown.</t>
    </r>
  </si>
  <si>
    <r>
      <rPr>
        <sz val="11"/>
        <color rgb="FF000000"/>
        <rFont val="Calibri"/>
      </rPr>
      <t xml:space="preserve">At a minimum, the SLES for vRealize audit system should collect file permission changes for all users and "root". Add the following to "/etc/audit/audit.rules": </t>
    </r>
    <r>
      <rPr>
        <sz val="11"/>
        <color rgb="FF000000"/>
        <rFont val="Calibri"/>
      </rPr>
      <t xml:space="preserve">
</t>
    </r>
    <r>
      <rPr>
        <sz val="11"/>
        <color rgb="FF000000"/>
        <rFont val="Calibri"/>
      </rPr>
      <t>-a always,exit -F arch=b64 -S fchown -F auid=0</t>
    </r>
    <r>
      <rPr>
        <sz val="11"/>
        <color rgb="FF000000"/>
        <rFont val="Calibri"/>
      </rPr>
      <t xml:space="preserve">
</t>
    </r>
    <r>
      <rPr>
        <sz val="11"/>
        <color rgb="FF000000"/>
        <rFont val="Calibri"/>
      </rPr>
      <t>-a always,exit -F arch=b64 -S fchown -F auid&gt;=500 -F auid!=4294967295</t>
    </r>
    <r>
      <rPr>
        <sz val="11"/>
        <color rgb="FF000000"/>
        <rFont val="Calibri"/>
      </rPr>
      <t xml:space="preserve">
</t>
    </r>
    <r>
      <rPr>
        <sz val="11"/>
        <color rgb="FF000000"/>
        <rFont val="Calibri"/>
      </rPr>
      <t>Or run the following command to implement all logging requirements:</t>
    </r>
    <r>
      <rPr>
        <sz val="11"/>
        <color rgb="FF000000"/>
        <rFont val="Calibri"/>
      </rPr>
      <t xml:space="preserve">
</t>
    </r>
    <r>
      <rPr>
        <sz val="11"/>
        <color rgb="FF000000"/>
        <rFont val="Calibri"/>
      </rPr>
      <t># /etc/dodscript.sh</t>
    </r>
  </si>
  <si>
    <r>
      <rPr>
        <sz val="11"/>
        <color rgb="FF000000"/>
        <rFont val="Calibri"/>
      </rPr>
      <t xml:space="preserve">To determine if SLES for vRealize is configured to audit calls to the "fchown" system call, run the following command: </t>
    </r>
    <r>
      <rPr>
        <sz val="11"/>
        <color rgb="FF000000"/>
        <rFont val="Calibri"/>
      </rPr>
      <t xml:space="preserve">
</t>
    </r>
    <r>
      <rPr>
        <sz val="11"/>
        <color rgb="FF000000"/>
        <rFont val="Calibri"/>
      </rPr>
      <t># auditctl -l | grep syscall | grep fchown</t>
    </r>
    <r>
      <rPr>
        <sz val="11"/>
        <color rgb="FF000000"/>
        <rFont val="Calibri"/>
      </rPr>
      <t xml:space="preserve">
</t>
    </r>
    <r>
      <rPr>
        <sz val="11"/>
        <color rgb="FF000000"/>
        <rFont val="Calibri"/>
      </rPr>
      <t>If SLES for vRealize is configured to audit this activity, it will return several lines, such as:</t>
    </r>
    <r>
      <rPr>
        <sz val="11"/>
        <color rgb="FF000000"/>
        <rFont val="Calibri"/>
      </rPr>
      <t xml:space="preserve">
</t>
    </r>
    <r>
      <rPr>
        <sz val="11"/>
        <color rgb="FF000000"/>
        <rFont val="Calibri"/>
      </rPr>
      <t>LIST_RULES: exit,always arch=3221225534 (0xc000003e) auid=0 syscall=chmod,fchmod,chown,fchown,fchownat,fchmodat</t>
    </r>
    <r>
      <rPr>
        <sz val="11"/>
        <color rgb="FF000000"/>
        <rFont val="Calibri"/>
      </rPr>
      <t xml:space="preserve">
</t>
    </r>
    <r>
      <rPr>
        <sz val="11"/>
        <color rgb="FF000000"/>
        <rFont val="Calibri"/>
      </rPr>
      <t>LIST_RULES: exit,always arch=3221225534 (0xc000003e) auid&gt;=500 (0x1f4) auid!=-1 (0xffffffff) syscall=chmod,fchmod,chown,fchown,fchownat,fchmodat</t>
    </r>
    <r>
      <rPr>
        <sz val="11"/>
        <color rgb="FF000000"/>
        <rFont val="Calibri"/>
      </rPr>
      <t xml:space="preserve">
</t>
    </r>
    <r>
      <rPr>
        <sz val="11"/>
        <color rgb="FF000000"/>
        <rFont val="Calibri"/>
      </rPr>
      <t>If no lines are returned, this is a finding.</t>
    </r>
  </si>
  <si>
    <t>V-88435</t>
  </si>
  <si>
    <r>
      <rPr>
        <sz val="11"/>
        <rFont val="Calibri"/>
      </rPr>
      <t>The SLES for vRealize must generate audit records when successful/unsuccessful attempts to access privileges occur. The SLES for vRealize must generate audit records for all discretionary access control permission modifications using fchownat.</t>
    </r>
  </si>
  <si>
    <r>
      <rPr>
        <sz val="11"/>
        <color rgb="FF000000"/>
        <rFont val="Calibri"/>
      </rPr>
      <t xml:space="preserve">At a minimum, the SLES for vRealize audit system should collect file permission changes for all users and "root". Add the following to "/etc/audit/audit.rules": </t>
    </r>
    <r>
      <rPr>
        <sz val="11"/>
        <color rgb="FF000000"/>
        <rFont val="Calibri"/>
      </rPr>
      <t xml:space="preserve">
</t>
    </r>
    <r>
      <rPr>
        <sz val="11"/>
        <color rgb="FF000000"/>
        <rFont val="Calibri"/>
      </rPr>
      <t>-a always,exit -F arch=b64 -S fchownat -F auid=0</t>
    </r>
    <r>
      <rPr>
        <sz val="11"/>
        <color rgb="FF000000"/>
        <rFont val="Calibri"/>
      </rPr>
      <t xml:space="preserve">
</t>
    </r>
    <r>
      <rPr>
        <sz val="11"/>
        <color rgb="FF000000"/>
        <rFont val="Calibri"/>
      </rPr>
      <t>-a always,exit -F arch=b64 -S fchownat -F auid&gt;=500 -F auid!=4294967295</t>
    </r>
    <r>
      <rPr>
        <sz val="11"/>
        <color rgb="FF000000"/>
        <rFont val="Calibri"/>
      </rPr>
      <t xml:space="preserve">
</t>
    </r>
    <r>
      <rPr>
        <sz val="11"/>
        <color rgb="FF000000"/>
        <rFont val="Calibri"/>
      </rPr>
      <t>Or run the following command to implement all logging requirements:</t>
    </r>
    <r>
      <rPr>
        <sz val="11"/>
        <color rgb="FF000000"/>
        <rFont val="Calibri"/>
      </rPr>
      <t xml:space="preserve">
</t>
    </r>
    <r>
      <rPr>
        <sz val="11"/>
        <color rgb="FF000000"/>
        <rFont val="Calibri"/>
      </rPr>
      <t># /etc/dodscript.sh</t>
    </r>
  </si>
  <si>
    <r>
      <rPr>
        <sz val="11"/>
        <color rgb="FF000000"/>
        <rFont val="Calibri"/>
      </rPr>
      <t xml:space="preserve">To determine if SLES for vRealize is configured to audit calls to the "fchownat" system call, run the following command: </t>
    </r>
    <r>
      <rPr>
        <sz val="11"/>
        <color rgb="FF000000"/>
        <rFont val="Calibri"/>
      </rPr>
      <t xml:space="preserve">
</t>
    </r>
    <r>
      <rPr>
        <sz val="11"/>
        <color rgb="FF000000"/>
        <rFont val="Calibri"/>
      </rPr>
      <t># auditctl -l | grep syscall | grep fchownat</t>
    </r>
    <r>
      <rPr>
        <sz val="11"/>
        <color rgb="FF000000"/>
        <rFont val="Calibri"/>
      </rPr>
      <t xml:space="preserve">
</t>
    </r>
    <r>
      <rPr>
        <sz val="11"/>
        <color rgb="FF000000"/>
        <rFont val="Calibri"/>
      </rPr>
      <t>If SLES for vRealize is configured to audit this activity, it will return several lines, such as:</t>
    </r>
    <r>
      <rPr>
        <sz val="11"/>
        <color rgb="FF000000"/>
        <rFont val="Calibri"/>
      </rPr>
      <t xml:space="preserve">
</t>
    </r>
    <r>
      <rPr>
        <sz val="11"/>
        <color rgb="FF000000"/>
        <rFont val="Calibri"/>
      </rPr>
      <t>LIST_RULES: exit,always arch=3221225534 (0xc000003e) auid=0 syscall=chmod,fchmod,chown,fchown,fchownat,fchmodat</t>
    </r>
    <r>
      <rPr>
        <sz val="11"/>
        <color rgb="FF000000"/>
        <rFont val="Calibri"/>
      </rPr>
      <t xml:space="preserve">
</t>
    </r>
    <r>
      <rPr>
        <sz val="11"/>
        <color rgb="FF000000"/>
        <rFont val="Calibri"/>
      </rPr>
      <t>LIST_RULES: exit,always arch=3221225534 (0xc000003e) auid&gt;=500 (0x1f4) auid!=-1 (0xffffffff) syscall=chmod,fchmod,chown,fchown,fchownat,fchmodat</t>
    </r>
    <r>
      <rPr>
        <sz val="11"/>
        <color rgb="FF000000"/>
        <rFont val="Calibri"/>
      </rPr>
      <t xml:space="preserve">
</t>
    </r>
    <r>
      <rPr>
        <sz val="11"/>
        <color rgb="FF000000"/>
        <rFont val="Calibri"/>
      </rPr>
      <t>If no lines are returned, this is a finding.</t>
    </r>
  </si>
  <si>
    <t>V-88437</t>
  </si>
  <si>
    <r>
      <rPr>
        <sz val="11"/>
        <rFont val="Calibri"/>
      </rPr>
      <t>The SLES for vRealize must generate audit records when successful/unsuccessful attempts to access privileges occur. The SLES for vRealize must generate audit records for all discretionary access control permission modifications using fremovexattr.</t>
    </r>
  </si>
  <si>
    <r>
      <rPr>
        <sz val="11"/>
        <color rgb="FF000000"/>
        <rFont val="Calibri"/>
      </rPr>
      <t xml:space="preserve">At a minimum, the SLES for vRealize audit system should collect file permission changes for all users and "root". Add the following to "/etc/audit/audit.rules": </t>
    </r>
    <r>
      <rPr>
        <sz val="11"/>
        <color rgb="FF000000"/>
        <rFont val="Calibri"/>
      </rPr>
      <t xml:space="preserve">
</t>
    </r>
    <r>
      <rPr>
        <sz val="11"/>
        <color rgb="FF000000"/>
        <rFont val="Calibri"/>
      </rPr>
      <t>-a always,exit -F arch=b64 -S fremovexattr</t>
    </r>
    <r>
      <rPr>
        <sz val="11"/>
        <color rgb="FF000000"/>
        <rFont val="Calibri"/>
      </rPr>
      <t xml:space="preserve">
</t>
    </r>
    <r>
      <rPr>
        <sz val="11"/>
        <color rgb="FF000000"/>
        <rFont val="Calibri"/>
      </rPr>
      <t>Or run the following command to implement all logging requirements:</t>
    </r>
    <r>
      <rPr>
        <sz val="11"/>
        <color rgb="FF000000"/>
        <rFont val="Calibri"/>
      </rPr>
      <t xml:space="preserve">
</t>
    </r>
    <r>
      <rPr>
        <sz val="11"/>
        <color rgb="FF000000"/>
        <rFont val="Calibri"/>
      </rPr>
      <t># /etc/dodscript.sh</t>
    </r>
  </si>
  <si>
    <r>
      <rPr>
        <sz val="11"/>
        <color rgb="FF000000"/>
        <rFont val="Calibri"/>
      </rPr>
      <t xml:space="preserve">To determine if SLES for vRealize is configured to audit calls to the "fremovexattr" system call, run the following command: </t>
    </r>
    <r>
      <rPr>
        <sz val="11"/>
        <color rgb="FF000000"/>
        <rFont val="Calibri"/>
      </rPr>
      <t xml:space="preserve">
</t>
    </r>
    <r>
      <rPr>
        <sz val="11"/>
        <color rgb="FF000000"/>
        <rFont val="Calibri"/>
      </rPr>
      <t># auditctl -l | grep syscall | grep fremovexattr</t>
    </r>
    <r>
      <rPr>
        <sz val="11"/>
        <color rgb="FF000000"/>
        <rFont val="Calibri"/>
      </rPr>
      <t xml:space="preserve">
</t>
    </r>
    <r>
      <rPr>
        <sz val="11"/>
        <color rgb="FF000000"/>
        <rFont val="Calibri"/>
      </rPr>
      <t xml:space="preserve">If SLES for vRealize is configured to audit this activity, it will return several lines, such as: </t>
    </r>
    <r>
      <rPr>
        <sz val="11"/>
        <color rgb="FF000000"/>
        <rFont val="Calibri"/>
      </rPr>
      <t xml:space="preserve">
</t>
    </r>
    <r>
      <rPr>
        <sz val="11"/>
        <color rgb="FF000000"/>
        <rFont val="Calibri"/>
      </rPr>
      <t>LIST_RULES: exit,always arch=3221225534 (0xc000003e) syscall=lchown,sethostname,init_module,delete_module,setxattr,lsetxattr,fsetxattr,removexattr,lremovexattr,fremovexattr,clock_settime</t>
    </r>
    <r>
      <rPr>
        <sz val="11"/>
        <color rgb="FF000000"/>
        <rFont val="Calibri"/>
      </rPr>
      <t xml:space="preserve">
</t>
    </r>
    <r>
      <rPr>
        <sz val="11"/>
        <color rgb="FF000000"/>
        <rFont val="Calibri"/>
      </rPr>
      <t>If no lines are returned, this is a finding.</t>
    </r>
  </si>
  <si>
    <t>V-88439</t>
  </si>
  <si>
    <r>
      <rPr>
        <sz val="11"/>
        <rFont val="Calibri"/>
      </rPr>
      <t>The SLES for vRealize must generate audit records when successful/unsuccessful attempts to access privileges occur. The SLES for vRealize must generate audit records for all discretionary access control permission modifications using fsetxattr.</t>
    </r>
  </si>
  <si>
    <r>
      <rPr>
        <sz val="11"/>
        <color rgb="FF000000"/>
        <rFont val="Calibri"/>
      </rPr>
      <t xml:space="preserve">At a minimum, the SLES for vRealize audit system should collect file permission changes for all users and "root". Add the following to "/etc/audit/audit.rules": </t>
    </r>
    <r>
      <rPr>
        <sz val="11"/>
        <color rgb="FF000000"/>
        <rFont val="Calibri"/>
      </rPr>
      <t xml:space="preserve">
</t>
    </r>
    <r>
      <rPr>
        <sz val="11"/>
        <color rgb="FF000000"/>
        <rFont val="Calibri"/>
      </rPr>
      <t>-a always,exit -F arch=b64 -S fsetxattr</t>
    </r>
    <r>
      <rPr>
        <sz val="11"/>
        <color rgb="FF000000"/>
        <rFont val="Calibri"/>
      </rPr>
      <t xml:space="preserve">
</t>
    </r>
    <r>
      <rPr>
        <sz val="11"/>
        <color rgb="FF000000"/>
        <rFont val="Calibri"/>
      </rPr>
      <t>Or run the following command to implement all logging requirements:</t>
    </r>
    <r>
      <rPr>
        <sz val="11"/>
        <color rgb="FF000000"/>
        <rFont val="Calibri"/>
      </rPr>
      <t xml:space="preserve">
</t>
    </r>
    <r>
      <rPr>
        <sz val="11"/>
        <color rgb="FF000000"/>
        <rFont val="Calibri"/>
      </rPr>
      <t># /etc/dodscript.sh</t>
    </r>
  </si>
  <si>
    <r>
      <rPr>
        <sz val="11"/>
        <color rgb="FF000000"/>
        <rFont val="Calibri"/>
      </rPr>
      <t xml:space="preserve">To determine if SLES for vRealize is configured to audit calls to the "fsetxattr" system call, run the following command: </t>
    </r>
    <r>
      <rPr>
        <sz val="11"/>
        <color rgb="FF000000"/>
        <rFont val="Calibri"/>
      </rPr>
      <t xml:space="preserve">
</t>
    </r>
    <r>
      <rPr>
        <sz val="11"/>
        <color rgb="FF000000"/>
        <rFont val="Calibri"/>
      </rPr>
      <t># auditctl -l | grep syscall | grep fsetxattr</t>
    </r>
    <r>
      <rPr>
        <sz val="11"/>
        <color rgb="FF000000"/>
        <rFont val="Calibri"/>
      </rPr>
      <t xml:space="preserve">
</t>
    </r>
    <r>
      <rPr>
        <sz val="11"/>
        <color rgb="FF000000"/>
        <rFont val="Calibri"/>
      </rPr>
      <t>If SLES for vRealize is configured to audit this activity, it will return several lines, such as:</t>
    </r>
    <r>
      <rPr>
        <sz val="11"/>
        <color rgb="FF000000"/>
        <rFont val="Calibri"/>
      </rPr>
      <t xml:space="preserve">
</t>
    </r>
    <r>
      <rPr>
        <sz val="11"/>
        <color rgb="FF000000"/>
        <rFont val="Calibri"/>
      </rPr>
      <t>LIST_RULES: exit,always arch=3221225534 (0xc000003e) syscall=lchown,sethostname,init_module,delete_module,setxattr,lsetxattr,fsetxattr,removexattr,lremovexattr,fremovexattr,clock_settime</t>
    </r>
    <r>
      <rPr>
        <sz val="11"/>
        <color rgb="FF000000"/>
        <rFont val="Calibri"/>
      </rPr>
      <t xml:space="preserve">
</t>
    </r>
    <r>
      <rPr>
        <sz val="11"/>
        <color rgb="FF000000"/>
        <rFont val="Calibri"/>
      </rPr>
      <t>If no lines are returned, this is a finding.</t>
    </r>
  </si>
  <si>
    <t>V-88441</t>
  </si>
  <si>
    <r>
      <rPr>
        <sz val="11"/>
        <rFont val="Calibri"/>
      </rPr>
      <t>The SLES for vRealize must generate audit records when successful/unsuccessful attempts to access privileges occur. The SLES for vRealize must generate audit records for all discretionary access control permission modifications using lchown.</t>
    </r>
  </si>
  <si>
    <r>
      <rPr>
        <sz val="11"/>
        <color rgb="FF000000"/>
        <rFont val="Calibri"/>
      </rPr>
      <t xml:space="preserve">At a minimum, the SLES for vRealize audit system should collect file permission changes for all users and "root". Add the following to "/etc/audit/audit.rules": </t>
    </r>
    <r>
      <rPr>
        <sz val="11"/>
        <color rgb="FF000000"/>
        <rFont val="Calibri"/>
      </rPr>
      <t xml:space="preserve">
</t>
    </r>
    <r>
      <rPr>
        <sz val="11"/>
        <color rgb="FF000000"/>
        <rFont val="Calibri"/>
      </rPr>
      <t>-a always,exit -F arch=b64 -S lchown</t>
    </r>
    <r>
      <rPr>
        <sz val="11"/>
        <color rgb="FF000000"/>
        <rFont val="Calibri"/>
      </rPr>
      <t xml:space="preserve">
</t>
    </r>
    <r>
      <rPr>
        <sz val="11"/>
        <color rgb="FF000000"/>
        <rFont val="Calibri"/>
      </rPr>
      <t>Or run the following command to implement all logging requirements:</t>
    </r>
    <r>
      <rPr>
        <sz val="11"/>
        <color rgb="FF000000"/>
        <rFont val="Calibri"/>
      </rPr>
      <t xml:space="preserve">
</t>
    </r>
    <r>
      <rPr>
        <sz val="11"/>
        <color rgb="FF000000"/>
        <rFont val="Calibri"/>
      </rPr>
      <t># /etc/dodscript.sh</t>
    </r>
  </si>
  <si>
    <r>
      <rPr>
        <sz val="11"/>
        <color rgb="FF000000"/>
        <rFont val="Calibri"/>
      </rPr>
      <t xml:space="preserve">To determine if SLES for vRealize is configured to audit calls to the "lchown" system call, run the following command: </t>
    </r>
    <r>
      <rPr>
        <sz val="11"/>
        <color rgb="FF000000"/>
        <rFont val="Calibri"/>
      </rPr>
      <t xml:space="preserve">
</t>
    </r>
    <r>
      <rPr>
        <sz val="11"/>
        <color rgb="FF000000"/>
        <rFont val="Calibri"/>
      </rPr>
      <t># auditctl -l | grep syscall | grep lchown</t>
    </r>
    <r>
      <rPr>
        <sz val="11"/>
        <color rgb="FF000000"/>
        <rFont val="Calibri"/>
      </rPr>
      <t xml:space="preserve">
</t>
    </r>
    <r>
      <rPr>
        <sz val="11"/>
        <color rgb="FF000000"/>
        <rFont val="Calibri"/>
      </rPr>
      <t>If SLES for vRealize is configured to audit this activity, it will return several lines, such as:</t>
    </r>
    <r>
      <rPr>
        <sz val="11"/>
        <color rgb="FF000000"/>
        <rFont val="Calibri"/>
      </rPr>
      <t xml:space="preserve">
</t>
    </r>
    <r>
      <rPr>
        <sz val="11"/>
        <color rgb="FF000000"/>
        <rFont val="Calibri"/>
      </rPr>
      <t>LIST_RULES: exit,always arch=3221225534 (0xc000003e) syscall=lchown,sethostname,init_module,delete_module,setxattr,lsetxattr,fsetxattr,removexattr,lremovexattr,fremovexattr,clock_settime</t>
    </r>
    <r>
      <rPr>
        <sz val="11"/>
        <color rgb="FF000000"/>
        <rFont val="Calibri"/>
      </rPr>
      <t xml:space="preserve">
</t>
    </r>
    <r>
      <rPr>
        <sz val="11"/>
        <color rgb="FF000000"/>
        <rFont val="Calibri"/>
      </rPr>
      <t>If no lines are returned, this is a finding.</t>
    </r>
  </si>
  <si>
    <t>V-88443</t>
  </si>
  <si>
    <r>
      <rPr>
        <sz val="11"/>
        <rFont val="Calibri"/>
      </rPr>
      <t>The SLES for vRealize must generate audit records when successful/unsuccessful attempts to access privileges occur. The SLES for vRealize must generate audit records for all discretionary access control permission modifications using lremovexattr.</t>
    </r>
  </si>
  <si>
    <r>
      <rPr>
        <sz val="11"/>
        <color rgb="FF000000"/>
        <rFont val="Calibri"/>
      </rPr>
      <t>At a minimum, the SLES for vRealize audit system should collect file permission changes for all users and "root".</t>
    </r>
    <r>
      <rPr>
        <sz val="11"/>
        <color rgb="FF000000"/>
        <rFont val="Calibri"/>
      </rPr>
      <t xml:space="preserve">
</t>
    </r>
    <r>
      <rPr>
        <sz val="11"/>
        <color rgb="FF000000"/>
        <rFont val="Calibri"/>
      </rPr>
      <t xml:space="preserve">Add the following to "/etc/audit/audit.rules": </t>
    </r>
    <r>
      <rPr>
        <sz val="11"/>
        <color rgb="FF000000"/>
        <rFont val="Calibri"/>
      </rPr>
      <t xml:space="preserve">
</t>
    </r>
    <r>
      <rPr>
        <sz val="11"/>
        <color rgb="FF000000"/>
        <rFont val="Calibri"/>
      </rPr>
      <t>-a always,exit -F arch=b64 -S lremovexattr</t>
    </r>
    <r>
      <rPr>
        <sz val="11"/>
        <color rgb="FF000000"/>
        <rFont val="Calibri"/>
      </rPr>
      <t xml:space="preserve">
</t>
    </r>
    <r>
      <rPr>
        <sz val="11"/>
        <color rgb="FF000000"/>
        <rFont val="Calibri"/>
      </rPr>
      <t>Or run the following command to implement all logging requirements:</t>
    </r>
    <r>
      <rPr>
        <sz val="11"/>
        <color rgb="FF000000"/>
        <rFont val="Calibri"/>
      </rPr>
      <t xml:space="preserve">
</t>
    </r>
    <r>
      <rPr>
        <sz val="11"/>
        <color rgb="FF000000"/>
        <rFont val="Calibri"/>
      </rPr>
      <t># /etc/dodscript.sh</t>
    </r>
  </si>
  <si>
    <r>
      <rPr>
        <sz val="11"/>
        <color rgb="FF000000"/>
        <rFont val="Calibri"/>
      </rPr>
      <t xml:space="preserve">To determine if SLES for vRealize is configured to audit calls to the "lremovexattr" system call, run the following command: </t>
    </r>
    <r>
      <rPr>
        <sz val="11"/>
        <color rgb="FF000000"/>
        <rFont val="Calibri"/>
      </rPr>
      <t xml:space="preserve">
</t>
    </r>
    <r>
      <rPr>
        <sz val="11"/>
        <color rgb="FF000000"/>
        <rFont val="Calibri"/>
      </rPr>
      <t># auditctl -l | grep syscall | grep lremovexattr</t>
    </r>
    <r>
      <rPr>
        <sz val="11"/>
        <color rgb="FF000000"/>
        <rFont val="Calibri"/>
      </rPr>
      <t xml:space="preserve">
</t>
    </r>
    <r>
      <rPr>
        <sz val="11"/>
        <color rgb="FF000000"/>
        <rFont val="Calibri"/>
      </rPr>
      <t>If SLES for vRealize is configured to audit this activity, it will return several lines, such as:</t>
    </r>
    <r>
      <rPr>
        <sz val="11"/>
        <color rgb="FF000000"/>
        <rFont val="Calibri"/>
      </rPr>
      <t xml:space="preserve">
</t>
    </r>
    <r>
      <rPr>
        <sz val="11"/>
        <color rgb="FF000000"/>
        <rFont val="Calibri"/>
      </rPr>
      <t>LIST_RULES: exit,always arch=3221225534 (0xc000003e) syscall=lchown,sethostname,init_module,delete_module,setxattr,lsetxattr,fsetxattr,removexattr,lremovexattr,fremovexattr,clock_settime</t>
    </r>
    <r>
      <rPr>
        <sz val="11"/>
        <color rgb="FF000000"/>
        <rFont val="Calibri"/>
      </rPr>
      <t xml:space="preserve">
</t>
    </r>
    <r>
      <rPr>
        <sz val="11"/>
        <color rgb="FF000000"/>
        <rFont val="Calibri"/>
      </rPr>
      <t>If no lines are returned, this is a finding.</t>
    </r>
  </si>
  <si>
    <t>V-88445</t>
  </si>
  <si>
    <r>
      <rPr>
        <sz val="11"/>
        <rFont val="Calibri"/>
      </rPr>
      <t>The SLES for vRealize must generate audit records when successful/unsuccessful attempts to access privileges occur. The SLES for vRealize must generate audit records for all discretionary access control permission modifications using lsetxattr.</t>
    </r>
  </si>
  <si>
    <r>
      <rPr>
        <sz val="11"/>
        <color rgb="FF000000"/>
        <rFont val="Calibri"/>
      </rPr>
      <t xml:space="preserve">At a minimum, the SLES for vRealize audit system should collect file permission changes for all users and "root". Add the following to "/etc/audit/audit.rules": </t>
    </r>
    <r>
      <rPr>
        <sz val="11"/>
        <color rgb="FF000000"/>
        <rFont val="Calibri"/>
      </rPr>
      <t xml:space="preserve">
</t>
    </r>
    <r>
      <rPr>
        <sz val="11"/>
        <color rgb="FF000000"/>
        <rFont val="Calibri"/>
      </rPr>
      <t>-a always,exit -F arch=b64 -S lsetxattr</t>
    </r>
    <r>
      <rPr>
        <sz val="11"/>
        <color rgb="FF000000"/>
        <rFont val="Calibri"/>
      </rPr>
      <t xml:space="preserve">
</t>
    </r>
    <r>
      <rPr>
        <sz val="11"/>
        <color rgb="FF000000"/>
        <rFont val="Calibri"/>
      </rPr>
      <t>Or run the following command to implement all logging requirements:</t>
    </r>
    <r>
      <rPr>
        <sz val="11"/>
        <color rgb="FF000000"/>
        <rFont val="Calibri"/>
      </rPr>
      <t xml:space="preserve">
</t>
    </r>
    <r>
      <rPr>
        <sz val="11"/>
        <color rgb="FF000000"/>
        <rFont val="Calibri"/>
      </rPr>
      <t># /etc/dodscript.sh</t>
    </r>
  </si>
  <si>
    <r>
      <rPr>
        <sz val="11"/>
        <color rgb="FF000000"/>
        <rFont val="Calibri"/>
      </rPr>
      <t xml:space="preserve">To determine if SLES for vRealize is configured to audit calls to the "lsetxattr" system call, run the following command: </t>
    </r>
    <r>
      <rPr>
        <sz val="11"/>
        <color rgb="FF000000"/>
        <rFont val="Calibri"/>
      </rPr>
      <t xml:space="preserve">
</t>
    </r>
    <r>
      <rPr>
        <sz val="11"/>
        <color rgb="FF000000"/>
        <rFont val="Calibri"/>
      </rPr>
      <t># auditctl -l | grep syscall | grep lsetxattr</t>
    </r>
    <r>
      <rPr>
        <sz val="11"/>
        <color rgb="FF000000"/>
        <rFont val="Calibri"/>
      </rPr>
      <t xml:space="preserve">
</t>
    </r>
    <r>
      <rPr>
        <sz val="11"/>
        <color rgb="FF000000"/>
        <rFont val="Calibri"/>
      </rPr>
      <t>If SLES for vRealize is configured to audit this activity, it will return several lines, such as:</t>
    </r>
    <r>
      <rPr>
        <sz val="11"/>
        <color rgb="FF000000"/>
        <rFont val="Calibri"/>
      </rPr>
      <t xml:space="preserve">
</t>
    </r>
    <r>
      <rPr>
        <sz val="11"/>
        <color rgb="FF000000"/>
        <rFont val="Calibri"/>
      </rPr>
      <t>LIST_RULES: exit,always arch=3221225534 (0xc000003e) syscall=lchown,sethostname,init_module,delete_module,setxattr,lsetxattr,fsetxattr,removexattr,lremovexattr,fremovexattr,clock_settime</t>
    </r>
    <r>
      <rPr>
        <sz val="11"/>
        <color rgb="FF000000"/>
        <rFont val="Calibri"/>
      </rPr>
      <t xml:space="preserve">
</t>
    </r>
    <r>
      <rPr>
        <sz val="11"/>
        <color rgb="FF000000"/>
        <rFont val="Calibri"/>
      </rPr>
      <t>If no lines are returned, this is a finding.</t>
    </r>
  </si>
  <si>
    <t>V-88447</t>
  </si>
  <si>
    <r>
      <rPr>
        <sz val="11"/>
        <rFont val="Calibri"/>
      </rPr>
      <t>The SLES for vRealize must generate audit records when successful/unsuccessful attempts to access privileges occur. The SLES for vRealize must generate audit records for all discretionary access control permission modifications using removexattr.</t>
    </r>
  </si>
  <si>
    <r>
      <rPr>
        <sz val="11"/>
        <color rgb="FF000000"/>
        <rFont val="Calibri"/>
      </rPr>
      <t xml:space="preserve">At a minimum, the SLES for vRealize audit system should collect file permission changes for all users and "root". Add the following to "/etc/audit/audit.rules": </t>
    </r>
    <r>
      <rPr>
        <sz val="11"/>
        <color rgb="FF000000"/>
        <rFont val="Calibri"/>
      </rPr>
      <t xml:space="preserve">
</t>
    </r>
    <r>
      <rPr>
        <sz val="11"/>
        <color rgb="FF000000"/>
        <rFont val="Calibri"/>
      </rPr>
      <t>-a always,exit -F arch=b64 -S removexattr</t>
    </r>
    <r>
      <rPr>
        <sz val="11"/>
        <color rgb="FF000000"/>
        <rFont val="Calibri"/>
      </rPr>
      <t xml:space="preserve">
</t>
    </r>
    <r>
      <rPr>
        <sz val="11"/>
        <color rgb="FF000000"/>
        <rFont val="Calibri"/>
      </rPr>
      <t>Or run the following command to implement all logging requirements:</t>
    </r>
    <r>
      <rPr>
        <sz val="11"/>
        <color rgb="FF000000"/>
        <rFont val="Calibri"/>
      </rPr>
      <t xml:space="preserve">
</t>
    </r>
    <r>
      <rPr>
        <sz val="11"/>
        <color rgb="FF000000"/>
        <rFont val="Calibri"/>
      </rPr>
      <t># /etc/dodscript.sh</t>
    </r>
  </si>
  <si>
    <r>
      <rPr>
        <sz val="11"/>
        <color rgb="FF000000"/>
        <rFont val="Calibri"/>
      </rPr>
      <t xml:space="preserve">To determine if SLES for vRealize is configured to audit calls to the "removexattr" system call, run the following command: </t>
    </r>
    <r>
      <rPr>
        <sz val="11"/>
        <color rgb="FF000000"/>
        <rFont val="Calibri"/>
      </rPr>
      <t xml:space="preserve">
</t>
    </r>
    <r>
      <rPr>
        <sz val="11"/>
        <color rgb="FF000000"/>
        <rFont val="Calibri"/>
      </rPr>
      <t># auditctl -l | grep syscall | grep removexattr</t>
    </r>
    <r>
      <rPr>
        <sz val="11"/>
        <color rgb="FF000000"/>
        <rFont val="Calibri"/>
      </rPr>
      <t xml:space="preserve">
</t>
    </r>
    <r>
      <rPr>
        <sz val="11"/>
        <color rgb="FF000000"/>
        <rFont val="Calibri"/>
      </rPr>
      <t>If SLES for vRealize is configured to audit this activity, it will return several lines, such as:</t>
    </r>
    <r>
      <rPr>
        <sz val="11"/>
        <color rgb="FF000000"/>
        <rFont val="Calibri"/>
      </rPr>
      <t xml:space="preserve">
</t>
    </r>
    <r>
      <rPr>
        <sz val="11"/>
        <color rgb="FF000000"/>
        <rFont val="Calibri"/>
      </rPr>
      <t>LIST_RULES: exit,always arch=3221225534 (0xc000003e) syscall=lchown,sethostname,init_module,delete_module,setxattr,lsetxattr,fsetxattr,removexattr,lremovexattr,fremovexattr,clock_settime</t>
    </r>
    <r>
      <rPr>
        <sz val="11"/>
        <color rgb="FF000000"/>
        <rFont val="Calibri"/>
      </rPr>
      <t xml:space="preserve">
</t>
    </r>
    <r>
      <rPr>
        <sz val="11"/>
        <color rgb="FF000000"/>
        <rFont val="Calibri"/>
      </rPr>
      <t>If no lines are returned, this is a finding.</t>
    </r>
  </si>
  <si>
    <t>V-88449</t>
  </si>
  <si>
    <r>
      <rPr>
        <sz val="11"/>
        <rFont val="Calibri"/>
      </rPr>
      <t>The SLES for vRealize must generate audit records when successful/unsuccessful attempts to access privileges occur. The SLES for vRealize must generate audit records for all discretionary access control permission modifications using setxattr.</t>
    </r>
  </si>
  <si>
    <r>
      <rPr>
        <sz val="11"/>
        <color rgb="FF000000"/>
        <rFont val="Calibri"/>
      </rPr>
      <t xml:space="preserve">At a minimum, the SLES for vRealize audit system should collect file permission changes for all users and "root". Add the following to "/etc/audit/audit.rules": </t>
    </r>
    <r>
      <rPr>
        <sz val="11"/>
        <color rgb="FF000000"/>
        <rFont val="Calibri"/>
      </rPr>
      <t xml:space="preserve">
</t>
    </r>
    <r>
      <rPr>
        <sz val="11"/>
        <color rgb="FF000000"/>
        <rFont val="Calibri"/>
      </rPr>
      <t>-a always,exit -F arch=b64 -S setxattr</t>
    </r>
    <r>
      <rPr>
        <sz val="11"/>
        <color rgb="FF000000"/>
        <rFont val="Calibri"/>
      </rPr>
      <t xml:space="preserve">
</t>
    </r>
    <r>
      <rPr>
        <sz val="11"/>
        <color rgb="FF000000"/>
        <rFont val="Calibri"/>
      </rPr>
      <t>Or run the following command to implement all logging requirements:</t>
    </r>
    <r>
      <rPr>
        <sz val="11"/>
        <color rgb="FF000000"/>
        <rFont val="Calibri"/>
      </rPr>
      <t xml:space="preserve">
</t>
    </r>
    <r>
      <rPr>
        <sz val="11"/>
        <color rgb="FF000000"/>
        <rFont val="Calibri"/>
      </rPr>
      <t># /etc/dodscript.sh</t>
    </r>
  </si>
  <si>
    <r>
      <rPr>
        <sz val="11"/>
        <color rgb="FF000000"/>
        <rFont val="Calibri"/>
      </rPr>
      <t xml:space="preserve">To determine if SLES for vRealize  is configured to audit calls to the "setxattr" system call, run the following command: </t>
    </r>
    <r>
      <rPr>
        <sz val="11"/>
        <color rgb="FF000000"/>
        <rFont val="Calibri"/>
      </rPr>
      <t xml:space="preserve">
</t>
    </r>
    <r>
      <rPr>
        <sz val="11"/>
        <color rgb="FF000000"/>
        <rFont val="Calibri"/>
      </rPr>
      <t># auditctl -l | grep syscall | grep setxattr</t>
    </r>
    <r>
      <rPr>
        <sz val="11"/>
        <color rgb="FF000000"/>
        <rFont val="Calibri"/>
      </rPr>
      <t xml:space="preserve">
</t>
    </r>
    <r>
      <rPr>
        <sz val="11"/>
        <color rgb="FF000000"/>
        <rFont val="Calibri"/>
      </rPr>
      <t>If SLES for vRealize is configured to audit this activity, it will return several lines, such as:</t>
    </r>
    <r>
      <rPr>
        <sz val="11"/>
        <color rgb="FF000000"/>
        <rFont val="Calibri"/>
      </rPr>
      <t xml:space="preserve">
</t>
    </r>
    <r>
      <rPr>
        <sz val="11"/>
        <color rgb="FF000000"/>
        <rFont val="Calibri"/>
      </rPr>
      <t>LIST_RULES: exit,always arch=3221225534 (0xc000003e) syscall=lchown,sethostname,init_module,delete_module,setxattr,lsetxattr,fsetxattr,removexattr,lremovexattr,fremovexattr,clock_settime</t>
    </r>
    <r>
      <rPr>
        <sz val="11"/>
        <color rgb="FF000000"/>
        <rFont val="Calibri"/>
      </rPr>
      <t xml:space="preserve">
</t>
    </r>
    <r>
      <rPr>
        <sz val="11"/>
        <color rgb="FF000000"/>
        <rFont val="Calibri"/>
      </rPr>
      <t>If no lines are returned, this is a finding.</t>
    </r>
  </si>
  <si>
    <t>V-88451</t>
  </si>
  <si>
    <r>
      <rPr>
        <sz val="11"/>
        <rFont val="Calibri"/>
      </rPr>
      <t>The SLES for vRealize must generate audit records when successful/unsuccessful attempts to access privileges occur. The SLES for vRealize must generate audit records for all failed attempts to access files and programs.</t>
    </r>
  </si>
  <si>
    <r>
      <rPr>
        <sz val="11"/>
        <color rgb="FF000000"/>
        <rFont val="Calibri"/>
      </rPr>
      <t xml:space="preserve">Add the following to "/etc/audit/audit.rules": </t>
    </r>
    <r>
      <rPr>
        <sz val="11"/>
        <color rgb="FF000000"/>
        <rFont val="Calibri"/>
      </rPr>
      <t xml:space="preserve">
</t>
    </r>
    <r>
      <rPr>
        <sz val="11"/>
        <color rgb="FF000000"/>
        <rFont val="Calibri"/>
      </rPr>
      <t>-a exit,always -F arch=b64 -S swapon -F exit=-EACCES</t>
    </r>
    <r>
      <rPr>
        <sz val="11"/>
        <color rgb="FF000000"/>
        <rFont val="Calibri"/>
      </rPr>
      <t xml:space="preserve">
</t>
    </r>
    <r>
      <rPr>
        <sz val="11"/>
        <color rgb="FF000000"/>
        <rFont val="Calibri"/>
      </rPr>
      <t>-a exit,always -F arch=b64 -S creat -F exit=-EACCES</t>
    </r>
    <r>
      <rPr>
        <sz val="11"/>
        <color rgb="FF000000"/>
        <rFont val="Calibri"/>
      </rPr>
      <t xml:space="preserve">
</t>
    </r>
    <r>
      <rPr>
        <sz val="11"/>
        <color rgb="FF000000"/>
        <rFont val="Calibri"/>
      </rPr>
      <t>-a exit,always -F arch=b64 -S open -F exit=-EACCES</t>
    </r>
    <r>
      <rPr>
        <sz val="11"/>
        <color rgb="FF000000"/>
        <rFont val="Calibri"/>
      </rPr>
      <t xml:space="preserve">
</t>
    </r>
    <r>
      <rPr>
        <sz val="11"/>
        <color rgb="FF000000"/>
        <rFont val="Calibri"/>
      </rPr>
      <t>-a exit,always -F arch=b64 -S swapon -F exit=-EPERM</t>
    </r>
    <r>
      <rPr>
        <sz val="11"/>
        <color rgb="FF000000"/>
        <rFont val="Calibri"/>
      </rPr>
      <t xml:space="preserve">
</t>
    </r>
    <r>
      <rPr>
        <sz val="11"/>
        <color rgb="FF000000"/>
        <rFont val="Calibri"/>
      </rPr>
      <t>-a exit,always -F arch=b64 -S creat -F exit=-EPERM</t>
    </r>
    <r>
      <rPr>
        <sz val="11"/>
        <color rgb="FF000000"/>
        <rFont val="Calibri"/>
      </rPr>
      <t xml:space="preserve">
</t>
    </r>
    <r>
      <rPr>
        <sz val="11"/>
        <color rgb="FF000000"/>
        <rFont val="Calibri"/>
      </rPr>
      <t>-a exit,always -F arch=b64 -S open -F exit=-EPERM</t>
    </r>
    <r>
      <rPr>
        <sz val="11"/>
        <color rgb="FF000000"/>
        <rFont val="Calibri"/>
      </rPr>
      <t xml:space="preserve">
</t>
    </r>
    <r>
      <rPr>
        <sz val="11"/>
        <color rgb="FF000000"/>
        <rFont val="Calibri"/>
      </rPr>
      <t>Or run the following command to implement all logging requirements:</t>
    </r>
    <r>
      <rPr>
        <sz val="11"/>
        <color rgb="FF000000"/>
        <rFont val="Calibri"/>
      </rPr>
      <t xml:space="preserve">
</t>
    </r>
    <r>
      <rPr>
        <sz val="11"/>
        <color rgb="FF000000"/>
        <rFont val="Calibri"/>
      </rPr>
      <t># /etc/dodscript.sh</t>
    </r>
  </si>
  <si>
    <r>
      <rPr>
        <sz val="11"/>
        <color rgb="FF000000"/>
        <rFont val="Calibri"/>
      </rPr>
      <t>To check that the SLES for vRealize audit system collects unauthorized file accesses, run the following commands:</t>
    </r>
    <r>
      <rPr>
        <sz val="11"/>
        <color rgb="FF000000"/>
        <rFont val="Calibri"/>
      </rPr>
      <t xml:space="preserve">
</t>
    </r>
    <r>
      <rPr>
        <sz val="11"/>
        <color rgb="FF000000"/>
        <rFont val="Calibri"/>
      </rPr>
      <t># grep EACCES /etc/audit/audit.rules</t>
    </r>
    <r>
      <rPr>
        <sz val="11"/>
        <color rgb="FF000000"/>
        <rFont val="Calibri"/>
      </rPr>
      <t xml:space="preserve">
</t>
    </r>
    <r>
      <rPr>
        <sz val="11"/>
        <color rgb="FF000000"/>
        <rFont val="Calibri"/>
      </rPr>
      <t>-a exit,always -F arch=b64 -S swapon -F exit=-EACCES</t>
    </r>
    <r>
      <rPr>
        <sz val="11"/>
        <color rgb="FF000000"/>
        <rFont val="Calibri"/>
      </rPr>
      <t xml:space="preserve">
</t>
    </r>
    <r>
      <rPr>
        <sz val="11"/>
        <color rgb="FF000000"/>
        <rFont val="Calibri"/>
      </rPr>
      <t>-a exit,always -F arch=b64 -S creat -F exit=-EACCES</t>
    </r>
    <r>
      <rPr>
        <sz val="11"/>
        <color rgb="FF000000"/>
        <rFont val="Calibri"/>
      </rPr>
      <t xml:space="preserve">
</t>
    </r>
    <r>
      <rPr>
        <sz val="11"/>
        <color rgb="FF000000"/>
        <rFont val="Calibri"/>
      </rPr>
      <t>-a exit,always -F arch=b64 -S open -F exit=-EACCES</t>
    </r>
    <r>
      <rPr>
        <sz val="11"/>
        <color rgb="FF000000"/>
        <rFont val="Calibri"/>
      </rPr>
      <t xml:space="preserve">
</t>
    </r>
    <r>
      <rPr>
        <sz val="11"/>
        <color rgb="FF000000"/>
        <rFont val="Calibri"/>
      </rPr>
      <t># grep EPERM /etc/audit/audit.rules</t>
    </r>
    <r>
      <rPr>
        <sz val="11"/>
        <color rgb="FF000000"/>
        <rFont val="Calibri"/>
      </rPr>
      <t xml:space="preserve">
</t>
    </r>
    <r>
      <rPr>
        <sz val="11"/>
        <color rgb="FF000000"/>
        <rFont val="Calibri"/>
      </rPr>
      <t>-a exit,always -F arch=b64 -S swapon -F exit=-EPERM</t>
    </r>
    <r>
      <rPr>
        <sz val="11"/>
        <color rgb="FF000000"/>
        <rFont val="Calibri"/>
      </rPr>
      <t xml:space="preserve">
</t>
    </r>
    <r>
      <rPr>
        <sz val="11"/>
        <color rgb="FF000000"/>
        <rFont val="Calibri"/>
      </rPr>
      <t>-a exit,always -F arch=b64 -S creat -F exit=-EPERM</t>
    </r>
    <r>
      <rPr>
        <sz val="11"/>
        <color rgb="FF000000"/>
        <rFont val="Calibri"/>
      </rPr>
      <t xml:space="preserve">
</t>
    </r>
    <r>
      <rPr>
        <sz val="11"/>
        <color rgb="FF000000"/>
        <rFont val="Calibri"/>
      </rPr>
      <t>-a exit,always -F arch=b64 -S open -F exit=-EPERM</t>
    </r>
    <r>
      <rPr>
        <sz val="11"/>
        <color rgb="FF000000"/>
        <rFont val="Calibri"/>
      </rPr>
      <t xml:space="preserve">
</t>
    </r>
    <r>
      <rPr>
        <sz val="11"/>
        <color rgb="FF000000"/>
        <rFont val="Calibri"/>
      </rPr>
      <t>If either command lacks output, this is a finding.</t>
    </r>
  </si>
  <si>
    <t>V-88453</t>
  </si>
  <si>
    <r>
      <rPr>
        <sz val="11"/>
        <rFont val="Calibri"/>
      </rPr>
      <t>The SLES for vRealize must enforce password complexity by requiring that at least one upper-case character be used.</t>
    </r>
  </si>
  <si>
    <r>
      <rPr>
        <sz val="11"/>
        <color rgb="FF000000"/>
        <rFont val="Calibri"/>
      </rPr>
      <t>If ucredit was not set at all in "/etc/pam.d/common-password-vmware.local" file then run the following command:</t>
    </r>
    <r>
      <rPr>
        <sz val="11"/>
        <color rgb="FF000000"/>
        <rFont val="Calibri"/>
      </rPr>
      <t xml:space="preserve">
</t>
    </r>
    <r>
      <rPr>
        <sz val="11"/>
        <color rgb="FF000000"/>
        <rFont val="Calibri"/>
      </rPr>
      <t># sed -i '/pam_cracklib.so/ s/$/ ucredit=-1/' /etc/pam.d/common-password-vmware.local</t>
    </r>
    <r>
      <rPr>
        <sz val="11"/>
        <color rgb="FF000000"/>
        <rFont val="Calibri"/>
      </rPr>
      <t xml:space="preserve">
</t>
    </r>
    <r>
      <rPr>
        <sz val="11"/>
        <color rgb="FF000000"/>
        <rFont val="Calibri"/>
      </rPr>
      <t>If "ucredit" was set incorrectly, run the following command to set it to "-1":</t>
    </r>
    <r>
      <rPr>
        <sz val="11"/>
        <color rgb="FF000000"/>
        <rFont val="Calibri"/>
      </rPr>
      <t xml:space="preserve">
</t>
    </r>
    <r>
      <rPr>
        <sz val="11"/>
        <color rgb="FF000000"/>
        <rFont val="Calibri"/>
      </rPr>
      <t># sed -i '/pam_cracklib.so/ s/ucredit=../ucredit=-1/' /etc/pam.d/common-password-vmware.local</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</si>
  <si>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of several that determines how long it takes to crack a password. The more complex the password, the greater the number of possible combinations that need to be tested before the password is compromised.</t>
    </r>
  </si>
  <si>
    <r>
      <rPr>
        <sz val="11"/>
        <color rgb="FF000000"/>
        <rFont val="Calibri"/>
      </rPr>
      <t>Check SLES for vRealize enforces password complexity by requiring that at least one upper-case character be used by using the following command:</t>
    </r>
    <r>
      <rPr>
        <sz val="11"/>
        <color rgb="FF000000"/>
        <rFont val="Calibri"/>
      </rPr>
      <t xml:space="preserve">
</t>
    </r>
    <r>
      <rPr>
        <sz val="11"/>
        <color rgb="FF000000"/>
        <rFont val="Calibri"/>
      </rPr>
      <t># grep ucredit /etc/pam.d/common-password-vmware.local</t>
    </r>
    <r>
      <rPr>
        <sz val="11"/>
        <color rgb="FF000000"/>
        <rFont val="Calibri"/>
      </rPr>
      <t xml:space="preserve">
</t>
    </r>
    <r>
      <rPr>
        <sz val="11"/>
        <color rgb="FF000000"/>
        <rFont val="Calibri"/>
      </rPr>
      <t>If "ucredit" is not set to "-1" or not at all, this is a finding.</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password requisite pam_cracklib.so dcredit=-1 ucredit=-1 lcredit=-1 ocredit=-1 minlen=14 difok=4 retry=3</t>
    </r>
  </si>
  <si>
    <t>V-88455</t>
  </si>
  <si>
    <r>
      <rPr>
        <sz val="11"/>
        <rFont val="Calibri"/>
      </rPr>
      <t>Global settings defined in common- {account,auth,password,session} must be applied in the pam.d definition files.</t>
    </r>
  </si>
  <si>
    <r>
      <rPr>
        <sz val="11"/>
        <color rgb="FF000000"/>
        <rFont val="Calibri"/>
      </rPr>
      <t xml:space="preserve">In the default distribution of SLES 11 "/etc/pam.d/common- {account,auth,password,session}" are symlinks to their respective "/etc/pam.d/common- {account,auth,password,session}-pc" files. These common- {account,auth,password,session}-pc files are autogenerated by the pam-config utility. </t>
    </r>
    <r>
      <rPr>
        <sz val="11"/>
        <color rgb="FF000000"/>
        <rFont val="Calibri"/>
      </rPr>
      <t xml:space="preserve">
</t>
    </r>
    <r>
      <rPr>
        <sz val="11"/>
        <color rgb="FF000000"/>
        <rFont val="Calibri"/>
      </rPr>
      <t>Edit /usr/sbin/pam-config permissions to prevent its use:</t>
    </r>
    <r>
      <rPr>
        <sz val="11"/>
        <color rgb="FF000000"/>
        <rFont val="Calibri"/>
      </rPr>
      <t xml:space="preserve">
</t>
    </r>
    <r>
      <rPr>
        <sz val="11"/>
        <color rgb="FF000000"/>
        <rFont val="Calibri"/>
      </rPr>
      <t># chmod 000 /usr/sbin/pam-config</t>
    </r>
  </si>
  <si>
    <r>
      <rPr>
        <sz val="11"/>
        <color rgb="FF000000"/>
        <rFont val="Calibri"/>
      </rPr>
      <t>Pam global requirements are generally defined in the common-account, common-auth, common- password and common-session files located in the /etc/pam.d directory. In order for the requirements to be applied the file(s) containing them must be included directly or indirectly in each program's definition file in /etc/pam.d.</t>
    </r>
  </si>
  <si>
    <r>
      <rPr>
        <sz val="11"/>
        <color rgb="FF000000"/>
        <rFont val="Calibri"/>
      </rPr>
      <t>Verify that common-{account, auth, password, session} settings are being applied:</t>
    </r>
    <r>
      <rPr>
        <sz val="11"/>
        <color rgb="FF000000"/>
        <rFont val="Calibri"/>
      </rPr>
      <t xml:space="preserve">
</t>
    </r>
    <r>
      <rPr>
        <sz val="11"/>
        <color rgb="FF000000"/>
        <rFont val="Calibri"/>
      </rPr>
      <t>Verify that local customization has occurred in the common- {account,auth,password,session}-pc file(s) by some method other than the use of the pam-config utility.</t>
    </r>
    <r>
      <rPr>
        <sz val="11"/>
        <color rgb="FF000000"/>
        <rFont val="Calibri"/>
      </rPr>
      <t xml:space="preserve">
</t>
    </r>
    <r>
      <rPr>
        <sz val="11"/>
        <color rgb="FF000000"/>
        <rFont val="Calibri"/>
      </rPr>
      <t>The files "/etc/pam.d/common-{account,auth,password,session} -pc" are autogenerated by "pam-config". Any manual changes made to them will be lost if "pam-config" is allowed to run.</t>
    </r>
    <r>
      <rPr>
        <sz val="11"/>
        <color rgb="FF000000"/>
        <rFont val="Calibri"/>
      </rPr>
      <t xml:space="preserve">
</t>
    </r>
    <r>
      <rPr>
        <sz val="11"/>
        <color rgb="FF000000"/>
        <rFont val="Calibri"/>
      </rPr>
      <t># ls -l /etc/pam.d/common-{account,auth,password,session}</t>
    </r>
    <r>
      <rPr>
        <sz val="11"/>
        <color rgb="FF000000"/>
        <rFont val="Calibri"/>
      </rPr>
      <t xml:space="preserve">
</t>
    </r>
    <r>
      <rPr>
        <sz val="11"/>
        <color rgb="FF000000"/>
        <rFont val="Calibri"/>
      </rPr>
      <t>If the symlinks point to "/etc/pam.d/common- {account,auth,password,session}-pc" and manual updates have been made in these files, the updates cannot be protected if pam-config is enabled.</t>
    </r>
    <r>
      <rPr>
        <sz val="11"/>
        <color rgb="FF000000"/>
        <rFont val="Calibri"/>
      </rPr>
      <t xml:space="preserve">
</t>
    </r>
    <r>
      <rPr>
        <sz val="11"/>
        <color rgb="FF000000"/>
        <rFont val="Calibri"/>
      </rPr>
      <t># ls -l /usr/sbin/pam-config</t>
    </r>
    <r>
      <rPr>
        <sz val="11"/>
        <color rgb="FF000000"/>
        <rFont val="Calibri"/>
      </rPr>
      <t xml:space="preserve">
</t>
    </r>
    <r>
      <rPr>
        <sz val="11"/>
        <color rgb="FF000000"/>
        <rFont val="Calibri"/>
      </rPr>
      <t>If the setting for pam-config is not "000", this is a finding.</t>
    </r>
  </si>
  <si>
    <t>V-88457</t>
  </si>
  <si>
    <r>
      <rPr>
        <sz val="11"/>
        <rFont val="Calibri"/>
      </rPr>
      <t>The SLES for vRealize must enforce password complexity by requiring that at least one lower-case character be used.</t>
    </r>
  </si>
  <si>
    <r>
      <rPr>
        <sz val="11"/>
        <color rgb="FF000000"/>
        <rFont val="Calibri"/>
      </rPr>
      <t>If lcredit was not set at all in "/etc/pam.d/common-password-vmware.local" then run the following command:</t>
    </r>
    <r>
      <rPr>
        <sz val="11"/>
        <color rgb="FF000000"/>
        <rFont val="Calibri"/>
      </rPr>
      <t xml:space="preserve">
</t>
    </r>
    <r>
      <rPr>
        <sz val="11"/>
        <color rgb="FF000000"/>
        <rFont val="Calibri"/>
      </rPr>
      <t># sed -i '/pam_cracklib.so/ s/$/ lcredit=-1/' /etc/pam.d/common-password-vmware.local</t>
    </r>
    <r>
      <rPr>
        <sz val="11"/>
        <color rgb="FF000000"/>
        <rFont val="Calibri"/>
      </rPr>
      <t xml:space="preserve">
</t>
    </r>
    <r>
      <rPr>
        <sz val="11"/>
        <color rgb="FF000000"/>
        <rFont val="Calibri"/>
      </rPr>
      <t>If "lcredit" was set incorrectly, run the following command to set it to "-1":</t>
    </r>
    <r>
      <rPr>
        <sz val="11"/>
        <color rgb="FF000000"/>
        <rFont val="Calibri"/>
      </rPr>
      <t xml:space="preserve">
</t>
    </r>
    <r>
      <rPr>
        <sz val="11"/>
        <color rgb="FF000000"/>
        <rFont val="Calibri"/>
      </rPr>
      <t># sed -i '/pam_cracklib.so/ s/lcredit=../lcredit=-1/' /etc/pam.d/common-password-vmware.local</t>
    </r>
  </si>
  <si>
    <r>
      <rPr>
        <sz val="11"/>
        <color rgb="FF000000"/>
        <rFont val="Calibri"/>
      </rPr>
      <t>Verify SLES for vRealize enforces password complexity by requiring that at least one lower-case character be used by using the following command:</t>
    </r>
    <r>
      <rPr>
        <sz val="11"/>
        <color rgb="FF000000"/>
        <rFont val="Calibri"/>
      </rPr>
      <t xml:space="preserve">
</t>
    </r>
    <r>
      <rPr>
        <sz val="11"/>
        <color rgb="FF000000"/>
        <rFont val="Calibri"/>
      </rPr>
      <t># grep lcredit /etc/pam.d/common-password-vmware.local</t>
    </r>
    <r>
      <rPr>
        <sz val="11"/>
        <color rgb="FF000000"/>
        <rFont val="Calibri"/>
      </rPr>
      <t xml:space="preserve">
</t>
    </r>
    <r>
      <rPr>
        <sz val="11"/>
        <color rgb="FF000000"/>
        <rFont val="Calibri"/>
      </rPr>
      <t>If "lcredit" is not set to "-1" or not at all, this is a finding.</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password requisite pam_cracklib.so dcredit=-1 ucredit=-1 lcredit=-1 ocredit=-1 minlen=14 difok=4 retry=3</t>
    </r>
  </si>
  <si>
    <t>V-88459</t>
  </si>
  <si>
    <r>
      <rPr>
        <sz val="11"/>
        <rFont val="Calibri"/>
      </rPr>
      <t>The SLES for vRealize must enforce password complexity by requiring that at least one numeric character be used.</t>
    </r>
  </si>
  <si>
    <r>
      <rPr>
        <sz val="11"/>
        <color rgb="FF000000"/>
        <rFont val="Calibri"/>
      </rPr>
      <t>If dcredit was not set at all in "/etc/pam.d/common-password-vmware.local" then run the following command:</t>
    </r>
    <r>
      <rPr>
        <sz val="11"/>
        <color rgb="FF000000"/>
        <rFont val="Calibri"/>
      </rPr>
      <t xml:space="preserve">
</t>
    </r>
    <r>
      <rPr>
        <sz val="11"/>
        <color rgb="FF000000"/>
        <rFont val="Calibri"/>
      </rPr>
      <t># sed -i '/pam_cracklib.so/ s/$/ dcredit=-1/' /etc/pam.d/common-password-vmware.local</t>
    </r>
    <r>
      <rPr>
        <sz val="11"/>
        <color rgb="FF000000"/>
        <rFont val="Calibri"/>
      </rPr>
      <t xml:space="preserve">
</t>
    </r>
    <r>
      <rPr>
        <sz val="11"/>
        <color rgb="FF000000"/>
        <rFont val="Calibri"/>
      </rPr>
      <t>If "dcredit" was set incorrectly, run the following command to set it to "-1":</t>
    </r>
    <r>
      <rPr>
        <sz val="11"/>
        <color rgb="FF000000"/>
        <rFont val="Calibri"/>
      </rPr>
      <t xml:space="preserve">
</t>
    </r>
    <r>
      <rPr>
        <sz val="11"/>
        <color rgb="FF000000"/>
        <rFont val="Calibri"/>
      </rPr>
      <t># sed -i '/pam_cracklib.so/ s/dcredit=../dcredit=-1/' /etc/pam.d/common-password-vmware.local</t>
    </r>
  </si>
  <si>
    <r>
      <rPr>
        <sz val="11"/>
        <color rgb="FF000000"/>
        <rFont val="Calibri"/>
      </rPr>
      <t>Check that SLES for vRealize enforces password complexity by requiring that at least one numeric character be used by running the following command:</t>
    </r>
    <r>
      <rPr>
        <sz val="11"/>
        <color rgb="FF000000"/>
        <rFont val="Calibri"/>
      </rPr>
      <t xml:space="preserve">
</t>
    </r>
    <r>
      <rPr>
        <sz val="11"/>
        <color rgb="FF000000"/>
        <rFont val="Calibri"/>
      </rPr>
      <t># grep dcredit /etc/pam.d/common-password-vmware.local</t>
    </r>
    <r>
      <rPr>
        <sz val="11"/>
        <color rgb="FF000000"/>
        <rFont val="Calibri"/>
      </rPr>
      <t xml:space="preserve">
</t>
    </r>
    <r>
      <rPr>
        <sz val="11"/>
        <color rgb="FF000000"/>
        <rFont val="Calibri"/>
      </rPr>
      <t>If "dcredit" is not set to "-1" or not at all, this is a finding.</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password requisite pam_cracklib.so dcredit=-1 ucredit=-1 lcredit=-1 ocredit=-1 minlen=14 difok=4 retry=3</t>
    </r>
  </si>
  <si>
    <t>V-88461</t>
  </si>
  <si>
    <r>
      <rPr>
        <sz val="11"/>
        <rFont val="Calibri"/>
      </rPr>
      <t>The SLES for vRealize must require the change of at least eight of the total number of characters when passwords are changed.</t>
    </r>
  </si>
  <si>
    <r>
      <rPr>
        <sz val="11"/>
        <color rgb="FF000000"/>
        <rFont val="Calibri"/>
      </rPr>
      <t>If "difok" was not set at all in "/etc/pam.d/common-password-vmware.local" then run the following command:</t>
    </r>
    <r>
      <rPr>
        <sz val="11"/>
        <color rgb="FF000000"/>
        <rFont val="Calibri"/>
      </rPr>
      <t xml:space="preserve">
</t>
    </r>
    <r>
      <rPr>
        <sz val="11"/>
        <color rgb="FF000000"/>
        <rFont val="Calibri"/>
      </rPr>
      <t># sed -i '/pam_cracklib.so/ s/$/ difok-8/' /etc/pam.d/common-password-vmware.local</t>
    </r>
    <r>
      <rPr>
        <sz val="11"/>
        <color rgb="FF000000"/>
        <rFont val="Calibri"/>
      </rPr>
      <t xml:space="preserve">
</t>
    </r>
    <r>
      <rPr>
        <sz val="11"/>
        <color rgb="FF000000"/>
        <rFont val="Calibri"/>
      </rPr>
      <t>If "difok" was set incorrectly, run the following command to set it to "8":</t>
    </r>
    <r>
      <rPr>
        <sz val="11"/>
        <color rgb="FF000000"/>
        <rFont val="Calibri"/>
      </rPr>
      <t xml:space="preserve">
</t>
    </r>
    <r>
      <rPr>
        <sz val="11"/>
        <color rgb="FF000000"/>
        <rFont val="Calibri"/>
      </rPr>
      <t># sed -i '/pam_cracklib.so/ s/difok=./difok=8/' /etc/pam.d/common-password-vmware.local</t>
    </r>
  </si>
  <si>
    <r>
      <rPr>
        <sz val="11"/>
        <color rgb="FF000000"/>
        <rFont val="Calibri"/>
      </rPr>
      <t>If the operating system allows the user to consecutively reuse extensive portions of passwords, this increases the chances of password compromise by increasing the window of opportunity for attempts at guessing and brute-force attacks.</t>
    </r>
    <r>
      <rPr>
        <sz val="11"/>
        <color rgb="FF000000"/>
        <rFont val="Calibri"/>
      </rPr>
      <t xml:space="preserve">
</t>
    </r>
    <r>
      <rPr>
        <sz val="11"/>
        <color rgb="FF000000"/>
        <rFont val="Calibri"/>
      </rPr>
      <t>The number of changed characters refers to the number of changes required with respect to the total number of positions in the current password. In other words, characters may be the same within the two passwords; however, the positions of the like characters must be different.</t>
    </r>
  </si>
  <si>
    <r>
      <rPr>
        <sz val="11"/>
        <color rgb="FF000000"/>
        <rFont val="Calibri"/>
      </rPr>
      <t>Check that at least eight characters need to be changed between old and new passwords during a password change by running the following command:</t>
    </r>
    <r>
      <rPr>
        <sz val="11"/>
        <color rgb="FF000000"/>
        <rFont val="Calibri"/>
      </rPr>
      <t xml:space="preserve">
</t>
    </r>
    <r>
      <rPr>
        <sz val="11"/>
        <color rgb="FF000000"/>
        <rFont val="Calibri"/>
      </rPr>
      <t># grep pam_cracklib /etc/pam.d/common-password-vmware.local</t>
    </r>
    <r>
      <rPr>
        <sz val="11"/>
        <color rgb="FF000000"/>
        <rFont val="Calibri"/>
      </rPr>
      <t xml:space="preserve">
</t>
    </r>
    <r>
      <rPr>
        <sz val="11"/>
        <color rgb="FF000000"/>
        <rFont val="Calibri"/>
      </rPr>
      <t xml:space="preserve">The "difok" parameter indicates how many characters must be different. The DoD requires at least eight characters to be different during a password change. This would appear as "difok=8". </t>
    </r>
    <r>
      <rPr>
        <sz val="11"/>
        <color rgb="FF000000"/>
        <rFont val="Calibri"/>
      </rPr>
      <t xml:space="preserve">
</t>
    </r>
    <r>
      <rPr>
        <sz val="11"/>
        <color rgb="FF000000"/>
        <rFont val="Calibri"/>
      </rPr>
      <t>If "difok" is not found or not set to at least "8", this is a finding.</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password requisite pam_cracklib.so dcredit=-1 ucredit=-1 lcredit=-1 ocredit=-1 minlen=14 difok=8 retry=3</t>
    </r>
  </si>
  <si>
    <t>V-88463</t>
  </si>
  <si>
    <r>
      <rPr>
        <sz val="11"/>
        <rFont val="Calibri"/>
      </rPr>
      <t>The SLES for vRealize must store only encrypted representations of passwords.</t>
    </r>
  </si>
  <si>
    <r>
      <rPr>
        <sz val="11"/>
        <color rgb="FF000000"/>
        <rFont val="Calibri"/>
      </rPr>
      <t>Ensure password are being encrypted with hash sha512 with the following command:</t>
    </r>
    <r>
      <rPr>
        <sz val="11"/>
        <color rgb="FF000000"/>
        <rFont val="Calibri"/>
      </rPr>
      <t xml:space="preserve">
</t>
    </r>
    <r>
      <rPr>
        <sz val="11"/>
        <color rgb="FF000000"/>
        <rFont val="Calibri"/>
      </rPr>
      <t># echo 'CRYPT=sha512'&gt;&gt;/etc/default/passwd</t>
    </r>
  </si>
  <si>
    <r>
      <rPr>
        <sz val="11"/>
        <color rgb="FF000000"/>
        <rFont val="Calibri"/>
      </rPr>
      <t>Passwords need to be protected at all times, and encryption is the standard method for protecting passwords. If passwords are not encrypted, they can be plainly read (i.e., clear text) and easily compromised.</t>
    </r>
  </si>
  <si>
    <r>
      <rPr>
        <sz val="11"/>
        <color rgb="FF000000"/>
        <rFont val="Calibri"/>
      </rPr>
      <t>Check that the user account passwords are stored hashed using sha512 by running the following command:</t>
    </r>
    <r>
      <rPr>
        <sz val="11"/>
        <color rgb="FF000000"/>
        <rFont val="Calibri"/>
      </rPr>
      <t xml:space="preserve">
</t>
    </r>
    <r>
      <rPr>
        <sz val="11"/>
        <color rgb="FF000000"/>
        <rFont val="Calibri"/>
      </rPr>
      <t># cat /etc/default/passwd | grep CRYPT=sha512</t>
    </r>
    <r>
      <rPr>
        <sz val="11"/>
        <color rgb="FF000000"/>
        <rFont val="Calibri"/>
      </rPr>
      <t xml:space="preserve">
</t>
    </r>
    <r>
      <rPr>
        <sz val="11"/>
        <color rgb="FF000000"/>
        <rFont val="Calibri"/>
      </rPr>
      <t>If "CRYPT=sha512" is not listed, this is a finding.</t>
    </r>
  </si>
  <si>
    <t>V-88465</t>
  </si>
  <si>
    <r>
      <rPr>
        <sz val="11"/>
        <rFont val="Calibri"/>
      </rPr>
      <t>SLES for vRealize must enforce 24 hours/1 day as the minimum password lifetime.</t>
    </r>
  </si>
  <si>
    <r>
      <rPr>
        <sz val="11"/>
        <color rgb="FF000000"/>
        <rFont val="Calibri"/>
      </rPr>
      <t>To configure SLES for vRealize to enforce 24 hours/1 day as the minimum password age, edit the file "/etc/login.defs" with the following command:</t>
    </r>
    <r>
      <rPr>
        <sz val="11"/>
        <color rgb="FF000000"/>
        <rFont val="Calibri"/>
      </rPr>
      <t xml:space="preserve">
</t>
    </r>
    <r>
      <rPr>
        <sz val="11"/>
        <color rgb="FF000000"/>
        <rFont val="Calibri"/>
      </rPr>
      <t># sed -i "/^[^#]*PASS_MIN_DAYS/ c\PASS_MIN_DAYS 1" /etc/login.defs</t>
    </r>
  </si>
  <si>
    <r>
      <rPr>
        <sz val="11"/>
        <color rgb="FF000000"/>
        <rFont val="Calibri"/>
      </rPr>
      <t>Enforcing a minimum password lifetime helps to prevent repeated password changes to defeat the password reuse or history enforcement requirement. If users are allowed to immediately and continually change their password, then the password could be repeatedly changed in a short period of time to defeat the organization's policy regarding password reuse.</t>
    </r>
  </si>
  <si>
    <r>
      <rPr>
        <sz val="11"/>
        <color rgb="FF000000"/>
        <rFont val="Calibri"/>
      </rPr>
      <t>To check that SLES for vRealize enforces 24 hours/1 day as the minimum password age, run the following command:</t>
    </r>
    <r>
      <rPr>
        <sz val="11"/>
        <color rgb="FF000000"/>
        <rFont val="Calibri"/>
      </rPr>
      <t xml:space="preserve">
</t>
    </r>
    <r>
      <rPr>
        <sz val="11"/>
        <color rgb="FF000000"/>
        <rFont val="Calibri"/>
      </rPr>
      <t># grep PASS_MIN_DAYS /etc/login.defs | grep -v '#'</t>
    </r>
    <r>
      <rPr>
        <sz val="11"/>
        <color rgb="FF000000"/>
        <rFont val="Calibri"/>
      </rPr>
      <t xml:space="preserve">
</t>
    </r>
    <r>
      <rPr>
        <sz val="11"/>
        <color rgb="FF000000"/>
        <rFont val="Calibri"/>
      </rPr>
      <t>The DoD requirement is "1".</t>
    </r>
    <r>
      <rPr>
        <sz val="11"/>
        <color rgb="FF000000"/>
        <rFont val="Calibri"/>
      </rPr>
      <t xml:space="preserve">
</t>
    </r>
    <r>
      <rPr>
        <sz val="11"/>
        <color rgb="FF000000"/>
        <rFont val="Calibri"/>
      </rPr>
      <t>If "PASS_MIN_DAYS" is not set to the required value, this is a finding.</t>
    </r>
  </si>
  <si>
    <t>V-88467</t>
  </si>
  <si>
    <r>
      <rPr>
        <sz val="11"/>
        <rFont val="Calibri"/>
      </rPr>
      <t>Users must not be able to change passwords more than once every 24 hours.</t>
    </r>
  </si>
  <si>
    <r>
      <rPr>
        <sz val="11"/>
        <color rgb="FF000000"/>
        <rFont val="Calibri"/>
      </rPr>
      <t>Change the minimum time period between password changes for each [USER] account to "1" day. The command in the check text will give you a list of users that need to be updated to be in compliance.</t>
    </r>
    <r>
      <rPr>
        <sz val="11"/>
        <color rgb="FF000000"/>
        <rFont val="Calibri"/>
      </rPr>
      <t xml:space="preserve">
</t>
    </r>
    <r>
      <rPr>
        <sz val="11"/>
        <color rgb="FF000000"/>
        <rFont val="Calibri"/>
      </rPr>
      <t># passwd -n 1 [USER]</t>
    </r>
  </si>
  <si>
    <r>
      <rPr>
        <sz val="11"/>
        <color rgb="FF000000"/>
        <rFont val="Calibri"/>
      </rPr>
      <t>Check the minimum time period between password changes for each user account is "1" day.</t>
    </r>
    <r>
      <rPr>
        <sz val="11"/>
        <color rgb="FF000000"/>
        <rFont val="Calibri"/>
      </rPr>
      <t xml:space="preserve">
</t>
    </r>
    <r>
      <rPr>
        <sz val="11"/>
        <color rgb="FF000000"/>
        <rFont val="Calibri"/>
      </rPr>
      <t># cat /etc/shadow | cut -d ':' -f1,4 | grep -v 1 | grep -v ":$"</t>
    </r>
    <r>
      <rPr>
        <sz val="11"/>
        <color rgb="FF000000"/>
        <rFont val="Calibri"/>
      </rPr>
      <t xml:space="preserve">
</t>
    </r>
    <r>
      <rPr>
        <sz val="11"/>
        <color rgb="FF000000"/>
        <rFont val="Calibri"/>
      </rPr>
      <t>If any results are returned, this is a finding.</t>
    </r>
  </si>
  <si>
    <t>V-88469</t>
  </si>
  <si>
    <r>
      <rPr>
        <sz val="11"/>
        <rFont val="Calibri"/>
      </rPr>
      <t>SLES for vRealize must enforce a 60-day maximum password lifetime restriction.</t>
    </r>
  </si>
  <si>
    <r>
      <rPr>
        <sz val="11"/>
        <color rgb="FF000000"/>
        <rFont val="Calibri"/>
      </rPr>
      <t>To configure SLES for vRealize to enforce a "60" day or less maximum password age, edit the file "/etc/login.defs" and add or correct the following line. Replace [DAYS] with the appropriate amount of days.</t>
    </r>
    <r>
      <rPr>
        <sz val="11"/>
        <color rgb="FF000000"/>
        <rFont val="Calibri"/>
      </rPr>
      <t xml:space="preserve">
</t>
    </r>
    <r>
      <rPr>
        <sz val="11"/>
        <color rgb="FF000000"/>
        <rFont val="Calibri"/>
      </rPr>
      <t># sed -i "/^[^#]*PASS_MAX_DAYS/ c\PASS_MAX_DAYS 60" /etc/login.defs</t>
    </r>
    <r>
      <rPr>
        <sz val="11"/>
        <color rgb="FF000000"/>
        <rFont val="Calibri"/>
      </rPr>
      <t xml:space="preserve">
</t>
    </r>
    <r>
      <rPr>
        <sz val="11"/>
        <color rgb="FF000000"/>
        <rFont val="Calibri"/>
      </rPr>
      <t>The DoD requirement is "60" days or less (Greater than zero, as zero days will lock the account immediately).</t>
    </r>
  </si>
  <si>
    <r>
      <rPr>
        <sz val="11"/>
        <color rgb="FF000000"/>
        <rFont val="Calibri"/>
      </rPr>
      <t>Any password, no matter how complex, can eventually be cracked. Therefore, passwords need to be changed periodically. If SLES for vRealize does not limit the lifetime of passwords and force users to change their passwords, there is the risk that SLES for vRealize passwords could be compromised.</t>
    </r>
  </si>
  <si>
    <r>
      <rPr>
        <sz val="11"/>
        <color rgb="FF000000"/>
        <rFont val="Calibri"/>
      </rPr>
      <t>To check that SLES for vRealize enforces a "60" days or less maximum password age, run the following command:</t>
    </r>
    <r>
      <rPr>
        <sz val="11"/>
        <color rgb="FF000000"/>
        <rFont val="Calibri"/>
      </rPr>
      <t xml:space="preserve">
</t>
    </r>
    <r>
      <rPr>
        <sz val="11"/>
        <color rgb="FF000000"/>
        <rFont val="Calibri"/>
      </rPr>
      <t># grep PASS_MAX_DAYS /etc/login.defs | grep -v "#"</t>
    </r>
    <r>
      <rPr>
        <sz val="11"/>
        <color rgb="FF000000"/>
        <rFont val="Calibri"/>
      </rPr>
      <t xml:space="preserve">
</t>
    </r>
    <r>
      <rPr>
        <sz val="11"/>
        <color rgb="FF000000"/>
        <rFont val="Calibri"/>
      </rPr>
      <t xml:space="preserve">The DoD requirement is "60" days or less (Greater than zero, as zero days will lock the account immediately). </t>
    </r>
    <r>
      <rPr>
        <sz val="11"/>
        <color rgb="FF000000"/>
        <rFont val="Calibri"/>
      </rPr>
      <t xml:space="preserve">
</t>
    </r>
    <r>
      <rPr>
        <sz val="11"/>
        <color rgb="FF000000"/>
        <rFont val="Calibri"/>
      </rPr>
      <t>If "PASS_MAX_DAYS" is not set to the required value, this is a finding.</t>
    </r>
  </si>
  <si>
    <t>V-88471</t>
  </si>
  <si>
    <r>
      <rPr>
        <sz val="11"/>
        <rFont val="Calibri"/>
      </rPr>
      <t>User passwords must be changed at least every 60 days.</t>
    </r>
  </si>
  <si>
    <r>
      <rPr>
        <sz val="11"/>
        <color rgb="FF000000"/>
        <rFont val="Calibri"/>
      </rPr>
      <t>Set the maximum time period between password changes for each [USER] account to "60" days. The command in the check text will give you a list of users that need to be updated to be in compliance.</t>
    </r>
    <r>
      <rPr>
        <sz val="11"/>
        <color rgb="FF000000"/>
        <rFont val="Calibri"/>
      </rPr>
      <t xml:space="preserve">
</t>
    </r>
    <r>
      <rPr>
        <sz val="11"/>
        <color rgb="FF000000"/>
        <rFont val="Calibri"/>
      </rPr>
      <t># passwd -x 60 [USER]</t>
    </r>
    <r>
      <rPr>
        <sz val="11"/>
        <color rgb="FF000000"/>
        <rFont val="Calibri"/>
      </rPr>
      <t xml:space="preserve">
</t>
    </r>
    <r>
      <rPr>
        <sz val="11"/>
        <color rgb="FF000000"/>
        <rFont val="Calibri"/>
      </rPr>
      <t>The DoD requirement is "60" days.</t>
    </r>
  </si>
  <si>
    <r>
      <rPr>
        <sz val="11"/>
        <color rgb="FF000000"/>
        <rFont val="Calibri"/>
      </rPr>
      <t>Check the max days field of "/etc/shadow" by running the following command:</t>
    </r>
    <r>
      <rPr>
        <sz val="11"/>
        <color rgb="FF000000"/>
        <rFont val="Calibri"/>
      </rPr>
      <t xml:space="preserve">
</t>
    </r>
    <r>
      <rPr>
        <sz val="11"/>
        <color rgb="FF000000"/>
        <rFont val="Calibri"/>
      </rPr>
      <t># cat /etc/shadow | cut -d':' -f1,5 | egrep -v "([0|60])" | grep -v ":$"</t>
    </r>
    <r>
      <rPr>
        <sz val="11"/>
        <color rgb="FF000000"/>
        <rFont val="Calibri"/>
      </rPr>
      <t xml:space="preserve">
</t>
    </r>
    <r>
      <rPr>
        <sz val="11"/>
        <color rgb="FF000000"/>
        <rFont val="Calibri"/>
      </rPr>
      <t>If any results are returned, this is a finding.</t>
    </r>
  </si>
  <si>
    <t>V-88473</t>
  </si>
  <si>
    <r>
      <rPr>
        <sz val="11"/>
        <rFont val="Calibri"/>
      </rPr>
      <t>The SLES for vRealize must prohibit password reuse for a minimum of five generations.</t>
    </r>
  </si>
  <si>
    <r>
      <rPr>
        <sz val="11"/>
        <color rgb="FF000000"/>
        <rFont val="Calibri"/>
      </rPr>
      <t xml:space="preserve">Configure pam to use password history. </t>
    </r>
    <r>
      <rPr>
        <sz val="11"/>
        <color rgb="FF000000"/>
        <rFont val="Calibri"/>
      </rPr>
      <t xml:space="preserve">
</t>
    </r>
    <r>
      <rPr>
        <sz val="11"/>
        <color rgb="FF000000"/>
        <rFont val="Calibri"/>
      </rPr>
      <t>If the "remember" option was not set at all in "/etc/pam.d/common-password-vmware.local" file then run the following command:</t>
    </r>
    <r>
      <rPr>
        <sz val="11"/>
        <color rgb="FF000000"/>
        <rFont val="Calibri"/>
      </rPr>
      <t xml:space="preserve">
</t>
    </r>
    <r>
      <rPr>
        <sz val="11"/>
        <color rgb="FF000000"/>
        <rFont val="Calibri"/>
      </rPr>
      <t># sed -i '/pam_cracklib.so/ s/$/ remember=5/' /etc/pam.d/common-password-vmware.local</t>
    </r>
    <r>
      <rPr>
        <sz val="11"/>
        <color rgb="FF000000"/>
        <rFont val="Calibri"/>
      </rPr>
      <t xml:space="preserve">
</t>
    </r>
    <r>
      <rPr>
        <sz val="11"/>
        <color rgb="FF000000"/>
        <rFont val="Calibri"/>
      </rPr>
      <t>If "remember" option was set incorrectly, run the following command to set it to "5":</t>
    </r>
    <r>
      <rPr>
        <sz val="11"/>
        <color rgb="FF000000"/>
        <rFont val="Calibri"/>
      </rPr>
      <t xml:space="preserve">
</t>
    </r>
    <r>
      <rPr>
        <sz val="11"/>
        <color rgb="FF000000"/>
        <rFont val="Calibri"/>
      </rPr>
      <t># sed -i '/pam_cracklib.so/ s/remember=./remember=5/' /etc/pam.d/common-password-vmware.local</t>
    </r>
  </si>
  <si>
    <r>
      <rPr>
        <sz val="11"/>
        <color rgb="FF000000"/>
        <rFont val="Calibri"/>
      </rPr>
      <t>Password complexity, or strength, is a measure of the effectiveness of a password in resisting attempts at guessing and brute-force attacks. If the information system or application allows the user to consecutively reuse their password when that password has exceeded its defined lifetime, the end result is a password that is not changed as per policy requirements.</t>
    </r>
  </si>
  <si>
    <r>
      <rPr>
        <sz val="11"/>
        <color rgb="FF000000"/>
        <rFont val="Calibri"/>
      </rPr>
      <t>Verify that SLES for vRealize prohibits the reuse of a password for a minimum of five generations, by running the following commands:</t>
    </r>
    <r>
      <rPr>
        <sz val="11"/>
        <color rgb="FF000000"/>
        <rFont val="Calibri"/>
      </rPr>
      <t xml:space="preserve">
</t>
    </r>
    <r>
      <rPr>
        <sz val="11"/>
        <color rgb="FF000000"/>
        <rFont val="Calibri"/>
      </rPr>
      <t xml:space="preserve"># grep pam_pwhistory.so /etc/pam.d/common-password-vmware.local </t>
    </r>
    <r>
      <rPr>
        <sz val="11"/>
        <color rgb="FF000000"/>
        <rFont val="Calibri"/>
      </rPr>
      <t xml:space="preserve">
</t>
    </r>
    <r>
      <rPr>
        <sz val="11"/>
        <color rgb="FF000000"/>
        <rFont val="Calibri"/>
      </rPr>
      <t>If the "remember" option in "/etc/pam.d/common-password-vmware.local" file is not "5" or greater, this is a finding.</t>
    </r>
  </si>
  <si>
    <t>V-88475</t>
  </si>
  <si>
    <r>
      <rPr>
        <sz val="11"/>
        <rFont val="Calibri"/>
      </rPr>
      <t>The SLES for vRealize must prohibit password reuse for a minimum of five generations. Ensure the old passwords are being stored.</t>
    </r>
  </si>
  <si>
    <r>
      <rPr>
        <sz val="11"/>
        <color rgb="FF000000"/>
        <rFont val="Calibri"/>
      </rPr>
      <t xml:space="preserve">Create the password history file. </t>
    </r>
    <r>
      <rPr>
        <sz val="11"/>
        <color rgb="FF000000"/>
        <rFont val="Calibri"/>
      </rPr>
      <t xml:space="preserve">
</t>
    </r>
    <r>
      <rPr>
        <sz val="11"/>
        <color rgb="FF000000"/>
        <rFont val="Calibri"/>
      </rPr>
      <t># touch /etc/security/opasswd</t>
    </r>
    <r>
      <rPr>
        <sz val="11"/>
        <color rgb="FF000000"/>
        <rFont val="Calibri"/>
      </rPr>
      <t xml:space="preserve">
</t>
    </r>
    <r>
      <rPr>
        <sz val="11"/>
        <color rgb="FF000000"/>
        <rFont val="Calibri"/>
      </rPr>
      <t># chown root:root /etc/security/opasswd</t>
    </r>
    <r>
      <rPr>
        <sz val="11"/>
        <color rgb="FF000000"/>
        <rFont val="Calibri"/>
      </rPr>
      <t xml:space="preserve">
</t>
    </r>
    <r>
      <rPr>
        <sz val="11"/>
        <color rgb="FF000000"/>
        <rFont val="Calibri"/>
      </rPr>
      <t># chmod 0600 /etc/security/opasswd</t>
    </r>
  </si>
  <si>
    <r>
      <rPr>
        <sz val="11"/>
        <color rgb="FF000000"/>
        <rFont val="Calibri"/>
      </rPr>
      <t>Verify that the old password file, "opasswd", exists, by running the following command:</t>
    </r>
    <r>
      <rPr>
        <sz val="11"/>
        <color rgb="FF000000"/>
        <rFont val="Calibri"/>
      </rPr>
      <t xml:space="preserve">
</t>
    </r>
    <r>
      <rPr>
        <sz val="11"/>
        <color rgb="FF000000"/>
        <rFont val="Calibri"/>
      </rPr>
      <t># ls /etc/security/opasswd</t>
    </r>
    <r>
      <rPr>
        <sz val="11"/>
        <color rgb="FF000000"/>
        <rFont val="Calibri"/>
      </rPr>
      <t xml:space="preserve">
</t>
    </r>
    <r>
      <rPr>
        <sz val="11"/>
        <color rgb="FF000000"/>
        <rFont val="Calibri"/>
      </rPr>
      <t>If "/etc/security/opasswd" file does not exist, this is a finding.</t>
    </r>
  </si>
  <si>
    <t>V-88477</t>
  </si>
  <si>
    <r>
      <rPr>
        <sz val="11"/>
        <rFont val="Calibri"/>
      </rPr>
      <t>The SLES for vRealize must enforce a minimum 15-character password length.</t>
    </r>
  </si>
  <si>
    <r>
      <rPr>
        <sz val="11"/>
        <color rgb="FF000000"/>
        <rFont val="Calibri"/>
      </rPr>
      <t>If "minlen" was not set at all in "/etc/pam.d/common-password-vmware.local" file then run the following command:</t>
    </r>
    <r>
      <rPr>
        <sz val="11"/>
        <color rgb="FF000000"/>
        <rFont val="Calibri"/>
      </rPr>
      <t xml:space="preserve">
</t>
    </r>
    <r>
      <rPr>
        <sz val="11"/>
        <color rgb="FF000000"/>
        <rFont val="Calibri"/>
      </rPr>
      <t># sed -i '/pam_cracklib.so/ s/$/ minlen=15/' /etc/pam.d/common-password-vmware.local</t>
    </r>
    <r>
      <rPr>
        <sz val="11"/>
        <color rgb="FF000000"/>
        <rFont val="Calibri"/>
      </rPr>
      <t xml:space="preserve">
</t>
    </r>
    <r>
      <rPr>
        <sz val="11"/>
        <color rgb="FF000000"/>
        <rFont val="Calibri"/>
      </rPr>
      <t>If "minlen" was set incorrectly, run the following command to set it to "15":</t>
    </r>
    <r>
      <rPr>
        <sz val="11"/>
        <color rgb="FF000000"/>
        <rFont val="Calibri"/>
      </rPr>
      <t xml:space="preserve">
</t>
    </r>
    <r>
      <rPr>
        <sz val="11"/>
        <color rgb="FF000000"/>
        <rFont val="Calibri"/>
      </rPr>
      <t># sed -i '/pam_cracklib.so/ s/minlen=../minlen=15/' /etc/pam.d/common-password-vmware.local</t>
    </r>
  </si>
  <si>
    <r>
      <rPr>
        <sz val="11"/>
        <color rgb="FF000000"/>
        <rFont val="Calibri"/>
      </rPr>
      <t>The shorter the password, the lower the number of possible combinations that need to be tested before the password is compromised.</t>
    </r>
    <r>
      <rPr>
        <sz val="11"/>
        <color rgb="FF000000"/>
        <rFont val="Calibri"/>
      </rPr>
      <t xml:space="preserve">
</t>
    </r>
    <r>
      <rPr>
        <sz val="11"/>
        <color rgb="FF000000"/>
        <rFont val="Calibri"/>
      </rPr>
      <t>Password complexity, or strength, is a measure of the effectiveness of a password in resisting attempts at guessing and brute-force attacks. Password length is one factor of several that helps to determine strength and how long it takes to crack a password. Use of more characters in a password helps to exponentially increase the time and/or resources required to compromise the password.</t>
    </r>
  </si>
  <si>
    <r>
      <rPr>
        <sz val="11"/>
        <color rgb="FF000000"/>
        <rFont val="Calibri"/>
      </rPr>
      <t>Verify that SLES for vRealize enforces a minimum 15-character password length, by running the following command:</t>
    </r>
    <r>
      <rPr>
        <sz val="11"/>
        <color rgb="FF000000"/>
        <rFont val="Calibri"/>
      </rPr>
      <t xml:space="preserve">
</t>
    </r>
    <r>
      <rPr>
        <sz val="11"/>
        <color rgb="FF000000"/>
        <rFont val="Calibri"/>
      </rPr>
      <t># grep pam_cracklib /etc/pam.d/common-password-vmware.local</t>
    </r>
    <r>
      <rPr>
        <sz val="11"/>
        <color rgb="FF000000"/>
        <rFont val="Calibri"/>
      </rPr>
      <t xml:space="preserve">
</t>
    </r>
    <r>
      <rPr>
        <sz val="11"/>
        <color rgb="FF000000"/>
        <rFont val="Calibri"/>
      </rPr>
      <t># grep pam_cracklib /etc/pam.d/common-password</t>
    </r>
    <r>
      <rPr>
        <sz val="11"/>
        <color rgb="FF000000"/>
        <rFont val="Calibri"/>
      </rPr>
      <t xml:space="preserve">
</t>
    </r>
    <r>
      <rPr>
        <sz val="11"/>
        <color rgb="FF000000"/>
        <rFont val="Calibri"/>
      </rPr>
      <t>If the result does not contain "minlen=15" or higher, this is a finding.</t>
    </r>
  </si>
  <si>
    <t>V-88479</t>
  </si>
  <si>
    <r>
      <rPr>
        <sz val="11"/>
        <rFont val="Calibri"/>
      </rPr>
      <t>The SLES for vRealize must require root password authentication upon booting into single-user mode.</t>
    </r>
  </si>
  <si>
    <r>
      <rPr>
        <sz val="11"/>
        <color rgb="FF000000"/>
        <rFont val="Calibri"/>
      </rPr>
      <t>Configure SLES for vRealize to require root password login with single user mode use the following command:</t>
    </r>
    <r>
      <rPr>
        <sz val="11"/>
        <color rgb="FF000000"/>
        <rFont val="Calibri"/>
      </rPr>
      <t xml:space="preserve">
</t>
    </r>
    <r>
      <rPr>
        <sz val="11"/>
        <color rgb="FF000000"/>
        <rFont val="Calibri"/>
      </rPr>
      <t># echo '~~:S:respawn:/sbin/sulogin' &gt;&gt; /etc/inittab</t>
    </r>
  </si>
  <si>
    <r>
      <rPr>
        <sz val="11"/>
        <color rgb="FF000000"/>
        <rFont val="Calibri"/>
      </rPr>
      <t>To mitigate the risk of unauthorized access to sensitive information by entities that have been issued certificates by DoD-approved PKIs, all DoD systems (e.g., web servers and web portals) must be properly configured to incorporate access control methods that do not rely solely on the possession of a certificate for access. Successful authentication must not automatically give an entity access to an asset or security boundary. Authorization procedures and controls must be implemented to ensure each authenticated entity also has a validated and current authorization. Authorization is the process of determining whether an entity, once authenticated, is permitted to access a specific asset. Information systems use access control policies and enforcement mechanisms to implement this requirement.</t>
    </r>
    <r>
      <rPr>
        <sz val="11"/>
        <color rgb="FF000000"/>
        <rFont val="Calibri"/>
      </rPr>
      <t xml:space="preserve">
</t>
    </r>
    <r>
      <rPr>
        <sz val="11"/>
        <color rgb="FF000000"/>
        <rFont val="Calibri"/>
      </rPr>
      <t>Access control policies include: identity-based policies, role-based policies, and attribute-based policies. Access enforcement mechanisms include: access control lists, access control matrices, and cryptography. These policies and mechanisms must be employed by the application to control access between users (or processes acting on behalf of users) and objects (e.g., devices, files, records, processes, programs, and domains) in the information system.</t>
    </r>
  </si>
  <si>
    <r>
      <rPr>
        <sz val="11"/>
        <color rgb="FF000000"/>
        <rFont val="Calibri"/>
      </rPr>
      <t>Verify that root password is required for single user mode logon with the following command:</t>
    </r>
    <r>
      <rPr>
        <sz val="11"/>
        <color rgb="FF000000"/>
        <rFont val="Calibri"/>
      </rPr>
      <t xml:space="preserve">
</t>
    </r>
    <r>
      <rPr>
        <sz val="11"/>
        <color rgb="FF000000"/>
        <rFont val="Calibri"/>
      </rPr>
      <t># grep sulogin /etc/inittab</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~~:S:respawn:/sbin/sulogin</t>
    </r>
    <r>
      <rPr>
        <sz val="11"/>
        <color rgb="FF000000"/>
        <rFont val="Calibri"/>
      </rPr>
      <t xml:space="preserve">
</t>
    </r>
    <r>
      <rPr>
        <sz val="11"/>
        <color rgb="FF000000"/>
        <rFont val="Calibri"/>
      </rPr>
      <t>If the expected result is not displayed, this is a finding.</t>
    </r>
  </si>
  <si>
    <t>V-88481</t>
  </si>
  <si>
    <r>
      <rPr>
        <sz val="11"/>
        <rFont val="Calibri"/>
      </rPr>
      <t>Bootloader authentication must be enabled to prevent users without privilege to gain access restricted file system resources.</t>
    </r>
  </si>
  <si>
    <r>
      <rPr>
        <sz val="11"/>
        <color rgb="FF000000"/>
        <rFont val="Calibri"/>
      </rPr>
      <t xml:space="preserve">Run the following command: </t>
    </r>
    <r>
      <rPr>
        <sz val="11"/>
        <color rgb="FF000000"/>
        <rFont val="Calibri"/>
      </rPr>
      <t xml:space="preserve">
</t>
    </r>
    <r>
      <rPr>
        <sz val="11"/>
        <color rgb="FF000000"/>
        <rFont val="Calibri"/>
      </rPr>
      <t xml:space="preserve"># /usr/sbin/grub-md5-crypt </t>
    </r>
    <r>
      <rPr>
        <sz val="11"/>
        <color rgb="FF000000"/>
        <rFont val="Calibri"/>
      </rPr>
      <t xml:space="preserve">
</t>
    </r>
    <r>
      <rPr>
        <sz val="11"/>
        <color rgb="FF000000"/>
        <rFont val="Calibri"/>
      </rPr>
      <t>An MD5 password is generated. After the password is supplied, the command supplies the md5 hash output.</t>
    </r>
    <r>
      <rPr>
        <sz val="11"/>
        <color rgb="FF000000"/>
        <rFont val="Calibri"/>
      </rPr>
      <t xml:space="preserve">
</t>
    </r>
    <r>
      <rPr>
        <sz val="11"/>
        <color rgb="FF000000"/>
        <rFont val="Calibri"/>
      </rPr>
      <t>Append the password to the menu.lst file by running the following command:</t>
    </r>
    <r>
      <rPr>
        <sz val="11"/>
        <color rgb="FF000000"/>
        <rFont val="Calibri"/>
      </rPr>
      <t xml:space="preserve">
</t>
    </r>
    <r>
      <rPr>
        <sz val="11"/>
        <color rgb="FF000000"/>
        <rFont val="Calibri"/>
      </rPr>
      <t>echo 'password --md5 &lt;hash from grub-md5-crypt&gt;' &gt;&gt; /boot/grub/menu.lst</t>
    </r>
    <r>
      <rPr>
        <sz val="11"/>
        <color rgb="FF000000"/>
        <rFont val="Calibri"/>
      </rPr>
      <t xml:space="preserve">
</t>
    </r>
    <r>
      <rPr>
        <sz val="11"/>
        <color rgb="FF000000"/>
        <rFont val="Calibri"/>
      </rPr>
      <t>Or use "yast2" to set the bootloader password:</t>
    </r>
    <r>
      <rPr>
        <sz val="11"/>
        <color rgb="FF000000"/>
        <rFont val="Calibri"/>
      </rPr>
      <t xml:space="preserve">
</t>
    </r>
    <r>
      <rPr>
        <sz val="11"/>
        <color rgb="FF000000"/>
        <rFont val="Calibri"/>
      </rPr>
      <t>Open the Boot Loader Installation tab.</t>
    </r>
    <r>
      <rPr>
        <sz val="11"/>
        <color rgb="FF000000"/>
        <rFont val="Calibri"/>
      </rPr>
      <t xml:space="preserve">
</t>
    </r>
    <r>
      <rPr>
        <sz val="11"/>
        <color rgb="FF000000"/>
        <rFont val="Calibri"/>
      </rPr>
      <t>Click Boot Loader Options.</t>
    </r>
    <r>
      <rPr>
        <sz val="11"/>
        <color rgb="FF000000"/>
        <rFont val="Calibri"/>
      </rPr>
      <t xml:space="preserve">
</t>
    </r>
    <r>
      <rPr>
        <sz val="11"/>
        <color rgb="FF000000"/>
        <rFont val="Calibri"/>
      </rPr>
      <t>Activate the Protect Boot Loader with Password option with a click and type in your Password twice.</t>
    </r>
    <r>
      <rPr>
        <sz val="11"/>
        <color rgb="FF000000"/>
        <rFont val="Calibri"/>
      </rPr>
      <t xml:space="preserve">
</t>
    </r>
    <r>
      <rPr>
        <sz val="11"/>
        <color rgb="FF000000"/>
        <rFont val="Calibri"/>
      </rPr>
      <t>Click "OK" twice to save the changes.</t>
    </r>
  </si>
  <si>
    <r>
      <rPr>
        <sz val="11"/>
        <color rgb="FF000000"/>
        <rFont val="Calibri"/>
      </rPr>
      <t>To verify a boot password exists. In "/boot/grub/menu.lst" run the following command:</t>
    </r>
    <r>
      <rPr>
        <sz val="11"/>
        <color rgb="FF000000"/>
        <rFont val="Calibri"/>
      </rPr>
      <t xml:space="preserve">
</t>
    </r>
    <r>
      <rPr>
        <sz val="11"/>
        <color rgb="FF000000"/>
        <rFont val="Calibri"/>
      </rPr>
      <t># grep password /boot/grub/menu.lst</t>
    </r>
    <r>
      <rPr>
        <sz val="11"/>
        <color rgb="FF000000"/>
        <rFont val="Calibri"/>
      </rPr>
      <t xml:space="preserve">
</t>
    </r>
    <r>
      <rPr>
        <sz val="11"/>
        <color rgb="FF000000"/>
        <rFont val="Calibri"/>
      </rPr>
      <t xml:space="preserve">The output should show the following: </t>
    </r>
    <r>
      <rPr>
        <sz val="11"/>
        <color rgb="FF000000"/>
        <rFont val="Calibri"/>
      </rPr>
      <t xml:space="preserve">
</t>
    </r>
    <r>
      <rPr>
        <sz val="11"/>
        <color rgb="FF000000"/>
        <rFont val="Calibri"/>
      </rPr>
      <t>password --encrypted $1$[rest-of-the-password-hash]</t>
    </r>
    <r>
      <rPr>
        <sz val="11"/>
        <color rgb="FF000000"/>
        <rFont val="Calibri"/>
      </rPr>
      <t xml:space="preserve">
</t>
    </r>
    <r>
      <rPr>
        <sz val="11"/>
        <color rgb="FF000000"/>
        <rFont val="Calibri"/>
      </rPr>
      <t>If it does not, this is a finding.</t>
    </r>
  </si>
  <si>
    <t>V-88483</t>
  </si>
  <si>
    <r>
      <rPr>
        <sz val="11"/>
        <rFont val="Calibri"/>
      </rPr>
      <t>The SLES for the vRealize boot loader configuration file(s) must have mode 0600 or less permissive.</t>
    </r>
  </si>
  <si>
    <r>
      <rPr>
        <sz val="11"/>
        <color rgb="FF000000"/>
        <rFont val="Calibri"/>
      </rPr>
      <t>Change the mode of the "/boot/grub/menu.lst" file to "0600":</t>
    </r>
    <r>
      <rPr>
        <sz val="11"/>
        <color rgb="FF000000"/>
        <rFont val="Calibri"/>
      </rPr>
      <t xml:space="preserve">
</t>
    </r>
    <r>
      <rPr>
        <sz val="11"/>
        <color rgb="FF000000"/>
        <rFont val="Calibri"/>
      </rPr>
      <t># chmod 0600 /boot/grub/menu.lst</t>
    </r>
  </si>
  <si>
    <r>
      <rPr>
        <sz val="11"/>
        <color rgb="FF000000"/>
        <rFont val="Calibri"/>
      </rPr>
      <t>File permissions more permissive than 0600 on boot loader configuration files could allow an unauthorized user to view or modify sensitive information pertaining to system boot instructions.</t>
    </r>
  </si>
  <si>
    <r>
      <rPr>
        <sz val="11"/>
        <color rgb="FF000000"/>
        <rFont val="Calibri"/>
      </rPr>
      <t>Check the /boot/grub/menu.lst file:</t>
    </r>
    <r>
      <rPr>
        <sz val="11"/>
        <color rgb="FF000000"/>
        <rFont val="Calibri"/>
      </rPr>
      <t xml:space="preserve">
</t>
    </r>
    <r>
      <rPr>
        <sz val="11"/>
        <color rgb="FF000000"/>
        <rFont val="Calibri"/>
      </rPr>
      <t># stat /boot/grub/menu.lst</t>
    </r>
    <r>
      <rPr>
        <sz val="11"/>
        <color rgb="FF000000"/>
        <rFont val="Calibri"/>
      </rPr>
      <t xml:space="preserve">
</t>
    </r>
    <r>
      <rPr>
        <sz val="11"/>
        <color rgb="FF000000"/>
        <rFont val="Calibri"/>
      </rPr>
      <t>If "/boot/grub/menu.lst" has a mode more permissive than "0600", this is a finding.</t>
    </r>
  </si>
  <si>
    <t>V-88485</t>
  </si>
  <si>
    <r>
      <rPr>
        <sz val="11"/>
        <rFont val="Calibri"/>
      </rPr>
      <t>The SLES for the vRealize boot loader configuration files must be owned by root.</t>
    </r>
  </si>
  <si>
    <r>
      <rPr>
        <sz val="11"/>
        <color rgb="FF000000"/>
        <rFont val="Calibri"/>
      </rPr>
      <t>Change the ownership of the "/boot/grub/menu.lst" file:</t>
    </r>
    <r>
      <rPr>
        <sz val="11"/>
        <color rgb="FF000000"/>
        <rFont val="Calibri"/>
      </rPr>
      <t xml:space="preserve">
</t>
    </r>
    <r>
      <rPr>
        <sz val="11"/>
        <color rgb="FF000000"/>
        <rFont val="Calibri"/>
      </rPr>
      <t># chown root /boot/grub/menu.lst</t>
    </r>
  </si>
  <si>
    <r>
      <rPr>
        <sz val="11"/>
        <color rgb="FF000000"/>
        <rFont val="Calibri"/>
      </rPr>
      <t>The SLES for vRealize’s boot loader configuration files are critical to the integrity of the system and must be protected. Unauthorized modification of these files resulting from improper ownership could compromise the system's boot loader configuration.</t>
    </r>
  </si>
  <si>
    <r>
      <rPr>
        <sz val="11"/>
        <color rgb="FF000000"/>
        <rFont val="Calibri"/>
      </rPr>
      <t>Check "/boot/grub/menu.lst" file ownership:</t>
    </r>
    <r>
      <rPr>
        <sz val="11"/>
        <color rgb="FF000000"/>
        <rFont val="Calibri"/>
      </rPr>
      <t xml:space="preserve">
</t>
    </r>
    <r>
      <rPr>
        <sz val="11"/>
        <color rgb="FF000000"/>
        <rFont val="Calibri"/>
      </rPr>
      <t># stat /boot/grub/menu.lst</t>
    </r>
    <r>
      <rPr>
        <sz val="11"/>
        <color rgb="FF000000"/>
        <rFont val="Calibri"/>
      </rPr>
      <t xml:space="preserve">
</t>
    </r>
    <r>
      <rPr>
        <sz val="11"/>
        <color rgb="FF000000"/>
        <rFont val="Calibri"/>
      </rPr>
      <t>If the owner of the file is not "root", this is a finding.</t>
    </r>
  </si>
  <si>
    <t>V-88487</t>
  </si>
  <si>
    <r>
      <rPr>
        <sz val="11"/>
        <rFont val="Calibri"/>
      </rPr>
      <t>The SLES for the vRealize boot loader configuration file(s) must be group-owned by root, bin, sys, or system.</t>
    </r>
  </si>
  <si>
    <r>
      <rPr>
        <sz val="11"/>
        <color rgb="FF000000"/>
        <rFont val="Calibri"/>
      </rPr>
      <t>Change the group-ownership of the "/boot/grub/menu.lst" file:</t>
    </r>
    <r>
      <rPr>
        <sz val="11"/>
        <color rgb="FF000000"/>
        <rFont val="Calibri"/>
      </rPr>
      <t xml:space="preserve">
</t>
    </r>
    <r>
      <rPr>
        <sz val="11"/>
        <color rgb="FF000000"/>
        <rFont val="Calibri"/>
      </rPr>
      <t># chgrp root /boot/grub/menu.lst</t>
    </r>
  </si>
  <si>
    <r>
      <rPr>
        <sz val="11"/>
        <color rgb="FF000000"/>
        <rFont val="Calibri"/>
      </rPr>
      <t>The SLES for vRealize’s boot loader configuration files are critical to the integrity of the system and must be protected. Unauthorized modifications resulting from improper group ownership may compromise the boot loader configuration.</t>
    </r>
  </si>
  <si>
    <r>
      <rPr>
        <sz val="11"/>
        <color rgb="FF000000"/>
        <rFont val="Calibri"/>
      </rPr>
      <t>Check "/boot/grub/menu.lst" file ownership:</t>
    </r>
    <r>
      <rPr>
        <sz val="11"/>
        <color rgb="FF000000"/>
        <rFont val="Calibri"/>
      </rPr>
      <t xml:space="preserve">
</t>
    </r>
    <r>
      <rPr>
        <sz val="11"/>
        <color rgb="FF000000"/>
        <rFont val="Calibri"/>
      </rPr>
      <t># stat /boot/grub/menu.lst</t>
    </r>
    <r>
      <rPr>
        <sz val="11"/>
        <color rgb="FF000000"/>
        <rFont val="Calibri"/>
      </rPr>
      <t xml:space="preserve">
</t>
    </r>
    <r>
      <rPr>
        <sz val="11"/>
        <color rgb="FF000000"/>
        <rFont val="Calibri"/>
      </rPr>
      <t>If the group-owner of the file is not "root", "bin", "sys", or "system", this is a finding.</t>
    </r>
  </si>
  <si>
    <t>V-88489</t>
  </si>
  <si>
    <r>
      <rPr>
        <sz val="11"/>
        <rFont val="Calibri"/>
      </rPr>
      <t>The Bluetooth protocol handler must be disabled or not installed.</t>
    </r>
  </si>
  <si>
    <r>
      <rPr>
        <sz val="11"/>
        <color rgb="FF000000"/>
        <rFont val="Calibri"/>
      </rPr>
      <t>Prevent the Bluetooth protocol handler for dynamic loading:</t>
    </r>
    <r>
      <rPr>
        <sz val="11"/>
        <color rgb="FF000000"/>
        <rFont val="Calibri"/>
      </rPr>
      <t xml:space="preserve">
</t>
    </r>
    <r>
      <rPr>
        <sz val="11"/>
        <color rgb="FF000000"/>
        <rFont val="Calibri"/>
      </rPr>
      <t># echo "install bluetooth /bin/true" &gt;&gt; /etc/modprobe.conf.local</t>
    </r>
  </si>
  <si>
    <r>
      <rPr>
        <sz val="11"/>
        <color rgb="FF000000"/>
        <rFont val="Calibri"/>
      </rPr>
      <t>Bluetooth is a personal area network (PAN) technology. Binding this protocol to the network stack increases the attack surface of the host. Unprivileged local processes may be able to cause the kernel to dynamically load a protocol handler by opening a socket using the protocol.</t>
    </r>
  </si>
  <si>
    <r>
      <rPr>
        <sz val="11"/>
        <color rgb="FF000000"/>
        <rFont val="Calibri"/>
      </rPr>
      <t>Verify the Bluetooth protocol handler is prevented from dynamic loading:</t>
    </r>
    <r>
      <rPr>
        <sz val="11"/>
        <color rgb="FF000000"/>
        <rFont val="Calibri"/>
      </rPr>
      <t xml:space="preserve">
</t>
    </r>
    <r>
      <rPr>
        <sz val="11"/>
        <color rgb="FF000000"/>
        <rFont val="Calibri"/>
      </rPr>
      <t># grep "install bluetooth /bin/true" /etc/modprobe.conf /etc/modprobe.conf.local /etc/modprobe.d/*</t>
    </r>
    <r>
      <rPr>
        <sz val="11"/>
        <color rgb="FF000000"/>
        <rFont val="Calibri"/>
      </rPr>
      <t xml:space="preserve">
</t>
    </r>
    <r>
      <rPr>
        <sz val="11"/>
        <color rgb="FF000000"/>
        <rFont val="Calibri"/>
      </rPr>
      <t>If no result is returned, this is a finding.</t>
    </r>
  </si>
  <si>
    <t>V-88491</t>
  </si>
  <si>
    <r>
      <rPr>
        <sz val="11"/>
        <rFont val="Calibri"/>
      </rPr>
      <t>The SLES for vRealize must have USB Mass Storage disabled unless needed.</t>
    </r>
  </si>
  <si>
    <r>
      <rPr>
        <sz val="11"/>
        <color rgb="FF000000"/>
        <rFont val="Calibri"/>
      </rPr>
      <t>Prevent the "usb-storage" module from loading:</t>
    </r>
    <r>
      <rPr>
        <sz val="11"/>
        <color rgb="FF000000"/>
        <rFont val="Calibri"/>
      </rPr>
      <t xml:space="preserve">
</t>
    </r>
    <r>
      <rPr>
        <sz val="11"/>
        <color rgb="FF000000"/>
        <rFont val="Calibri"/>
      </rPr>
      <t># echo "install usb-storage /bin/true" &gt;&gt; /etc/modprobe.conf.local</t>
    </r>
  </si>
  <si>
    <r>
      <rPr>
        <sz val="11"/>
        <color rgb="FF000000"/>
        <rFont val="Calibri"/>
      </rPr>
      <t>USB is a common computer peripheral interface. USB devices may include storage devices that could be used to install malicious software on a system or exfiltrate data.</t>
    </r>
  </si>
  <si>
    <r>
      <rPr>
        <sz val="11"/>
        <color rgb="FF000000"/>
        <rFont val="Calibri"/>
      </rPr>
      <t>If SLES for vRealize needs USB storage, this vulnerability is not applicable.</t>
    </r>
    <r>
      <rPr>
        <sz val="11"/>
        <color rgb="FF000000"/>
        <rFont val="Calibri"/>
      </rPr>
      <t xml:space="preserve">
</t>
    </r>
    <r>
      <rPr>
        <sz val="11"/>
        <color rgb="FF000000"/>
        <rFont val="Calibri"/>
      </rPr>
      <t>Check if the "usb-storage" module is prevented from loading:</t>
    </r>
    <r>
      <rPr>
        <sz val="11"/>
        <color rgb="FF000000"/>
        <rFont val="Calibri"/>
      </rPr>
      <t xml:space="preserve">
</t>
    </r>
    <r>
      <rPr>
        <sz val="11"/>
        <color rgb="FF000000"/>
        <rFont val="Calibri"/>
      </rPr>
      <t># grep "install usb-storage /bin/true" /etc/modprobe.conf /etc/modprobe.conf.local /etc/modprobe.d/*</t>
    </r>
    <r>
      <rPr>
        <sz val="11"/>
        <color rgb="FF000000"/>
        <rFont val="Calibri"/>
      </rPr>
      <t xml:space="preserve">
</t>
    </r>
    <r>
      <rPr>
        <sz val="11"/>
        <color rgb="FF000000"/>
        <rFont val="Calibri"/>
      </rPr>
      <t>If no results are returned, this is a finding.</t>
    </r>
  </si>
  <si>
    <t>V-88493</t>
  </si>
  <si>
    <r>
      <rPr>
        <sz val="11"/>
        <rFont val="Calibri"/>
      </rPr>
      <t>The SLES for vRealize must have USB disabled unless needed.</t>
    </r>
  </si>
  <si>
    <r>
      <rPr>
        <sz val="11"/>
        <color rgb="FF000000"/>
        <rFont val="Calibri"/>
      </rPr>
      <t>Edit the grub bootloader file, "/boot/grub/menu.lst" file, by appending the "nousb" parameter to the kernel boot line.</t>
    </r>
  </si>
  <si>
    <r>
      <rPr>
        <sz val="11"/>
        <color rgb="FF000000"/>
        <rFont val="Calibri"/>
      </rPr>
      <t>If SLES for vRealize needs USB, this vulnerability is not applicable.</t>
    </r>
    <r>
      <rPr>
        <sz val="11"/>
        <color rgb="FF000000"/>
        <rFont val="Calibri"/>
      </rPr>
      <t xml:space="preserve">
</t>
    </r>
    <r>
      <rPr>
        <sz val="11"/>
        <color rgb="FF000000"/>
        <rFont val="Calibri"/>
      </rPr>
      <t xml:space="preserve">Check if the directory "/proc/bus/usb exists". </t>
    </r>
    <r>
      <rPr>
        <sz val="11"/>
        <color rgb="FF000000"/>
        <rFont val="Calibri"/>
      </rPr>
      <t xml:space="preserve">
</t>
    </r>
    <r>
      <rPr>
        <sz val="11"/>
        <color rgb="FF000000"/>
        <rFont val="Calibri"/>
      </rPr>
      <t>If the directory "/proc/bus/usb exists", this is a finding.</t>
    </r>
  </si>
  <si>
    <t>V-88495</t>
  </si>
  <si>
    <r>
      <rPr>
        <sz val="11"/>
        <rFont val="Calibri"/>
      </rPr>
      <t>The telnet-server package must not be installed.</t>
    </r>
  </si>
  <si>
    <r>
      <rPr>
        <sz val="11"/>
        <color rgb="FF000000"/>
        <rFont val="Calibri"/>
      </rPr>
      <t>To remove the "telnet-server" package use the following command:</t>
    </r>
    <r>
      <rPr>
        <sz val="11"/>
        <color rgb="FF000000"/>
        <rFont val="Calibri"/>
      </rPr>
      <t xml:space="preserve">
</t>
    </r>
    <r>
      <rPr>
        <sz val="11"/>
        <color rgb="FF000000"/>
        <rFont val="Calibri"/>
      </rPr>
      <t>rpm -e telnet-server</t>
    </r>
  </si>
  <si>
    <r>
      <rPr>
        <sz val="11"/>
        <color rgb="FF000000"/>
        <rFont val="Calibri"/>
      </rPr>
      <t>Removing the "telnet-server" package decreases the risk of the unencrypted telnet service's accidental (or intentional) activation.</t>
    </r>
  </si>
  <si>
    <r>
      <rPr>
        <sz val="11"/>
        <color rgb="FF000000"/>
        <rFont val="Calibri"/>
      </rPr>
      <t>Check if "telnet-server" package is installed:</t>
    </r>
    <r>
      <rPr>
        <sz val="11"/>
        <color rgb="FF000000"/>
        <rFont val="Calibri"/>
      </rPr>
      <t xml:space="preserve">
</t>
    </r>
    <r>
      <rPr>
        <sz val="11"/>
        <color rgb="FF000000"/>
        <rFont val="Calibri"/>
      </rPr>
      <t># rpm -q telnet-server</t>
    </r>
    <r>
      <rPr>
        <sz val="11"/>
        <color rgb="FF000000"/>
        <rFont val="Calibri"/>
      </rPr>
      <t xml:space="preserve">
</t>
    </r>
    <r>
      <rPr>
        <sz val="11"/>
        <color rgb="FF000000"/>
        <rFont val="Calibri"/>
      </rPr>
      <t>If there is a "telnet-server" package listed, this is a finding.</t>
    </r>
  </si>
  <si>
    <t>V-88497</t>
  </si>
  <si>
    <r>
      <rPr>
        <sz val="11"/>
        <rFont val="Calibri"/>
      </rPr>
      <t>The rsh-server package must not be installed.</t>
    </r>
  </si>
  <si>
    <r>
      <rPr>
        <sz val="11"/>
        <color rgb="FF000000"/>
        <rFont val="Calibri"/>
      </rPr>
      <t>To remove the "telnet-server" package use the following command:</t>
    </r>
    <r>
      <rPr>
        <sz val="11"/>
        <color rgb="FF000000"/>
        <rFont val="Calibri"/>
      </rPr>
      <t xml:space="preserve">
</t>
    </r>
    <r>
      <rPr>
        <sz val="11"/>
        <color rgb="FF000000"/>
        <rFont val="Calibri"/>
      </rPr>
      <t>rpm -e rsh-server</t>
    </r>
  </si>
  <si>
    <r>
      <rPr>
        <sz val="11"/>
        <color rgb="FF000000"/>
        <rFont val="Calibri"/>
      </rPr>
      <t>The "rsh-server" package provides several obsolete and insecure network services. Removing it decreases the risk of those services' accidental (or intentional) activation.</t>
    </r>
  </si>
  <si>
    <r>
      <rPr>
        <sz val="11"/>
        <color rgb="FF000000"/>
        <rFont val="Calibri"/>
      </rPr>
      <t>Check if "rsh-server" package is installed:</t>
    </r>
    <r>
      <rPr>
        <sz val="11"/>
        <color rgb="FF000000"/>
        <rFont val="Calibri"/>
      </rPr>
      <t xml:space="preserve">
</t>
    </r>
    <r>
      <rPr>
        <sz val="11"/>
        <color rgb="FF000000"/>
        <rFont val="Calibri"/>
      </rPr>
      <t># rpm -q rsh-server</t>
    </r>
    <r>
      <rPr>
        <sz val="11"/>
        <color rgb="FF000000"/>
        <rFont val="Calibri"/>
      </rPr>
      <t xml:space="preserve">
</t>
    </r>
    <r>
      <rPr>
        <sz val="11"/>
        <color rgb="FF000000"/>
        <rFont val="Calibri"/>
      </rPr>
      <t>If there is a "rsh-server" package listed, this is a finding.</t>
    </r>
  </si>
  <si>
    <t>V-88499</t>
  </si>
  <si>
    <r>
      <rPr>
        <sz val="11"/>
        <rFont val="Calibri"/>
      </rPr>
      <t>The ypserv package must not be installed.</t>
    </r>
  </si>
  <si>
    <r>
      <rPr>
        <sz val="11"/>
        <color rgb="FF000000"/>
        <rFont val="Calibri"/>
      </rPr>
      <t>To remove the "ypserv" package use the following command:</t>
    </r>
    <r>
      <rPr>
        <sz val="11"/>
        <color rgb="FF000000"/>
        <rFont val="Calibri"/>
      </rPr>
      <t xml:space="preserve">
</t>
    </r>
    <r>
      <rPr>
        <sz val="11"/>
        <color rgb="FF000000"/>
        <rFont val="Calibri"/>
      </rPr>
      <t>rpm -e ypserv</t>
    </r>
  </si>
  <si>
    <r>
      <rPr>
        <sz val="11"/>
        <color rgb="FF000000"/>
        <rFont val="Calibri"/>
      </rPr>
      <t>Removing the "ypserv" package decreases the risk of the accidental (or intentional) activation of NIS or NIS+ services.</t>
    </r>
  </si>
  <si>
    <r>
      <rPr>
        <sz val="11"/>
        <color rgb="FF000000"/>
        <rFont val="Calibri"/>
      </rPr>
      <t>Check if "ypserv" package is installed:</t>
    </r>
    <r>
      <rPr>
        <sz val="11"/>
        <color rgb="FF000000"/>
        <rFont val="Calibri"/>
      </rPr>
      <t xml:space="preserve">
</t>
    </r>
    <r>
      <rPr>
        <sz val="11"/>
        <color rgb="FF000000"/>
        <rFont val="Calibri"/>
      </rPr>
      <t># rpm -q ypserv</t>
    </r>
    <r>
      <rPr>
        <sz val="11"/>
        <color rgb="FF000000"/>
        <rFont val="Calibri"/>
      </rPr>
      <t xml:space="preserve">
</t>
    </r>
    <r>
      <rPr>
        <sz val="11"/>
        <color rgb="FF000000"/>
        <rFont val="Calibri"/>
      </rPr>
      <t>If there is a "ypserv" package listed, this is a finding.</t>
    </r>
  </si>
  <si>
    <t>V-88501</t>
  </si>
  <si>
    <r>
      <rPr>
        <sz val="11"/>
        <rFont val="Calibri"/>
      </rPr>
      <t>The yast2-tftp-server package must not be installed.</t>
    </r>
  </si>
  <si>
    <r>
      <rPr>
        <sz val="11"/>
        <color rgb="FF000000"/>
        <rFont val="Calibri"/>
      </rPr>
      <t>To remove the "yast2-tftp-server" package use the following command:</t>
    </r>
    <r>
      <rPr>
        <sz val="11"/>
        <color rgb="FF000000"/>
        <rFont val="Calibri"/>
      </rPr>
      <t xml:space="preserve">
</t>
    </r>
    <r>
      <rPr>
        <sz val="11"/>
        <color rgb="FF000000"/>
        <rFont val="Calibri"/>
      </rPr>
      <t>rpm -e yast2-tftp-server</t>
    </r>
  </si>
  <si>
    <r>
      <rPr>
        <sz val="11"/>
        <color rgb="FF000000"/>
        <rFont val="Calibri"/>
      </rPr>
      <t>Removing the "yast2-tftp-server" package decreases the risk of the accidental (or intentional) activation of tftp services.</t>
    </r>
  </si>
  <si>
    <r>
      <rPr>
        <sz val="11"/>
        <color rgb="FF000000"/>
        <rFont val="Calibri"/>
      </rPr>
      <t>Check if "yast2-tftp-server" package is installed:</t>
    </r>
    <r>
      <rPr>
        <sz val="11"/>
        <color rgb="FF000000"/>
        <rFont val="Calibri"/>
      </rPr>
      <t xml:space="preserve">
</t>
    </r>
    <r>
      <rPr>
        <sz val="11"/>
        <color rgb="FF000000"/>
        <rFont val="Calibri"/>
      </rPr>
      <t># rpm -q yast2-tftp-server</t>
    </r>
    <r>
      <rPr>
        <sz val="11"/>
        <color rgb="FF000000"/>
        <rFont val="Calibri"/>
      </rPr>
      <t xml:space="preserve">
</t>
    </r>
    <r>
      <rPr>
        <sz val="11"/>
        <color rgb="FF000000"/>
        <rFont val="Calibri"/>
      </rPr>
      <t>If there is a "yast2-tftp-server" package listed, this is a finding.</t>
    </r>
  </si>
  <si>
    <t>V-88503</t>
  </si>
  <si>
    <r>
      <rPr>
        <sz val="11"/>
        <rFont val="Calibri"/>
      </rPr>
      <t>The Datagram Congestion Control Protocol (DCCP) must be disabled unless required.</t>
    </r>
  </si>
  <si>
    <r>
      <rPr>
        <sz val="11"/>
        <color rgb="FF000000"/>
        <rFont val="Calibri"/>
      </rPr>
      <t>Prevent the DCCP protocol handler for dynamic loading:</t>
    </r>
    <r>
      <rPr>
        <sz val="11"/>
        <color rgb="FF000000"/>
        <rFont val="Calibri"/>
      </rPr>
      <t xml:space="preserve">
</t>
    </r>
    <r>
      <rPr>
        <sz val="11"/>
        <color rgb="FF000000"/>
        <rFont val="Calibri"/>
      </rPr>
      <t># echo "install dccp /bin/true" &gt;&gt; /etc/modprobe.conf.local</t>
    </r>
    <r>
      <rPr>
        <sz val="11"/>
        <color rgb="FF000000"/>
        <rFont val="Calibri"/>
      </rPr>
      <t xml:space="preserve">
</t>
    </r>
    <r>
      <rPr>
        <sz val="11"/>
        <color rgb="FF000000"/>
        <rFont val="Calibri"/>
      </rPr>
      <t># echo "install dccp_ipv4 /bin/true" &gt;&gt; /etc/modprobe.conf.local</t>
    </r>
    <r>
      <rPr>
        <sz val="11"/>
        <color rgb="FF000000"/>
        <rFont val="Calibri"/>
      </rPr>
      <t xml:space="preserve">
</t>
    </r>
    <r>
      <rPr>
        <sz val="11"/>
        <color rgb="FF000000"/>
        <rFont val="Calibri"/>
      </rPr>
      <t># echo "install dccp_ipv6 /bin/true" &gt;&gt; /etc/modprobe.conf.local</t>
    </r>
  </si>
  <si>
    <r>
      <rPr>
        <sz val="11"/>
        <color rgb="FF000000"/>
        <rFont val="Calibri"/>
      </rPr>
      <t>The Datagram Congestion Control Protocol (DCCP) is a proposed transport layer protocol. This protocol is not yet widely used. Binding this protocol to the network stack increases the attack surface of the host. Unprivileged local processes may be able to cause the kernel to dynamically load a protocol handler by opening a socket using the protocol.</t>
    </r>
  </si>
  <si>
    <r>
      <rPr>
        <sz val="11"/>
        <color rgb="FF000000"/>
        <rFont val="Calibri"/>
      </rPr>
      <t>Check that the DCCP protocol handler is prevented from dynamic loading:</t>
    </r>
    <r>
      <rPr>
        <sz val="11"/>
        <color rgb="FF000000"/>
        <rFont val="Calibri"/>
      </rPr>
      <t xml:space="preserve">
</t>
    </r>
    <r>
      <rPr>
        <sz val="11"/>
        <color rgb="FF000000"/>
        <rFont val="Calibri"/>
      </rPr>
      <t xml:space="preserve"># grep "install dccp /bin/true" /etc/modprobe.conf /etc/modprobe.conf.local /etc/modprobe.d/* </t>
    </r>
    <r>
      <rPr>
        <sz val="11"/>
        <color rgb="FF000000"/>
        <rFont val="Calibri"/>
      </rPr>
      <t xml:space="preserve">
</t>
    </r>
    <r>
      <rPr>
        <sz val="11"/>
        <color rgb="FF000000"/>
        <rFont val="Calibri"/>
      </rPr>
      <t>If no result is returned, this is a finding.</t>
    </r>
    <r>
      <rPr>
        <sz val="11"/>
        <color rgb="FF000000"/>
        <rFont val="Calibri"/>
      </rPr>
      <t xml:space="preserve">
</t>
    </r>
    <r>
      <rPr>
        <sz val="11"/>
        <color rgb="FF000000"/>
        <rFont val="Calibri"/>
      </rPr>
      <t xml:space="preserve"># grep "install dccp_ipv4 /bin/true" /etc/modprobe.conf /etc/modprobe.conf.local /etc/modprobe.d/* </t>
    </r>
    <r>
      <rPr>
        <sz val="11"/>
        <color rgb="FF000000"/>
        <rFont val="Calibri"/>
      </rPr>
      <t xml:space="preserve">
</t>
    </r>
    <r>
      <rPr>
        <sz val="11"/>
        <color rgb="FF000000"/>
        <rFont val="Calibri"/>
      </rPr>
      <t>If no result is returned, this is a finding.</t>
    </r>
    <r>
      <rPr>
        <sz val="11"/>
        <color rgb="FF000000"/>
        <rFont val="Calibri"/>
      </rPr>
      <t xml:space="preserve">
</t>
    </r>
    <r>
      <rPr>
        <sz val="11"/>
        <color rgb="FF000000"/>
        <rFont val="Calibri"/>
      </rPr>
      <t># grep "install dccp_ipv6" /etc/modprobe.conf /etc/modprobe.conf.local /etc/modprobe.d/* | grep ‘bin/true’</t>
    </r>
    <r>
      <rPr>
        <sz val="11"/>
        <color rgb="FF000000"/>
        <rFont val="Calibri"/>
      </rPr>
      <t xml:space="preserve">
</t>
    </r>
    <r>
      <rPr>
        <sz val="11"/>
        <color rgb="FF000000"/>
        <rFont val="Calibri"/>
      </rPr>
      <t>If no result is returned, this is a finding.</t>
    </r>
  </si>
  <si>
    <t>V-88505</t>
  </si>
  <si>
    <r>
      <rPr>
        <sz val="11"/>
        <rFont val="Calibri"/>
      </rPr>
      <t>The Stream Control Transmission Protocol (SCTP) must be disabled unless required.</t>
    </r>
  </si>
  <si>
    <r>
      <rPr>
        <sz val="11"/>
        <color rgb="FF000000"/>
        <rFont val="Calibri"/>
      </rPr>
      <t>Prevent the SCTP protocol handler from dynamic loading:</t>
    </r>
    <r>
      <rPr>
        <sz val="11"/>
        <color rgb="FF000000"/>
        <rFont val="Calibri"/>
      </rPr>
      <t xml:space="preserve">
</t>
    </r>
    <r>
      <rPr>
        <sz val="11"/>
        <color rgb="FF000000"/>
        <rFont val="Calibri"/>
      </rPr>
      <t># echo "install sctp /bin/true" &gt;&gt; /etc/modprobe.conf.local</t>
    </r>
  </si>
  <si>
    <r>
      <rPr>
        <sz val="11"/>
        <color rgb="FF000000"/>
        <rFont val="Calibri"/>
      </rPr>
      <t>The Stream Control Transmission Protocol (SCTP) is an IETF-standardized transport layer protocol. This protocol is not yet widely used. Binding this protocol to the network stack increases the attack surface of the host. Unprivileged local processes may be able to cause the kernel to dynamically load a protocol handler by opening a socket using the protocol.</t>
    </r>
  </si>
  <si>
    <r>
      <rPr>
        <sz val="11"/>
        <color rgb="FF000000"/>
        <rFont val="Calibri"/>
      </rPr>
      <t>Verify the SCTP protocol handler is prevented from dynamic loading:</t>
    </r>
    <r>
      <rPr>
        <sz val="11"/>
        <color rgb="FF000000"/>
        <rFont val="Calibri"/>
      </rPr>
      <t xml:space="preserve">
</t>
    </r>
    <r>
      <rPr>
        <sz val="11"/>
        <color rgb="FF000000"/>
        <rFont val="Calibri"/>
      </rPr>
      <t># grep "install sctp /bin/true" /etc/modprobe.conf /etc/modprobe.conf.local /etc/modprobe.d/*</t>
    </r>
    <r>
      <rPr>
        <sz val="11"/>
        <color rgb="FF000000"/>
        <rFont val="Calibri"/>
      </rPr>
      <t xml:space="preserve">
</t>
    </r>
    <r>
      <rPr>
        <sz val="11"/>
        <color rgb="FF000000"/>
        <rFont val="Calibri"/>
      </rPr>
      <t>If no result is returned, this is a finding.</t>
    </r>
  </si>
  <si>
    <t>V-88507</t>
  </si>
  <si>
    <r>
      <rPr>
        <sz val="11"/>
        <rFont val="Calibri"/>
      </rPr>
      <t>The Reliable Datagram Sockets (RDS) protocol must be disabled or not installed unless required.</t>
    </r>
  </si>
  <si>
    <r>
      <rPr>
        <sz val="11"/>
        <color rgb="FF000000"/>
        <rFont val="Calibri"/>
      </rPr>
      <t>Prevent the RDS protocol handler from dynamic loading:</t>
    </r>
    <r>
      <rPr>
        <sz val="11"/>
        <color rgb="FF000000"/>
        <rFont val="Calibri"/>
      </rPr>
      <t xml:space="preserve">
</t>
    </r>
    <r>
      <rPr>
        <sz val="11"/>
        <color rgb="FF000000"/>
        <rFont val="Calibri"/>
      </rPr>
      <t># echo "install rds /bin/true" &gt;&gt; /etc/modprobe.conf.local</t>
    </r>
  </si>
  <si>
    <r>
      <rPr>
        <sz val="11"/>
        <color rgb="FF000000"/>
        <rFont val="Calibri"/>
      </rPr>
      <t>The Reliable Datagram Sockets (RDS) protocol is a relatively new protocol developed by Oracle for communication between the nodes of a cluster. Binding this protocol to the network stack increases the attack surface of the host. Unprivileged local processes may be able to cause the system to dynamically load a protocol handler by opening a socket using the protocol.</t>
    </r>
  </si>
  <si>
    <r>
      <rPr>
        <sz val="11"/>
        <color rgb="FF000000"/>
        <rFont val="Calibri"/>
      </rPr>
      <t>Ask the SA if RDS is required by application software running on the system. If so, this is not applicable.</t>
    </r>
    <r>
      <rPr>
        <sz val="11"/>
        <color rgb="FF000000"/>
        <rFont val="Calibri"/>
      </rPr>
      <t xml:space="preserve">
</t>
    </r>
    <r>
      <rPr>
        <sz val="11"/>
        <color rgb="FF000000"/>
        <rFont val="Calibri"/>
      </rPr>
      <t>Check that the RDS protocol handler is prevented from dynamic loading:</t>
    </r>
    <r>
      <rPr>
        <sz val="11"/>
        <color rgb="FF000000"/>
        <rFont val="Calibri"/>
      </rPr>
      <t xml:space="preserve">
</t>
    </r>
    <r>
      <rPr>
        <sz val="11"/>
        <color rgb="FF000000"/>
        <rFont val="Calibri"/>
      </rPr>
      <t># grep "install rds /bin/true" /etc/modprobe.conf /etc/modprobe.conf.local /etc/modprobe.d/*</t>
    </r>
    <r>
      <rPr>
        <sz val="11"/>
        <color rgb="FF000000"/>
        <rFont val="Calibri"/>
      </rPr>
      <t xml:space="preserve">
</t>
    </r>
    <r>
      <rPr>
        <sz val="11"/>
        <color rgb="FF000000"/>
        <rFont val="Calibri"/>
      </rPr>
      <t>If no result is returned, this is a finding.</t>
    </r>
  </si>
  <si>
    <t>V-88509</t>
  </si>
  <si>
    <r>
      <rPr>
        <sz val="11"/>
        <rFont val="Calibri"/>
      </rPr>
      <t>The Transparent Inter-Process Communication (TIPC) must be disabled or not installed.</t>
    </r>
  </si>
  <si>
    <r>
      <rPr>
        <sz val="11"/>
        <color rgb="FF000000"/>
        <rFont val="Calibri"/>
      </rPr>
      <t>Prevent the TIPC protocol handler from dynamic loading:</t>
    </r>
    <r>
      <rPr>
        <sz val="11"/>
        <color rgb="FF000000"/>
        <rFont val="Calibri"/>
      </rPr>
      <t xml:space="preserve">
</t>
    </r>
    <r>
      <rPr>
        <sz val="11"/>
        <color rgb="FF000000"/>
        <rFont val="Calibri"/>
      </rPr>
      <t># echo "install tipc /bin/true" &gt;&gt; /etc/modprobe.conf.local</t>
    </r>
  </si>
  <si>
    <r>
      <rPr>
        <sz val="11"/>
        <color rgb="FF000000"/>
        <rFont val="Calibri"/>
      </rPr>
      <t>The Transparent Inter-Process Communication (TIPC) protocol is a relatively new cluster communications protocol developed by Ericsson. Binding this protocol to the network stack increases the attack surface of the host. Unprivileged local processes may be able to cause the kernel to dynamically load a protocol handler by opening a socket using the protocol.</t>
    </r>
  </si>
  <si>
    <r>
      <rPr>
        <sz val="11"/>
        <color rgb="FF000000"/>
        <rFont val="Calibri"/>
      </rPr>
      <t>Verify the TIPC protocol handler is prevented from dynamic loading:</t>
    </r>
    <r>
      <rPr>
        <sz val="11"/>
        <color rgb="FF000000"/>
        <rFont val="Calibri"/>
      </rPr>
      <t xml:space="preserve">
</t>
    </r>
    <r>
      <rPr>
        <sz val="11"/>
        <color rgb="FF000000"/>
        <rFont val="Calibri"/>
      </rPr>
      <t xml:space="preserve"># grep "install tipc /bin/true" /etc/modprobe.conf /etc/modprobe.conf.local /etc/modprobe.d/* </t>
    </r>
    <r>
      <rPr>
        <sz val="11"/>
        <color rgb="FF000000"/>
        <rFont val="Calibri"/>
      </rPr>
      <t xml:space="preserve">
</t>
    </r>
    <r>
      <rPr>
        <sz val="11"/>
        <color rgb="FF000000"/>
        <rFont val="Calibri"/>
      </rPr>
      <t>If no result is returned, this is a finding.</t>
    </r>
  </si>
  <si>
    <t>V-88511</t>
  </si>
  <si>
    <r>
      <rPr>
        <sz val="11"/>
        <rFont val="Calibri"/>
      </rPr>
      <t>The xinetd service must be disabled if no network services utilizing it are enabled.</t>
    </r>
  </si>
  <si>
    <r>
      <rPr>
        <sz val="11"/>
        <color rgb="FF000000"/>
        <rFont val="Calibri"/>
      </rPr>
      <t xml:space="preserve">The "xinetd" service can be disabled with the following command: </t>
    </r>
    <r>
      <rPr>
        <sz val="11"/>
        <color rgb="FF000000"/>
        <rFont val="Calibri"/>
      </rPr>
      <t xml:space="preserve">
</t>
    </r>
    <r>
      <rPr>
        <sz val="11"/>
        <color rgb="FF000000"/>
        <rFont val="Calibri"/>
      </rPr>
      <t># chkconfig xinetd off</t>
    </r>
  </si>
  <si>
    <r>
      <rPr>
        <sz val="11"/>
        <color rgb="FF000000"/>
        <rFont val="Calibri"/>
      </rPr>
      <t>The xinetd service provides a dedicated listener service for some programs, which is no longer necessary for commonly-used network services. Disabling it ensures that these uncommon services are not running, and also prevents attacks against xinetd itself.</t>
    </r>
  </si>
  <si>
    <r>
      <rPr>
        <sz val="11"/>
        <color rgb="FF000000"/>
        <rFont val="Calibri"/>
      </rPr>
      <t>If network services are using the "xinetd" service, this is not applicable.</t>
    </r>
    <r>
      <rPr>
        <sz val="11"/>
        <color rgb="FF000000"/>
        <rFont val="Calibri"/>
      </rPr>
      <t xml:space="preserve">
</t>
    </r>
    <r>
      <rPr>
        <sz val="11"/>
        <color rgb="FF000000"/>
        <rFont val="Calibri"/>
      </rPr>
      <t xml:space="preserve">To check that the "xinetd" service is disabled in system boot configuration, run the following command: </t>
    </r>
    <r>
      <rPr>
        <sz val="11"/>
        <color rgb="FF000000"/>
        <rFont val="Calibri"/>
      </rPr>
      <t xml:space="preserve">
</t>
    </r>
    <r>
      <rPr>
        <sz val="11"/>
        <color rgb="FF000000"/>
        <rFont val="Calibri"/>
      </rPr>
      <t># chkconfig "xinetd" --list</t>
    </r>
    <r>
      <rPr>
        <sz val="11"/>
        <color rgb="FF000000"/>
        <rFont val="Calibri"/>
      </rPr>
      <t xml:space="preserve">
</t>
    </r>
    <r>
      <rPr>
        <sz val="11"/>
        <color rgb="FF000000"/>
        <rFont val="Calibri"/>
      </rPr>
      <t xml:space="preserve">Output should indicate the "xinetd" service has either not been installed, or has been disabled at all run levels, as shown in the example below: </t>
    </r>
    <r>
      <rPr>
        <sz val="11"/>
        <color rgb="FF000000"/>
        <rFont val="Calibri"/>
      </rPr>
      <t xml:space="preserve">
</t>
    </r>
    <r>
      <rPr>
        <sz val="11"/>
        <color rgb="FF000000"/>
        <rFont val="Calibri"/>
      </rPr>
      <t>xinetd 0:off 1:off 2:off 3:off 4:off 5:off 6:off</t>
    </r>
    <r>
      <rPr>
        <sz val="11"/>
        <color rgb="FF000000"/>
        <rFont val="Calibri"/>
      </rPr>
      <t xml:space="preserve">
</t>
    </r>
    <r>
      <rPr>
        <sz val="11"/>
        <color rgb="FF000000"/>
        <rFont val="Calibri"/>
      </rPr>
      <t xml:space="preserve">Run the following command to verify "xinetd" is disabled through current runtime configuration: </t>
    </r>
    <r>
      <rPr>
        <sz val="11"/>
        <color rgb="FF000000"/>
        <rFont val="Calibri"/>
      </rPr>
      <t xml:space="preserve">
</t>
    </r>
    <r>
      <rPr>
        <sz val="11"/>
        <color rgb="FF000000"/>
        <rFont val="Calibri"/>
      </rPr>
      <t># service xinetd status</t>
    </r>
    <r>
      <rPr>
        <sz val="11"/>
        <color rgb="FF000000"/>
        <rFont val="Calibri"/>
      </rPr>
      <t xml:space="preserve">
</t>
    </r>
    <r>
      <rPr>
        <sz val="11"/>
        <color rgb="FF000000"/>
        <rFont val="Calibri"/>
      </rPr>
      <t xml:space="preserve">If the "xinetd" service is disabled the command will return the following output: </t>
    </r>
    <r>
      <rPr>
        <sz val="11"/>
        <color rgb="FF000000"/>
        <rFont val="Calibri"/>
      </rPr>
      <t xml:space="preserve">
</t>
    </r>
    <r>
      <rPr>
        <sz val="11"/>
        <color rgb="FF000000"/>
        <rFont val="Calibri"/>
      </rPr>
      <t>Checking for service xinetd: unused</t>
    </r>
    <r>
      <rPr>
        <sz val="11"/>
        <color rgb="FF000000"/>
        <rFont val="Calibri"/>
      </rPr>
      <t xml:space="preserve">
</t>
    </r>
    <r>
      <rPr>
        <sz val="11"/>
        <color rgb="FF000000"/>
        <rFont val="Calibri"/>
      </rPr>
      <t>If the "xinetd" service is running, this is a finding.</t>
    </r>
  </si>
  <si>
    <t>V-88513</t>
  </si>
  <si>
    <r>
      <rPr>
        <sz val="11"/>
        <rFont val="Calibri"/>
      </rPr>
      <t>The ypbind service must not be running if no network services utilizing it are enabled.</t>
    </r>
  </si>
  <si>
    <r>
      <rPr>
        <sz val="11"/>
        <color rgb="FF000000"/>
        <rFont val="Calibri"/>
      </rPr>
      <t xml:space="preserve">The "ypbind" service can be disabled with the following command: </t>
    </r>
    <r>
      <rPr>
        <sz val="11"/>
        <color rgb="FF000000"/>
        <rFont val="Calibri"/>
      </rPr>
      <t xml:space="preserve">
</t>
    </r>
    <r>
      <rPr>
        <sz val="11"/>
        <color rgb="FF000000"/>
        <rFont val="Calibri"/>
      </rPr>
      <t># chkconfig ypbind off</t>
    </r>
  </si>
  <si>
    <r>
      <rPr>
        <sz val="11"/>
        <color rgb="FF000000"/>
        <rFont val="Calibri"/>
      </rPr>
      <t>Disabling the "ypbind" service ensures the SLES for vRealize is not acting as a client in a NIS or NIS+ domain when not required.</t>
    </r>
  </si>
  <si>
    <r>
      <rPr>
        <sz val="11"/>
        <color rgb="FF000000"/>
        <rFont val="Calibri"/>
      </rPr>
      <t>If network services are using the "ypbind" service, this is not applicable.</t>
    </r>
    <r>
      <rPr>
        <sz val="11"/>
        <color rgb="FF000000"/>
        <rFont val="Calibri"/>
      </rPr>
      <t xml:space="preserve">
</t>
    </r>
    <r>
      <rPr>
        <sz val="11"/>
        <color rgb="FF000000"/>
        <rFont val="Calibri"/>
      </rPr>
      <t xml:space="preserve">To check that the "ypbind" service is disabled in system boot configuration, run the following command: </t>
    </r>
    <r>
      <rPr>
        <sz val="11"/>
        <color rgb="FF000000"/>
        <rFont val="Calibri"/>
      </rPr>
      <t xml:space="preserve">
</t>
    </r>
    <r>
      <rPr>
        <sz val="11"/>
        <color rgb="FF000000"/>
        <rFont val="Calibri"/>
      </rPr>
      <t># chkconfig "ypbind" --list</t>
    </r>
    <r>
      <rPr>
        <sz val="11"/>
        <color rgb="FF000000"/>
        <rFont val="Calibri"/>
      </rPr>
      <t xml:space="preserve">
</t>
    </r>
    <r>
      <rPr>
        <sz val="11"/>
        <color rgb="FF000000"/>
        <rFont val="Calibri"/>
      </rPr>
      <t xml:space="preserve">Output should indicate the "ypbind" service has either not been installed, or has been disabled at all runlevels, as shown in the example below: </t>
    </r>
    <r>
      <rPr>
        <sz val="11"/>
        <color rgb="FF000000"/>
        <rFont val="Calibri"/>
      </rPr>
      <t xml:space="preserve">
</t>
    </r>
    <r>
      <rPr>
        <sz val="11"/>
        <color rgb="FF000000"/>
        <rFont val="Calibri"/>
      </rPr>
      <t>ypbind 0:off 1:off 2:off 3:off 4:off 5:off 6:off</t>
    </r>
    <r>
      <rPr>
        <sz val="11"/>
        <color rgb="FF000000"/>
        <rFont val="Calibri"/>
      </rPr>
      <t xml:space="preserve">
</t>
    </r>
    <r>
      <rPr>
        <sz val="11"/>
        <color rgb="FF000000"/>
        <rFont val="Calibri"/>
      </rPr>
      <t xml:space="preserve">Run the following command to verify "ypbind" is disabled through current runtime configuration: </t>
    </r>
    <r>
      <rPr>
        <sz val="11"/>
        <color rgb="FF000000"/>
        <rFont val="Calibri"/>
      </rPr>
      <t xml:space="preserve">
</t>
    </r>
    <r>
      <rPr>
        <sz val="11"/>
        <color rgb="FF000000"/>
        <rFont val="Calibri"/>
      </rPr>
      <t># service ypbind status</t>
    </r>
    <r>
      <rPr>
        <sz val="11"/>
        <color rgb="FF000000"/>
        <rFont val="Calibri"/>
      </rPr>
      <t xml:space="preserve">
</t>
    </r>
    <r>
      <rPr>
        <sz val="11"/>
        <color rgb="FF000000"/>
        <rFont val="Calibri"/>
      </rPr>
      <t xml:space="preserve">If the "ypbind" service is disabled the command will return the following output: </t>
    </r>
    <r>
      <rPr>
        <sz val="11"/>
        <color rgb="FF000000"/>
        <rFont val="Calibri"/>
      </rPr>
      <t xml:space="preserve">
</t>
    </r>
    <r>
      <rPr>
        <sz val="11"/>
        <color rgb="FF000000"/>
        <rFont val="Calibri"/>
      </rPr>
      <t>Checking for service ypbind unused</t>
    </r>
    <r>
      <rPr>
        <sz val="11"/>
        <color rgb="FF000000"/>
        <rFont val="Calibri"/>
      </rPr>
      <t xml:space="preserve">
</t>
    </r>
    <r>
      <rPr>
        <sz val="11"/>
        <color rgb="FF000000"/>
        <rFont val="Calibri"/>
      </rPr>
      <t>If the "ypbind" service is running, this is a finding.</t>
    </r>
  </si>
  <si>
    <t>V-88515</t>
  </si>
  <si>
    <r>
      <rPr>
        <sz val="11"/>
        <rFont val="Calibri"/>
      </rPr>
      <t>NIS/NIS+/yp files must be owned by root, sys, or bin.</t>
    </r>
  </si>
  <si>
    <r>
      <rPr>
        <sz val="11"/>
        <color rgb="FF000000"/>
        <rFont val="Calibri"/>
      </rPr>
      <t>Change the ownership of NIS/NIS+/yp files to "root", "sys", "bin", or "system". Consult vendor documentation to determine the location of the files:</t>
    </r>
    <r>
      <rPr>
        <sz val="11"/>
        <color rgb="FF000000"/>
        <rFont val="Calibri"/>
      </rPr>
      <t xml:space="preserve">
</t>
    </r>
    <r>
      <rPr>
        <sz val="11"/>
        <color rgb="FF000000"/>
        <rFont val="Calibri"/>
      </rPr>
      <t># chown root &lt;filename&gt;</t>
    </r>
  </si>
  <si>
    <r>
      <rPr>
        <sz val="11"/>
        <color rgb="FF000000"/>
        <rFont val="Calibri"/>
      </rPr>
      <t>NIS/NIS+/yp files are part of the system's identification and authentication processes and are, therefore, critical to system security. Failure to give ownership of sensitive files or utilities to root or bin provides the designated owner and unauthorized users with the potential to access sensitive information or change the system configuration, which could weaken the system's security posture.</t>
    </r>
  </si>
  <si>
    <r>
      <rPr>
        <sz val="11"/>
        <color rgb="FF000000"/>
        <rFont val="Calibri"/>
      </rPr>
      <t>Perform the following to check NIS file ownership:</t>
    </r>
    <r>
      <rPr>
        <sz val="11"/>
        <color rgb="FF000000"/>
        <rFont val="Calibri"/>
      </rPr>
      <t xml:space="preserve">
</t>
    </r>
    <r>
      <rPr>
        <sz val="11"/>
        <color rgb="FF000000"/>
        <rFont val="Calibri"/>
      </rPr>
      <t># ls -la /var/yp/*</t>
    </r>
    <r>
      <rPr>
        <sz val="11"/>
        <color rgb="FF000000"/>
        <rFont val="Calibri"/>
      </rPr>
      <t xml:space="preserve">
</t>
    </r>
    <r>
      <rPr>
        <sz val="11"/>
        <color rgb="FF000000"/>
        <rFont val="Calibri"/>
      </rPr>
      <t>If the NIS file ownership is not "root", sys, or bin, this is a finding.</t>
    </r>
  </si>
  <si>
    <t>V-88517</t>
  </si>
  <si>
    <r>
      <rPr>
        <sz val="11"/>
        <rFont val="Calibri"/>
      </rPr>
      <t>The NIS/NIS+/yp command files must have mode 0755 or less permissive.</t>
    </r>
  </si>
  <si>
    <r>
      <rPr>
        <sz val="11"/>
        <color rgb="FF000000"/>
        <rFont val="Calibri"/>
      </rPr>
      <t>Change the mode of NIS/NIS+/yp command files to "0755" or less permissive:</t>
    </r>
    <r>
      <rPr>
        <sz val="11"/>
        <color rgb="FF000000"/>
        <rFont val="Calibri"/>
      </rPr>
      <t xml:space="preserve">
</t>
    </r>
    <r>
      <rPr>
        <sz val="11"/>
        <color rgb="FF000000"/>
        <rFont val="Calibri"/>
      </rPr>
      <t># chmod 0755 &lt;filename&gt;</t>
    </r>
  </si>
  <si>
    <r>
      <rPr>
        <sz val="11"/>
        <color rgb="FF000000"/>
        <rFont val="Calibri"/>
      </rPr>
      <t>NIS/NIS+/yp files are part of the system's identification and authentication processes and are, therefore, critical to system security. Unauthorized modification of these files could compromise these processes and SLES for vRealize.</t>
    </r>
  </si>
  <si>
    <r>
      <rPr>
        <sz val="11"/>
        <color rgb="FF000000"/>
        <rFont val="Calibri"/>
      </rPr>
      <t>Perform the following to check NIS file ownership:</t>
    </r>
    <r>
      <rPr>
        <sz val="11"/>
        <color rgb="FF000000"/>
        <rFont val="Calibri"/>
      </rPr>
      <t xml:space="preserve">
</t>
    </r>
    <r>
      <rPr>
        <sz val="11"/>
        <color rgb="FF000000"/>
        <rFont val="Calibri"/>
      </rPr>
      <t># ls -la /var/yp/*</t>
    </r>
    <r>
      <rPr>
        <sz val="11"/>
        <color rgb="FF000000"/>
        <rFont val="Calibri"/>
      </rPr>
      <t xml:space="preserve">
</t>
    </r>
    <r>
      <rPr>
        <sz val="11"/>
        <color rgb="FF000000"/>
        <rFont val="Calibri"/>
      </rPr>
      <t>If the NIS file's mode is more permissive than "0755", this is a finding.</t>
    </r>
  </si>
  <si>
    <t>V-88519</t>
  </si>
  <si>
    <r>
      <rPr>
        <sz val="11"/>
        <rFont val="Calibri"/>
      </rPr>
      <t>The SLES for vRealize must not use UDP for NIS/NIS+.</t>
    </r>
  </si>
  <si>
    <r>
      <rPr>
        <sz val="11"/>
        <color rgb="FF000000"/>
        <rFont val="Calibri"/>
      </rPr>
      <t>Configure SLES for vRealize to not use UDP for NIS and NIS+. Consult vendor documentation for the required procedure.</t>
    </r>
  </si>
  <si>
    <r>
      <rPr>
        <sz val="11"/>
        <color rgb="FF000000"/>
        <rFont val="Calibri"/>
      </rPr>
      <t>Implementing NIS or NIS+ under UDP may make SLES for vRealize more susceptible to a denial of service attack and does not provide the same quality of service as TCP.</t>
    </r>
  </si>
  <si>
    <r>
      <rPr>
        <sz val="11"/>
        <color rgb="FF000000"/>
        <rFont val="Calibri"/>
      </rPr>
      <t>If SLES for vRealize does not use NIS or NIS+, this is not applicable.</t>
    </r>
    <r>
      <rPr>
        <sz val="11"/>
        <color rgb="FF000000"/>
        <rFont val="Calibri"/>
      </rPr>
      <t xml:space="preserve">
</t>
    </r>
    <r>
      <rPr>
        <sz val="11"/>
        <color rgb="FF000000"/>
        <rFont val="Calibri"/>
      </rPr>
      <t>Check if NIS or NIS+ is implemented using UDP:</t>
    </r>
    <r>
      <rPr>
        <sz val="11"/>
        <color rgb="FF000000"/>
        <rFont val="Calibri"/>
      </rPr>
      <t xml:space="preserve">
</t>
    </r>
    <r>
      <rPr>
        <sz val="11"/>
        <color rgb="FF000000"/>
        <rFont val="Calibri"/>
      </rPr>
      <t># rpcinfo -p | grep yp | grep udp</t>
    </r>
    <r>
      <rPr>
        <sz val="11"/>
        <color rgb="FF000000"/>
        <rFont val="Calibri"/>
      </rPr>
      <t xml:space="preserve">
</t>
    </r>
    <r>
      <rPr>
        <sz val="11"/>
        <color rgb="FF000000"/>
        <rFont val="Calibri"/>
      </rPr>
      <t>If NIS or NIS+ is implemented using UDP, this is a finding.</t>
    </r>
  </si>
  <si>
    <t>V-88521</t>
  </si>
  <si>
    <r>
      <rPr>
        <sz val="11"/>
        <rFont val="Calibri"/>
      </rPr>
      <t>NIS maps must be protected through hard-to-guess domain names.</t>
    </r>
  </si>
  <si>
    <r>
      <rPr>
        <sz val="11"/>
        <color rgb="FF000000"/>
        <rFont val="Calibri"/>
      </rPr>
      <t>Change the NIS domainname to a value difficult to guess. Consult vendor documentation for the required procedure.</t>
    </r>
  </si>
  <si>
    <r>
      <rPr>
        <sz val="11"/>
        <color rgb="FF000000"/>
        <rFont val="Calibri"/>
      </rPr>
      <t>The use of hard-to-guess NIS domain names provides additional protection from unauthorized access to the NIS directory information.</t>
    </r>
  </si>
  <si>
    <r>
      <rPr>
        <sz val="11"/>
        <color rgb="FF000000"/>
        <rFont val="Calibri"/>
      </rPr>
      <t>If SLES for vRealize does not use NIS or NIS+, this is not applicable.</t>
    </r>
    <r>
      <rPr>
        <sz val="11"/>
        <color rgb="FF000000"/>
        <rFont val="Calibri"/>
      </rPr>
      <t xml:space="preserve">
</t>
    </r>
    <r>
      <rPr>
        <sz val="11"/>
        <color rgb="FF000000"/>
        <rFont val="Calibri"/>
      </rPr>
      <t>Check the domain name for NIS maps:</t>
    </r>
    <r>
      <rPr>
        <sz val="11"/>
        <color rgb="FF000000"/>
        <rFont val="Calibri"/>
      </rPr>
      <t xml:space="preserve">
</t>
    </r>
    <r>
      <rPr>
        <sz val="11"/>
        <color rgb="FF000000"/>
        <rFont val="Calibri"/>
      </rPr>
      <t># domainname</t>
    </r>
    <r>
      <rPr>
        <sz val="11"/>
        <color rgb="FF000000"/>
        <rFont val="Calibri"/>
      </rPr>
      <t xml:space="preserve">
</t>
    </r>
    <r>
      <rPr>
        <sz val="11"/>
        <color rgb="FF000000"/>
        <rFont val="Calibri"/>
      </rPr>
      <t>If the name returned is simple to guess, such as the organization name, building or room name, etc., this is a finding.</t>
    </r>
  </si>
  <si>
    <t>V-88523</t>
  </si>
  <si>
    <r>
      <rPr>
        <sz val="11"/>
        <rFont val="Calibri"/>
      </rPr>
      <t>Mail relaying must be restricted.</t>
    </r>
  </si>
  <si>
    <r>
      <rPr>
        <sz val="11"/>
        <color rgb="FF000000"/>
        <rFont val="Calibri"/>
      </rPr>
      <t>If SLES for vRealize does not need to receive mail from external hosts, add one or more "DaemonPortOptions" lines referencing system loopback addresses (such as "O DaemonPortOptions=Addr=127.0.0.1,Port=smtp,Name=MTA") and remove lines containing non-loopback addresses.</t>
    </r>
    <r>
      <rPr>
        <sz val="11"/>
        <color rgb="FF000000"/>
        <rFont val="Calibri"/>
      </rPr>
      <t xml:space="preserve">
</t>
    </r>
    <r>
      <rPr>
        <sz val="11"/>
        <color rgb="FF000000"/>
        <rFont val="Calibri"/>
      </rPr>
      <t># sed -i "s/O DaemonPortOptions=Name=MTA/O DaemonPortOptions=Addr=127.0.0.1,Port=smtp,Name=MTA/" /etc/sendmail.cf</t>
    </r>
    <r>
      <rPr>
        <sz val="11"/>
        <color rgb="FF000000"/>
        <rFont val="Calibri"/>
      </rPr>
      <t xml:space="preserve">
</t>
    </r>
    <r>
      <rPr>
        <sz val="11"/>
        <color rgb="FF000000"/>
        <rFont val="Calibri"/>
      </rPr>
      <t>Restart the sendmail service:</t>
    </r>
    <r>
      <rPr>
        <sz val="11"/>
        <color rgb="FF000000"/>
        <rFont val="Calibri"/>
      </rPr>
      <t xml:space="preserve">
</t>
    </r>
    <r>
      <rPr>
        <sz val="11"/>
        <color rgb="FF000000"/>
        <rFont val="Calibri"/>
      </rPr>
      <t># service sendmail restart</t>
    </r>
  </si>
  <si>
    <r>
      <rPr>
        <sz val="11"/>
        <color rgb="FF000000"/>
        <rFont val="Calibri"/>
      </rPr>
      <t>If unrestricted mail relaying is permitted, unauthorized senders could use this host as a mail relay for the purpose of sending SPAM or other unauthorized activity.</t>
    </r>
  </si>
  <si>
    <r>
      <rPr>
        <sz val="11"/>
        <color rgb="FF000000"/>
        <rFont val="Calibri"/>
      </rPr>
      <t>Determine if Sendmail only binds to loopback addresses by examining the "DaemonPortOptions" configuration options.</t>
    </r>
    <r>
      <rPr>
        <sz val="11"/>
        <color rgb="FF000000"/>
        <rFont val="Calibri"/>
      </rPr>
      <t xml:space="preserve">
</t>
    </r>
    <r>
      <rPr>
        <sz val="11"/>
        <color rgb="FF000000"/>
        <rFont val="Calibri"/>
      </rPr>
      <t># grep -i "O DaemonPortOptions" /etc/sendmail.cf</t>
    </r>
    <r>
      <rPr>
        <sz val="11"/>
        <color rgb="FF000000"/>
        <rFont val="Calibri"/>
      </rPr>
      <t xml:space="preserve">
</t>
    </r>
    <r>
      <rPr>
        <sz val="11"/>
        <color rgb="FF000000"/>
        <rFont val="Calibri"/>
      </rPr>
      <t>If there are uncommented "DaemonPortOptions" lines, and all such lines specify system loopback addresses, this is not a finding.</t>
    </r>
    <r>
      <rPr>
        <sz val="11"/>
        <color rgb="FF000000"/>
        <rFont val="Calibri"/>
      </rPr>
      <t xml:space="preserve">
</t>
    </r>
    <r>
      <rPr>
        <sz val="11"/>
        <color rgb="FF000000"/>
        <rFont val="Calibri"/>
      </rPr>
      <t>Otherwise, determine if "Sendmail" is configured to allow open relay operation.</t>
    </r>
    <r>
      <rPr>
        <sz val="11"/>
        <color rgb="FF000000"/>
        <rFont val="Calibri"/>
      </rPr>
      <t xml:space="preserve">
</t>
    </r>
    <r>
      <rPr>
        <sz val="11"/>
        <color rgb="FF000000"/>
        <rFont val="Calibri"/>
      </rPr>
      <t># grep -i promiscuous_relay /etc/mail/sendmail.mc</t>
    </r>
    <r>
      <rPr>
        <sz val="11"/>
        <color rgb="FF000000"/>
        <rFont val="Calibri"/>
      </rPr>
      <t xml:space="preserve">
</t>
    </r>
    <r>
      <rPr>
        <sz val="11"/>
        <color rgb="FF000000"/>
        <rFont val="Calibri"/>
      </rPr>
      <t>If the promiscuous relay feature is enabled, this is a finding.</t>
    </r>
  </si>
  <si>
    <t>V-88525</t>
  </si>
  <si>
    <r>
      <rPr>
        <sz val="11"/>
        <rFont val="Calibri"/>
      </rPr>
      <t>The alias files must be owned by root.</t>
    </r>
  </si>
  <si>
    <r>
      <rPr>
        <sz val="11"/>
        <color rgb="FF000000"/>
        <rFont val="Calibri"/>
      </rPr>
      <t>Change the owner of the alias files to "root":</t>
    </r>
    <r>
      <rPr>
        <sz val="11"/>
        <color rgb="FF000000"/>
        <rFont val="Calibri"/>
      </rPr>
      <t xml:space="preserve">
</t>
    </r>
    <r>
      <rPr>
        <sz val="11"/>
        <color rgb="FF000000"/>
        <rFont val="Calibri"/>
      </rPr>
      <t># chown root /etc/aliases</t>
    </r>
    <r>
      <rPr>
        <sz val="11"/>
        <color rgb="FF000000"/>
        <rFont val="Calibri"/>
      </rPr>
      <t xml:space="preserve">
</t>
    </r>
    <r>
      <rPr>
        <sz val="11"/>
        <color rgb="FF000000"/>
        <rFont val="Calibri"/>
      </rPr>
      <t># chown root /etc/aliases.db</t>
    </r>
  </si>
  <si>
    <r>
      <rPr>
        <sz val="11"/>
        <color rgb="FF000000"/>
        <rFont val="Calibri"/>
      </rPr>
      <t>If the alias and aliases.db files are not owned by root, an unauthorized user may modify the file to add aliases to run malicious code or redirect email.</t>
    </r>
  </si>
  <si>
    <r>
      <rPr>
        <sz val="11"/>
        <color rgb="FF000000"/>
        <rFont val="Calibri"/>
      </rPr>
      <t>Check the ownership of the alias file:</t>
    </r>
    <r>
      <rPr>
        <sz val="11"/>
        <color rgb="FF000000"/>
        <rFont val="Calibri"/>
      </rPr>
      <t xml:space="preserve">
</t>
    </r>
    <r>
      <rPr>
        <sz val="11"/>
        <color rgb="FF000000"/>
        <rFont val="Calibri"/>
      </rPr>
      <t># ls -lL /etc/aliases</t>
    </r>
    <r>
      <rPr>
        <sz val="11"/>
        <color rgb="FF000000"/>
        <rFont val="Calibri"/>
      </rPr>
      <t xml:space="preserve">
</t>
    </r>
    <r>
      <rPr>
        <sz val="11"/>
        <color rgb="FF000000"/>
        <rFont val="Calibri"/>
      </rPr>
      <t># ls -lL /etc/aliases.db</t>
    </r>
    <r>
      <rPr>
        <sz val="11"/>
        <color rgb="FF000000"/>
        <rFont val="Calibri"/>
      </rPr>
      <t xml:space="preserve">
</t>
    </r>
    <r>
      <rPr>
        <sz val="11"/>
        <color rgb="FF000000"/>
        <rFont val="Calibri"/>
      </rPr>
      <t>If all the files are not owned by "root", this is a finding.</t>
    </r>
  </si>
  <si>
    <t>V-88527</t>
  </si>
  <si>
    <r>
      <rPr>
        <sz val="11"/>
        <rFont val="Calibri"/>
      </rPr>
      <t>The alias files must be group-owned by root, or a system group.</t>
    </r>
  </si>
  <si>
    <r>
      <rPr>
        <sz val="11"/>
        <color rgb="FF000000"/>
        <rFont val="Calibri"/>
      </rPr>
      <t>Change the group owner of the alias files to "root":</t>
    </r>
    <r>
      <rPr>
        <sz val="11"/>
        <color rgb="FF000000"/>
        <rFont val="Calibri"/>
      </rPr>
      <t xml:space="preserve">
</t>
    </r>
    <r>
      <rPr>
        <sz val="11"/>
        <color rgb="FF000000"/>
        <rFont val="Calibri"/>
      </rPr>
      <t># chgrp root /etc/aliases</t>
    </r>
    <r>
      <rPr>
        <sz val="11"/>
        <color rgb="FF000000"/>
        <rFont val="Calibri"/>
      </rPr>
      <t xml:space="preserve">
</t>
    </r>
    <r>
      <rPr>
        <sz val="11"/>
        <color rgb="FF000000"/>
        <rFont val="Calibri"/>
      </rPr>
      <t># chgrp root /etc/aliases.db</t>
    </r>
  </si>
  <si>
    <r>
      <rPr>
        <sz val="11"/>
        <color rgb="FF000000"/>
        <rFont val="Calibri"/>
      </rPr>
      <t>If the aliases and aliases.db file are not group-owned by root or a system group, an unauthorized user may modify one or both of the files to add aliases to run malicious code or redirect email.</t>
    </r>
  </si>
  <si>
    <r>
      <rPr>
        <sz val="11"/>
        <color rgb="FF000000"/>
        <rFont val="Calibri"/>
      </rPr>
      <t>Check the group ownership of the alias files:</t>
    </r>
    <r>
      <rPr>
        <sz val="11"/>
        <color rgb="FF000000"/>
        <rFont val="Calibri"/>
      </rPr>
      <t xml:space="preserve">
</t>
    </r>
    <r>
      <rPr>
        <sz val="11"/>
        <color rgb="FF000000"/>
        <rFont val="Calibri"/>
      </rPr>
      <t># ls -lL /etc/aliases</t>
    </r>
    <r>
      <rPr>
        <sz val="11"/>
        <color rgb="FF000000"/>
        <rFont val="Calibri"/>
      </rPr>
      <t xml:space="preserve">
</t>
    </r>
    <r>
      <rPr>
        <sz val="11"/>
        <color rgb="FF000000"/>
        <rFont val="Calibri"/>
      </rPr>
      <t># ls -lL /etc/aliases.db</t>
    </r>
    <r>
      <rPr>
        <sz val="11"/>
        <color rgb="FF000000"/>
        <rFont val="Calibri"/>
      </rPr>
      <t xml:space="preserve">
</t>
    </r>
    <r>
      <rPr>
        <sz val="11"/>
        <color rgb="FF000000"/>
        <rFont val="Calibri"/>
      </rPr>
      <t>If the files are not group-owned by "root", this is a finding.</t>
    </r>
  </si>
  <si>
    <t>V-88529</t>
  </si>
  <si>
    <r>
      <rPr>
        <sz val="11"/>
        <rFont val="Calibri"/>
      </rPr>
      <t>The alias files must have mode 0644 or less permissive.</t>
    </r>
  </si>
  <si>
    <r>
      <rPr>
        <sz val="11"/>
        <color rgb="FF000000"/>
        <rFont val="Calibri"/>
      </rPr>
      <t>Change the mode of the alias files to "0644":</t>
    </r>
    <r>
      <rPr>
        <sz val="11"/>
        <color rgb="FF000000"/>
        <rFont val="Calibri"/>
      </rPr>
      <t xml:space="preserve">
</t>
    </r>
    <r>
      <rPr>
        <sz val="11"/>
        <color rgb="FF000000"/>
        <rFont val="Calibri"/>
      </rPr>
      <t># chmod 0644 /etc/aliases /etc/aliases.db</t>
    </r>
  </si>
  <si>
    <r>
      <rPr>
        <sz val="11"/>
        <color rgb="FF000000"/>
        <rFont val="Calibri"/>
      </rPr>
      <t>Excessive permissions on the alias files may permit unauthorized modification. If an alias file is modified by an unauthorized user, they may modify the file to run malicious code or redirect email.</t>
    </r>
  </si>
  <si>
    <r>
      <rPr>
        <sz val="11"/>
        <color rgb="FF000000"/>
        <rFont val="Calibri"/>
      </rPr>
      <t>Check the permissions of the alias files:</t>
    </r>
    <r>
      <rPr>
        <sz val="11"/>
        <color rgb="FF000000"/>
        <rFont val="Calibri"/>
      </rPr>
      <t xml:space="preserve">
</t>
    </r>
    <r>
      <rPr>
        <sz val="11"/>
        <color rgb="FF000000"/>
        <rFont val="Calibri"/>
      </rPr>
      <t># ls -lL /etc/aliases</t>
    </r>
    <r>
      <rPr>
        <sz val="11"/>
        <color rgb="FF000000"/>
        <rFont val="Calibri"/>
      </rPr>
      <t xml:space="preserve">
</t>
    </r>
    <r>
      <rPr>
        <sz val="11"/>
        <color rgb="FF000000"/>
        <rFont val="Calibri"/>
      </rPr>
      <t># ls -lL /etc/aliases.db</t>
    </r>
    <r>
      <rPr>
        <sz val="11"/>
        <color rgb="FF000000"/>
        <rFont val="Calibri"/>
      </rPr>
      <t xml:space="preserve">
</t>
    </r>
    <r>
      <rPr>
        <sz val="11"/>
        <color rgb="FF000000"/>
        <rFont val="Calibri"/>
      </rPr>
      <t>If the alias files have a mode more permissive than "0644", this is a finding.</t>
    </r>
  </si>
  <si>
    <t>V-88531</t>
  </si>
  <si>
    <r>
      <rPr>
        <sz val="11"/>
        <rFont val="Calibri"/>
      </rPr>
      <t>Files executed through a mail aliases file must be owned by root and must reside within a directory owned and writable only by root.</t>
    </r>
  </si>
  <si>
    <r>
      <rPr>
        <sz val="11"/>
        <color rgb="FF000000"/>
        <rFont val="Calibri"/>
      </rPr>
      <t>Edit the "/etc/aliases" file (alternatively, /usr/lib/sendmail.cf). Locate the entries executing a program. They will appear similar to the following line:</t>
    </r>
    <r>
      <rPr>
        <sz val="11"/>
        <color rgb="FF000000"/>
        <rFont val="Calibri"/>
      </rPr>
      <t xml:space="preserve">
</t>
    </r>
    <r>
      <rPr>
        <sz val="11"/>
        <color rgb="FF000000"/>
        <rFont val="Calibri"/>
      </rPr>
      <t>Aliasname: : /usr/local/bin/ls (or some other program name)</t>
    </r>
    <r>
      <rPr>
        <sz val="11"/>
        <color rgb="FF000000"/>
        <rFont val="Calibri"/>
      </rPr>
      <t xml:space="preserve">
</t>
    </r>
    <r>
      <rPr>
        <sz val="11"/>
        <color rgb="FF000000"/>
        <rFont val="Calibri"/>
      </rPr>
      <t>Ensure "root" owns the programs and the directory(ies) they reside in by using the chown command to change owner to "root":</t>
    </r>
    <r>
      <rPr>
        <sz val="11"/>
        <color rgb="FF000000"/>
        <rFont val="Calibri"/>
      </rPr>
      <t xml:space="preserve">
</t>
    </r>
    <r>
      <rPr>
        <sz val="11"/>
        <color rgb="FF000000"/>
        <rFont val="Calibri"/>
      </rPr>
      <t># chown root &lt;file or directory name&gt;</t>
    </r>
  </si>
  <si>
    <r>
      <rPr>
        <sz val="11"/>
        <color rgb="FF000000"/>
        <rFont val="Calibri"/>
      </rPr>
      <t>If a file executed through a mail aliases file is not owned and writable only by root, it may be subject to unauthorized modification. Unauthorized modification of files executed through aliases may allow unauthorized users to attain root privileges.</t>
    </r>
  </si>
  <si>
    <r>
      <rPr>
        <sz val="11"/>
        <color rgb="FF000000"/>
        <rFont val="Calibri"/>
      </rPr>
      <t>Verify the ownership of files referenced within the sendmail aliases file:</t>
    </r>
    <r>
      <rPr>
        <sz val="11"/>
        <color rgb="FF000000"/>
        <rFont val="Calibri"/>
      </rPr>
      <t xml:space="preserve">
</t>
    </r>
    <r>
      <rPr>
        <sz val="11"/>
        <color rgb="FF000000"/>
        <rFont val="Calibri"/>
      </rPr>
      <t># more /etc/aliases</t>
    </r>
    <r>
      <rPr>
        <sz val="11"/>
        <color rgb="FF000000"/>
        <rFont val="Calibri"/>
      </rPr>
      <t xml:space="preserve">
</t>
    </r>
    <r>
      <rPr>
        <sz val="11"/>
        <color rgb="FF000000"/>
        <rFont val="Calibri"/>
      </rPr>
      <t>Examine the aliases file for any utilized directories or paths:</t>
    </r>
    <r>
      <rPr>
        <sz val="11"/>
        <color rgb="FF000000"/>
        <rFont val="Calibri"/>
      </rPr>
      <t xml:space="preserve">
</t>
    </r>
    <r>
      <rPr>
        <sz val="11"/>
        <color rgb="FF000000"/>
        <rFont val="Calibri"/>
      </rPr>
      <t># ls -lL &lt;directory or file path&gt;</t>
    </r>
    <r>
      <rPr>
        <sz val="11"/>
        <color rgb="FF000000"/>
        <rFont val="Calibri"/>
      </rPr>
      <t xml:space="preserve">
</t>
    </r>
    <r>
      <rPr>
        <sz val="11"/>
        <color rgb="FF000000"/>
        <rFont val="Calibri"/>
      </rPr>
      <t xml:space="preserve">Check the owner for any paths referenced. Check if the file or parent directory is owned by root. </t>
    </r>
    <r>
      <rPr>
        <sz val="11"/>
        <color rgb="FF000000"/>
        <rFont val="Calibri"/>
      </rPr>
      <t xml:space="preserve">
</t>
    </r>
    <r>
      <rPr>
        <sz val="11"/>
        <color rgb="FF000000"/>
        <rFont val="Calibri"/>
      </rPr>
      <t>If the file or parent directory is not owned by "root", this is a finding.</t>
    </r>
  </si>
  <si>
    <t>V-88533</t>
  </si>
  <si>
    <r>
      <rPr>
        <sz val="11"/>
        <rFont val="Calibri"/>
      </rPr>
      <t>Files executed through a mail aliases file must be group-owned by root, bin, sys, or system, and must reside within a directory group-owned by root, bin, sys, or system.</t>
    </r>
  </si>
  <si>
    <r>
      <rPr>
        <sz val="11"/>
        <color rgb="FF000000"/>
        <rFont val="Calibri"/>
      </rPr>
      <t>Change the group ownership of the file referenced from "/etc/mail/aliases":</t>
    </r>
    <r>
      <rPr>
        <sz val="11"/>
        <color rgb="FF000000"/>
        <rFont val="Calibri"/>
      </rPr>
      <t xml:space="preserve">
</t>
    </r>
    <r>
      <rPr>
        <sz val="11"/>
        <color rgb="FF000000"/>
        <rFont val="Calibri"/>
      </rPr>
      <t># chgrp root &lt;file referenced from aliases&gt;</t>
    </r>
  </si>
  <si>
    <r>
      <rPr>
        <sz val="11"/>
        <color rgb="FF000000"/>
        <rFont val="Calibri"/>
      </rPr>
      <t>If a file executed through a mail aliases file is not group-owned by root or a system group, it may be subject to unauthorized modification. Unauthorized modification of files executed through aliases may allow unauthorized users to attain root privileges.</t>
    </r>
  </si>
  <si>
    <r>
      <rPr>
        <sz val="11"/>
        <color rgb="FF000000"/>
        <rFont val="Calibri"/>
      </rPr>
      <t>Examine the contents of the "/etc/aliases" file:</t>
    </r>
    <r>
      <rPr>
        <sz val="11"/>
        <color rgb="FF000000"/>
        <rFont val="Calibri"/>
      </rPr>
      <t xml:space="preserve">
</t>
    </r>
    <r>
      <rPr>
        <sz val="11"/>
        <color rgb="FF000000"/>
        <rFont val="Calibri"/>
      </rPr>
      <t># more /etc/aliases</t>
    </r>
    <r>
      <rPr>
        <sz val="11"/>
        <color rgb="FF000000"/>
        <rFont val="Calibri"/>
      </rPr>
      <t xml:space="preserve">
</t>
    </r>
    <r>
      <rPr>
        <sz val="11"/>
        <color rgb="FF000000"/>
        <rFont val="Calibri"/>
      </rPr>
      <t>Examine the aliases file for any directories or paths that may be utilized:</t>
    </r>
    <r>
      <rPr>
        <sz val="11"/>
        <color rgb="FF000000"/>
        <rFont val="Calibri"/>
      </rPr>
      <t xml:space="preserve">
</t>
    </r>
    <r>
      <rPr>
        <sz val="11"/>
        <color rgb="FF000000"/>
        <rFont val="Calibri"/>
      </rPr>
      <t># ls -lL &lt;file referenced from aliases&gt;</t>
    </r>
    <r>
      <rPr>
        <sz val="11"/>
        <color rgb="FF000000"/>
        <rFont val="Calibri"/>
      </rPr>
      <t xml:space="preserve">
</t>
    </r>
    <r>
      <rPr>
        <sz val="11"/>
        <color rgb="FF000000"/>
        <rFont val="Calibri"/>
      </rPr>
      <t xml:space="preserve">Check the permissions for any paths referenced. </t>
    </r>
    <r>
      <rPr>
        <sz val="11"/>
        <color rgb="FF000000"/>
        <rFont val="Calibri"/>
      </rPr>
      <t xml:space="preserve">
</t>
    </r>
    <r>
      <rPr>
        <sz val="11"/>
        <color rgb="FF000000"/>
        <rFont val="Calibri"/>
      </rPr>
      <t>If the group owner of any file is not "root", "bin", "sys", or "system", this is a finding.</t>
    </r>
  </si>
  <si>
    <t>V-88535</t>
  </si>
  <si>
    <r>
      <rPr>
        <sz val="11"/>
        <rFont val="Calibri"/>
      </rPr>
      <t>Files executed through a mail aliases file must have mode 0755 or less permissive.</t>
    </r>
  </si>
  <si>
    <r>
      <rPr>
        <sz val="11"/>
        <color rgb="FF000000"/>
        <rFont val="Calibri"/>
      </rPr>
      <t>Use the chmod command to change the access permissions for files executed from the alias file:</t>
    </r>
    <r>
      <rPr>
        <sz val="11"/>
        <color rgb="FF000000"/>
        <rFont val="Calibri"/>
      </rPr>
      <t xml:space="preserve">
</t>
    </r>
    <r>
      <rPr>
        <sz val="11"/>
        <color rgb="FF000000"/>
        <rFont val="Calibri"/>
      </rPr>
      <t># chmod 0755 &lt;file referenced from aliases&gt;</t>
    </r>
  </si>
  <si>
    <r>
      <rPr>
        <sz val="11"/>
        <color rgb="FF000000"/>
        <rFont val="Calibri"/>
      </rPr>
      <t>If a file executed through a mail alias file has permissions greater than 0755, it can be modified by an unauthorized user and may contain malicious code or instructions that could compromise the system.</t>
    </r>
  </si>
  <si>
    <r>
      <rPr>
        <sz val="11"/>
        <color rgb="FF000000"/>
        <rFont val="Calibri"/>
      </rPr>
      <t>Examine the contents of the "/etc/aliases" file:</t>
    </r>
    <r>
      <rPr>
        <sz val="11"/>
        <color rgb="FF000000"/>
        <rFont val="Calibri"/>
      </rPr>
      <t xml:space="preserve">
</t>
    </r>
    <r>
      <rPr>
        <sz val="11"/>
        <color rgb="FF000000"/>
        <rFont val="Calibri"/>
      </rPr>
      <t># more /etc/aliases</t>
    </r>
    <r>
      <rPr>
        <sz val="11"/>
        <color rgb="FF000000"/>
        <rFont val="Calibri"/>
      </rPr>
      <t xml:space="preserve">
</t>
    </r>
    <r>
      <rPr>
        <sz val="11"/>
        <color rgb="FF000000"/>
        <rFont val="Calibri"/>
      </rPr>
      <t>Examine the aliases file for any directories or paths that may be utilized:</t>
    </r>
    <r>
      <rPr>
        <sz val="11"/>
        <color rgb="FF000000"/>
        <rFont val="Calibri"/>
      </rPr>
      <t xml:space="preserve">
</t>
    </r>
    <r>
      <rPr>
        <sz val="11"/>
        <color rgb="FF000000"/>
        <rFont val="Calibri"/>
      </rPr>
      <t># ls -lL &lt;file referenced from aliases&gt;</t>
    </r>
    <r>
      <rPr>
        <sz val="11"/>
        <color rgb="FF000000"/>
        <rFont val="Calibri"/>
      </rPr>
      <t xml:space="preserve">
</t>
    </r>
    <r>
      <rPr>
        <sz val="11"/>
        <color rgb="FF000000"/>
        <rFont val="Calibri"/>
      </rPr>
      <t xml:space="preserve">Check the permissions for any paths referenced. </t>
    </r>
    <r>
      <rPr>
        <sz val="11"/>
        <color rgb="FF000000"/>
        <rFont val="Calibri"/>
      </rPr>
      <t xml:space="preserve">
</t>
    </r>
    <r>
      <rPr>
        <sz val="11"/>
        <color rgb="FF000000"/>
        <rFont val="Calibri"/>
      </rPr>
      <t>If any file referenced from the aliases file has a mode more permissive than "0755", this is a finding.</t>
    </r>
  </si>
  <si>
    <t>V-88537</t>
  </si>
  <si>
    <r>
      <rPr>
        <sz val="11"/>
        <rFont val="Calibri"/>
      </rPr>
      <t>Sendmail logging must not be set to less than nine in the sendmail.cf file.</t>
    </r>
  </si>
  <si>
    <r>
      <rPr>
        <sz val="11"/>
        <color rgb="FF000000"/>
        <rFont val="Calibri"/>
      </rPr>
      <t>Edit the "sendmail.cf" file, locate the "O L" or "LogLevel" entry, and change it to "9".</t>
    </r>
  </si>
  <si>
    <r>
      <rPr>
        <sz val="11"/>
        <color rgb="FF000000"/>
        <rFont val="Calibri"/>
      </rPr>
      <t>If Sendmail is not configured to log at level 9, system logs may not contain the information necessary for tracking unauthorized use of the sendmail service.</t>
    </r>
  </si>
  <si>
    <r>
      <rPr>
        <sz val="11"/>
        <color rgb="FF000000"/>
        <rFont val="Calibri"/>
      </rPr>
      <t>Check sendmail to determine if the logging level is set to level "9":</t>
    </r>
    <r>
      <rPr>
        <sz val="11"/>
        <color rgb="FF000000"/>
        <rFont val="Calibri"/>
      </rPr>
      <t xml:space="preserve">
</t>
    </r>
    <r>
      <rPr>
        <sz val="11"/>
        <color rgb="FF000000"/>
        <rFont val="Calibri"/>
      </rPr>
      <t># grep "O L" /etc/sendmail.cf</t>
    </r>
    <r>
      <rPr>
        <sz val="11"/>
        <color rgb="FF000000"/>
        <rFont val="Calibri"/>
      </rPr>
      <t xml:space="preserve">
</t>
    </r>
    <r>
      <rPr>
        <sz val="11"/>
        <color rgb="FF000000"/>
        <rFont val="Calibri"/>
      </rPr>
      <t>OR</t>
    </r>
    <r>
      <rPr>
        <sz val="11"/>
        <color rgb="FF000000"/>
        <rFont val="Calibri"/>
      </rPr>
      <t xml:space="preserve">
</t>
    </r>
    <r>
      <rPr>
        <sz val="11"/>
        <color rgb="FF000000"/>
        <rFont val="Calibri"/>
      </rPr>
      <t># grep LogLevel /etc/sendmail.cf</t>
    </r>
    <r>
      <rPr>
        <sz val="11"/>
        <color rgb="FF000000"/>
        <rFont val="Calibri"/>
      </rPr>
      <t xml:space="preserve">
</t>
    </r>
    <r>
      <rPr>
        <sz val="11"/>
        <color rgb="FF000000"/>
        <rFont val="Calibri"/>
      </rPr>
      <t>If logging is set to less than "9", this is a finding.</t>
    </r>
  </si>
  <si>
    <t>V-88539</t>
  </si>
  <si>
    <r>
      <rPr>
        <sz val="11"/>
        <rFont val="Calibri"/>
      </rPr>
      <t>The system syslog service must log informational and more severe SMTP service messages.</t>
    </r>
  </si>
  <si>
    <r>
      <rPr>
        <sz val="11"/>
        <color rgb="FF000000"/>
        <rFont val="Calibri"/>
      </rPr>
      <t>Edit the "/etc/syslog-ng/syslog-ng.conf" file and add the following log entries:</t>
    </r>
    <r>
      <rPr>
        <sz val="11"/>
        <color rgb="FF000000"/>
        <rFont val="Calibri"/>
      </rPr>
      <t xml:space="preserve">
</t>
    </r>
    <r>
      <rPr>
        <sz val="11"/>
        <color rgb="FF000000"/>
        <rFont val="Calibri"/>
      </rPr>
      <t>filter f_mailinfo { level(info) and facility(mail); };</t>
    </r>
    <r>
      <rPr>
        <sz val="11"/>
        <color rgb="FF000000"/>
        <rFont val="Calibri"/>
      </rPr>
      <t xml:space="preserve">
</t>
    </r>
    <r>
      <rPr>
        <sz val="11"/>
        <color rgb="FF000000"/>
        <rFont val="Calibri"/>
      </rPr>
      <t>filter f_mailwarn { level(warn) and facility(mail); };</t>
    </r>
    <r>
      <rPr>
        <sz val="11"/>
        <color rgb="FF000000"/>
        <rFont val="Calibri"/>
      </rPr>
      <t xml:space="preserve">
</t>
    </r>
    <r>
      <rPr>
        <sz val="11"/>
        <color rgb="FF000000"/>
        <rFont val="Calibri"/>
      </rPr>
      <t>filter f_mailerr { level(err, crit) and facility(mail); };</t>
    </r>
    <r>
      <rPr>
        <sz val="11"/>
        <color rgb="FF000000"/>
        <rFont val="Calibri"/>
      </rPr>
      <t xml:space="preserve">
</t>
    </r>
    <r>
      <rPr>
        <sz val="11"/>
        <color rgb="FF000000"/>
        <rFont val="Calibri"/>
      </rPr>
      <t>filter f_mail { facility(mail); };</t>
    </r>
    <r>
      <rPr>
        <sz val="11"/>
        <color rgb="FF000000"/>
        <rFont val="Calibri"/>
      </rPr>
      <t xml:space="preserve">
</t>
    </r>
    <r>
      <rPr>
        <sz val="11"/>
        <color rgb="FF000000"/>
        <rFont val="Calibri"/>
      </rPr>
      <t>destination mailinfo { file("/var/log/mail.info"); };</t>
    </r>
    <r>
      <rPr>
        <sz val="11"/>
        <color rgb="FF000000"/>
        <rFont val="Calibri"/>
      </rPr>
      <t xml:space="preserve">
</t>
    </r>
    <r>
      <rPr>
        <sz val="11"/>
        <color rgb="FF000000"/>
        <rFont val="Calibri"/>
      </rPr>
      <t>log { source(src); filter(f_mailinfo); destination(mailinfo); };</t>
    </r>
    <r>
      <rPr>
        <sz val="11"/>
        <color rgb="FF000000"/>
        <rFont val="Calibri"/>
      </rPr>
      <t xml:space="preserve">
</t>
    </r>
    <r>
      <rPr>
        <sz val="11"/>
        <color rgb="FF000000"/>
        <rFont val="Calibri"/>
      </rPr>
      <t>destination mailwarn { file("/var/log/mail.warn"); };</t>
    </r>
    <r>
      <rPr>
        <sz val="11"/>
        <color rgb="FF000000"/>
        <rFont val="Calibri"/>
      </rPr>
      <t xml:space="preserve">
</t>
    </r>
    <r>
      <rPr>
        <sz val="11"/>
        <color rgb="FF000000"/>
        <rFont val="Calibri"/>
      </rPr>
      <t>log { source(src); filter(f_mailwarn); destination(mailwarn); };</t>
    </r>
    <r>
      <rPr>
        <sz val="11"/>
        <color rgb="FF000000"/>
        <rFont val="Calibri"/>
      </rPr>
      <t xml:space="preserve">
</t>
    </r>
    <r>
      <rPr>
        <sz val="11"/>
        <color rgb="FF000000"/>
        <rFont val="Calibri"/>
      </rPr>
      <t>destination mailerr { file("/var/log/mail.err" fsync(yes)); };</t>
    </r>
    <r>
      <rPr>
        <sz val="11"/>
        <color rgb="FF000000"/>
        <rFont val="Calibri"/>
      </rPr>
      <t xml:space="preserve">
</t>
    </r>
    <r>
      <rPr>
        <sz val="11"/>
        <color rgb="FF000000"/>
        <rFont val="Calibri"/>
      </rPr>
      <t>log { source(src); filter(f_mailerr); destination(mailerr); };</t>
    </r>
  </si>
  <si>
    <r>
      <rPr>
        <sz val="11"/>
        <color rgb="FF000000"/>
        <rFont val="Calibri"/>
      </rPr>
      <t>If informational and more severe SMTP service messages are not logged, malicious activity on the system may go unnoticed.</t>
    </r>
  </si>
  <si>
    <r>
      <rPr>
        <sz val="11"/>
        <color rgb="FF000000"/>
        <rFont val="Calibri"/>
      </rPr>
      <t>Check the "/etc/syslog-ng/syslog-ng.conf" file for the following log entries:</t>
    </r>
    <r>
      <rPr>
        <sz val="11"/>
        <color rgb="FF000000"/>
        <rFont val="Calibri"/>
      </rPr>
      <t xml:space="preserve">
</t>
    </r>
    <r>
      <rPr>
        <sz val="11"/>
        <color rgb="FF000000"/>
        <rFont val="Calibri"/>
      </rPr>
      <t>filter f_mailinfo { level(info) and facility(mail); };</t>
    </r>
    <r>
      <rPr>
        <sz val="11"/>
        <color rgb="FF000000"/>
        <rFont val="Calibri"/>
      </rPr>
      <t xml:space="preserve">
</t>
    </r>
    <r>
      <rPr>
        <sz val="11"/>
        <color rgb="FF000000"/>
        <rFont val="Calibri"/>
      </rPr>
      <t>filter f_mailwarn { level(warn) and facility(mail); };</t>
    </r>
    <r>
      <rPr>
        <sz val="11"/>
        <color rgb="FF000000"/>
        <rFont val="Calibri"/>
      </rPr>
      <t xml:space="preserve">
</t>
    </r>
    <r>
      <rPr>
        <sz val="11"/>
        <color rgb="FF000000"/>
        <rFont val="Calibri"/>
      </rPr>
      <t>filter f_mailerr { level(err, crit) and facility(mail); };</t>
    </r>
    <r>
      <rPr>
        <sz val="11"/>
        <color rgb="FF000000"/>
        <rFont val="Calibri"/>
      </rPr>
      <t xml:space="preserve">
</t>
    </r>
    <r>
      <rPr>
        <sz val="11"/>
        <color rgb="FF000000"/>
        <rFont val="Calibri"/>
      </rPr>
      <t>filter f_mail { facility(mail); };</t>
    </r>
    <r>
      <rPr>
        <sz val="11"/>
        <color rgb="FF000000"/>
        <rFont val="Calibri"/>
      </rPr>
      <t xml:space="preserve">
</t>
    </r>
    <r>
      <rPr>
        <sz val="11"/>
        <color rgb="FF000000"/>
        <rFont val="Calibri"/>
      </rPr>
      <t>If any of the above log entries are present, this is not a finding.</t>
    </r>
  </si>
  <si>
    <t>V-88541</t>
  </si>
  <si>
    <r>
      <rPr>
        <sz val="11"/>
        <rFont val="Calibri"/>
      </rPr>
      <t>The SMTP service log files must be owned by root.</t>
    </r>
  </si>
  <si>
    <r>
      <rPr>
        <sz val="11"/>
        <color rgb="FF000000"/>
        <rFont val="Calibri"/>
      </rPr>
      <t>Change the ownership of the sendmail log files to "root":</t>
    </r>
    <r>
      <rPr>
        <sz val="11"/>
        <color rgb="FF000000"/>
        <rFont val="Calibri"/>
      </rPr>
      <t xml:space="preserve">
</t>
    </r>
    <r>
      <rPr>
        <sz val="11"/>
        <color rgb="FF000000"/>
        <rFont val="Calibri"/>
      </rPr>
      <t># chown root &lt;sendmail log file&gt;</t>
    </r>
  </si>
  <si>
    <r>
      <rPr>
        <sz val="11"/>
        <color rgb="FF000000"/>
        <rFont val="Calibri"/>
      </rPr>
      <t>If the SMTP service log file is not owned by root, then unauthorized personnel may modify or delete the file to hide a system compromise.</t>
    </r>
  </si>
  <si>
    <r>
      <rPr>
        <sz val="11"/>
        <color rgb="FF000000"/>
        <rFont val="Calibri"/>
      </rPr>
      <t>Check the permissions on the mail log files:</t>
    </r>
    <r>
      <rPr>
        <sz val="11"/>
        <color rgb="FF000000"/>
        <rFont val="Calibri"/>
      </rPr>
      <t xml:space="preserve">
</t>
    </r>
    <r>
      <rPr>
        <sz val="11"/>
        <color rgb="FF000000"/>
        <rFont val="Calibri"/>
      </rPr>
      <t># ls -la /var/log/mail</t>
    </r>
    <r>
      <rPr>
        <sz val="11"/>
        <color rgb="FF000000"/>
        <rFont val="Calibri"/>
      </rPr>
      <t xml:space="preserve">
</t>
    </r>
    <r>
      <rPr>
        <sz val="11"/>
        <color rgb="FF000000"/>
        <rFont val="Calibri"/>
      </rPr>
      <t># ls -la /var/log/mail.info</t>
    </r>
    <r>
      <rPr>
        <sz val="11"/>
        <color rgb="FF000000"/>
        <rFont val="Calibri"/>
      </rPr>
      <t xml:space="preserve">
</t>
    </r>
    <r>
      <rPr>
        <sz val="11"/>
        <color rgb="FF000000"/>
        <rFont val="Calibri"/>
      </rPr>
      <t># ls -la /var/log/mail.warn</t>
    </r>
    <r>
      <rPr>
        <sz val="11"/>
        <color rgb="FF000000"/>
        <rFont val="Calibri"/>
      </rPr>
      <t xml:space="preserve">
</t>
    </r>
    <r>
      <rPr>
        <sz val="11"/>
        <color rgb="FF000000"/>
        <rFont val="Calibri"/>
      </rPr>
      <t># ls -la /var/log/mail.err</t>
    </r>
    <r>
      <rPr>
        <sz val="11"/>
        <color rgb="FF000000"/>
        <rFont val="Calibri"/>
      </rPr>
      <t xml:space="preserve">
</t>
    </r>
    <r>
      <rPr>
        <sz val="11"/>
        <color rgb="FF000000"/>
        <rFont val="Calibri"/>
      </rPr>
      <t>If any mail log file is not owned by "root", this is a finding.</t>
    </r>
  </si>
  <si>
    <t>V-88543</t>
  </si>
  <si>
    <r>
      <rPr>
        <sz val="11"/>
        <rFont val="Calibri"/>
      </rPr>
      <t>The SMTP service log file must have mode 0644 or less permissive.</t>
    </r>
  </si>
  <si>
    <r>
      <rPr>
        <sz val="11"/>
        <color rgb="FF000000"/>
        <rFont val="Calibri"/>
      </rPr>
      <t>Change the mode of the sendmail log files to "0644":</t>
    </r>
    <r>
      <rPr>
        <sz val="11"/>
        <color rgb="FF000000"/>
        <rFont val="Calibri"/>
      </rPr>
      <t xml:space="preserve">
</t>
    </r>
    <r>
      <rPr>
        <sz val="11"/>
        <color rgb="FF000000"/>
        <rFont val="Calibri"/>
      </rPr>
      <t># chmod 0644 &lt;sendmail log file&gt;</t>
    </r>
  </si>
  <si>
    <r>
      <rPr>
        <sz val="11"/>
        <color rgb="FF000000"/>
        <rFont val="Calibri"/>
      </rPr>
      <t>If the SMTP service log file is more permissive than 0644, unauthorized users may be allowed to change the log file.</t>
    </r>
  </si>
  <si>
    <r>
      <rPr>
        <sz val="11"/>
        <color rgb="FF000000"/>
        <rFont val="Calibri"/>
      </rPr>
      <t>Check the permissions on the mail log files:</t>
    </r>
    <r>
      <rPr>
        <sz val="11"/>
        <color rgb="FF000000"/>
        <rFont val="Calibri"/>
      </rPr>
      <t xml:space="preserve">
</t>
    </r>
    <r>
      <rPr>
        <sz val="11"/>
        <color rgb="FF000000"/>
        <rFont val="Calibri"/>
      </rPr>
      <t># ls -la /var/log/mail</t>
    </r>
    <r>
      <rPr>
        <sz val="11"/>
        <color rgb="FF000000"/>
        <rFont val="Calibri"/>
      </rPr>
      <t xml:space="preserve">
</t>
    </r>
    <r>
      <rPr>
        <sz val="11"/>
        <color rgb="FF000000"/>
        <rFont val="Calibri"/>
      </rPr>
      <t># ls -la /var/log/mail.info</t>
    </r>
    <r>
      <rPr>
        <sz val="11"/>
        <color rgb="FF000000"/>
        <rFont val="Calibri"/>
      </rPr>
      <t xml:space="preserve">
</t>
    </r>
    <r>
      <rPr>
        <sz val="11"/>
        <color rgb="FF000000"/>
        <rFont val="Calibri"/>
      </rPr>
      <t># ls -la /var/log/mail.warn</t>
    </r>
    <r>
      <rPr>
        <sz val="11"/>
        <color rgb="FF000000"/>
        <rFont val="Calibri"/>
      </rPr>
      <t xml:space="preserve">
</t>
    </r>
    <r>
      <rPr>
        <sz val="11"/>
        <color rgb="FF000000"/>
        <rFont val="Calibri"/>
      </rPr>
      <t># ls -la /var/log/mail.err</t>
    </r>
    <r>
      <rPr>
        <sz val="11"/>
        <color rgb="FF000000"/>
        <rFont val="Calibri"/>
      </rPr>
      <t xml:space="preserve">
</t>
    </r>
    <r>
      <rPr>
        <sz val="11"/>
        <color rgb="FF000000"/>
        <rFont val="Calibri"/>
      </rPr>
      <t>If the log file permissions are greater than "0644", this is a finding.</t>
    </r>
  </si>
  <si>
    <t>V-88545</t>
  </si>
  <si>
    <r>
      <rPr>
        <sz val="11"/>
        <rFont val="Calibri"/>
      </rPr>
      <t>The SMTP service HELP command must not be enabled.</t>
    </r>
  </si>
  <si>
    <r>
      <rPr>
        <sz val="11"/>
        <color rgb="FF000000"/>
        <rFont val="Calibri"/>
      </rPr>
      <t>Run the following command to disable the sendmail helpfile:</t>
    </r>
    <r>
      <rPr>
        <sz val="11"/>
        <color rgb="FF000000"/>
        <rFont val="Calibri"/>
      </rPr>
      <t xml:space="preserve">
</t>
    </r>
    <r>
      <rPr>
        <sz val="11"/>
        <color rgb="FF000000"/>
        <rFont val="Calibri"/>
      </rPr>
      <t># chmod 0000 /usr/lib/sendmail.d/helpfile</t>
    </r>
  </si>
  <si>
    <r>
      <rPr>
        <sz val="11"/>
        <color rgb="FF000000"/>
        <rFont val="Calibri"/>
      </rPr>
      <t>The HELP command should be disabled to mask version information. The version of the SMTP service software could be used by attackers to target vulnerabilities present in specific software versions.</t>
    </r>
  </si>
  <si>
    <r>
      <rPr>
        <sz val="11"/>
        <color rgb="FF000000"/>
        <rFont val="Calibri"/>
      </rPr>
      <t>Check the permissions of the sendmail helpfile:</t>
    </r>
    <r>
      <rPr>
        <sz val="11"/>
        <color rgb="FF000000"/>
        <rFont val="Calibri"/>
      </rPr>
      <t xml:space="preserve">
</t>
    </r>
    <r>
      <rPr>
        <sz val="11"/>
        <color rgb="FF000000"/>
        <rFont val="Calibri"/>
      </rPr>
      <t>ls -al /usr/lib/sendmail.d/helpfile</t>
    </r>
    <r>
      <rPr>
        <sz val="11"/>
        <color rgb="FF000000"/>
        <rFont val="Calibri"/>
      </rPr>
      <t xml:space="preserve">
</t>
    </r>
    <r>
      <rPr>
        <sz val="11"/>
        <color rgb="FF000000"/>
        <rFont val="Calibri"/>
      </rPr>
      <t>If the permissions are not "0000", this is a finding.</t>
    </r>
  </si>
  <si>
    <t>V-88547</t>
  </si>
  <si>
    <r>
      <rPr>
        <sz val="11"/>
        <rFont val="Calibri"/>
      </rPr>
      <t>The SMTP services SMTP greeting must not provide version information.</t>
    </r>
  </si>
  <si>
    <r>
      <rPr>
        <sz val="11"/>
        <color rgb="FF000000"/>
        <rFont val="Calibri"/>
      </rPr>
      <t>Change the "O SmtpGreetingMessage" line in the "/etc/sendmail.cf" file to:</t>
    </r>
    <r>
      <rPr>
        <sz val="11"/>
        <color rgb="FF000000"/>
        <rFont val="Calibri"/>
      </rPr>
      <t xml:space="preserve">
</t>
    </r>
    <r>
      <rPr>
        <sz val="11"/>
        <color rgb="FF000000"/>
        <rFont val="Calibri"/>
      </rPr>
      <t>O SmtpGreetingMessage= Mail Server Ready ; $b</t>
    </r>
  </si>
  <si>
    <r>
      <rPr>
        <sz val="11"/>
        <color rgb="FF000000"/>
        <rFont val="Calibri"/>
      </rPr>
      <t>The version of the SMTP service can be used by attackers to plan an attack based on vulnerabilities present in the specific version.</t>
    </r>
  </si>
  <si>
    <r>
      <rPr>
        <sz val="11"/>
        <color rgb="FF000000"/>
        <rFont val="Calibri"/>
      </rPr>
      <t>To check for the sendmail version being displayed in the greeting:</t>
    </r>
    <r>
      <rPr>
        <sz val="11"/>
        <color rgb="FF000000"/>
        <rFont val="Calibri"/>
      </rPr>
      <t xml:space="preserve">
</t>
    </r>
    <r>
      <rPr>
        <sz val="11"/>
        <color rgb="FF000000"/>
        <rFont val="Calibri"/>
      </rPr>
      <t># more /etc/sendmail.cf | grep SmtpGreetingMessage</t>
    </r>
    <r>
      <rPr>
        <sz val="11"/>
        <color rgb="FF000000"/>
        <rFont val="Calibri"/>
      </rPr>
      <t xml:space="preserve">
</t>
    </r>
    <r>
      <rPr>
        <sz val="11"/>
        <color rgb="FF000000"/>
        <rFont val="Calibri"/>
      </rPr>
      <t xml:space="preserve">If it returns: </t>
    </r>
    <r>
      <rPr>
        <sz val="11"/>
        <color rgb="FF000000"/>
        <rFont val="Calibri"/>
      </rPr>
      <t xml:space="preserve">
</t>
    </r>
    <r>
      <rPr>
        <sz val="11"/>
        <color rgb="FF000000"/>
        <rFont val="Calibri"/>
      </rPr>
      <t>O SmtpGreetingMessage=$j Sendmail $v/$Z; $b</t>
    </r>
    <r>
      <rPr>
        <sz val="11"/>
        <color rgb="FF000000"/>
        <rFont val="Calibri"/>
      </rPr>
      <t xml:space="preserve">
</t>
    </r>
    <r>
      <rPr>
        <sz val="11"/>
        <color rgb="FF000000"/>
        <rFont val="Calibri"/>
      </rPr>
      <t>Then sendmail is providing version information, this is a finding.</t>
    </r>
  </si>
  <si>
    <t>V-88549</t>
  </si>
  <si>
    <r>
      <rPr>
        <sz val="11"/>
        <rFont val="Calibri"/>
      </rPr>
      <t>The SMTP service must not use .forward files.</t>
    </r>
  </si>
  <si>
    <r>
      <rPr>
        <sz val="11"/>
        <color rgb="FF000000"/>
        <rFont val="Calibri"/>
      </rPr>
      <t>Disable forwarding for sendmail and remove ".forward" files from the system:</t>
    </r>
    <r>
      <rPr>
        <sz val="11"/>
        <color rgb="FF000000"/>
        <rFont val="Calibri"/>
      </rPr>
      <t xml:space="preserve">
</t>
    </r>
    <r>
      <rPr>
        <sz val="11"/>
        <color rgb="FF000000"/>
        <rFont val="Calibri"/>
      </rPr>
      <t>Remove all ".forward" files on the system.</t>
    </r>
    <r>
      <rPr>
        <sz val="11"/>
        <color rgb="FF000000"/>
        <rFont val="Calibri"/>
      </rPr>
      <t xml:space="preserve">
</t>
    </r>
    <r>
      <rPr>
        <sz val="11"/>
        <color rgb="FF000000"/>
        <rFont val="Calibri"/>
      </rPr>
      <t># find / -name .forward -delete</t>
    </r>
    <r>
      <rPr>
        <sz val="11"/>
        <color rgb="FF000000"/>
        <rFont val="Calibri"/>
      </rPr>
      <t xml:space="preserve">
</t>
    </r>
    <r>
      <rPr>
        <sz val="11"/>
        <color rgb="FF000000"/>
        <rFont val="Calibri"/>
      </rPr>
      <t>Use the following command to disable forwarding:</t>
    </r>
    <r>
      <rPr>
        <sz val="11"/>
        <color rgb="FF000000"/>
        <rFont val="Calibri"/>
      </rPr>
      <t xml:space="preserve">
</t>
    </r>
    <r>
      <rPr>
        <sz val="11"/>
        <color rgb="FF000000"/>
        <rFont val="Calibri"/>
      </rPr>
      <t># sed -i "s/O ForwardPath/#O ForwardPath/" /etc/sendmail.cf</t>
    </r>
    <r>
      <rPr>
        <sz val="11"/>
        <color rgb="FF000000"/>
        <rFont val="Calibri"/>
      </rPr>
      <t xml:space="preserve">
</t>
    </r>
    <r>
      <rPr>
        <sz val="11"/>
        <color rgb="FF000000"/>
        <rFont val="Calibri"/>
      </rPr>
      <t>Restart the sendmail service:</t>
    </r>
    <r>
      <rPr>
        <sz val="11"/>
        <color rgb="FF000000"/>
        <rFont val="Calibri"/>
      </rPr>
      <t xml:space="preserve">
</t>
    </r>
    <r>
      <rPr>
        <sz val="11"/>
        <color rgb="FF000000"/>
        <rFont val="Calibri"/>
      </rPr>
      <t># service sendmail restart</t>
    </r>
  </si>
  <si>
    <r>
      <rPr>
        <sz val="11"/>
        <color rgb="FF000000"/>
        <rFont val="Calibri"/>
      </rPr>
      <t>The .forward file allows users to automatically forward mail to another system. Use of .forward files could allow the unauthorized forwarding of mail and could potentially create mail loops that could degrade system performance.</t>
    </r>
  </si>
  <si>
    <r>
      <rPr>
        <sz val="11"/>
        <color rgb="FF000000"/>
        <rFont val="Calibri"/>
      </rPr>
      <t>Check forwarding from sendmail:</t>
    </r>
    <r>
      <rPr>
        <sz val="11"/>
        <color rgb="FF000000"/>
        <rFont val="Calibri"/>
      </rPr>
      <t xml:space="preserve">
</t>
    </r>
    <r>
      <rPr>
        <sz val="11"/>
        <color rgb="FF000000"/>
        <rFont val="Calibri"/>
      </rPr>
      <t># grep "0 ForwardPath" /etc/sendmail.cf</t>
    </r>
    <r>
      <rPr>
        <sz val="11"/>
        <color rgb="FF000000"/>
        <rFont val="Calibri"/>
      </rPr>
      <t xml:space="preserve">
</t>
    </r>
    <r>
      <rPr>
        <sz val="11"/>
        <color rgb="FF000000"/>
        <rFont val="Calibri"/>
      </rPr>
      <t>If the entry contains a file path and is not commented out, this is a finding.</t>
    </r>
  </si>
  <si>
    <t>V-88551</t>
  </si>
  <si>
    <r>
      <rPr>
        <sz val="11"/>
        <rFont val="Calibri"/>
      </rPr>
      <t>The SMTP service must not have the EXPN feature active.</t>
    </r>
  </si>
  <si>
    <r>
      <rPr>
        <sz val="11"/>
        <color rgb="FF000000"/>
        <rFont val="Calibri"/>
      </rPr>
      <t>Add "noexpn" to the "PrivacyOptions" flag in the "/etc/sendmail.cf" file.</t>
    </r>
  </si>
  <si>
    <r>
      <rPr>
        <sz val="11"/>
        <color rgb="FF000000"/>
        <rFont val="Calibri"/>
      </rPr>
      <t>The SMTP EXPN function allows an attacker to determine if an account exists on a system, providing significant assistance to a brute force attack on user accounts. EXPN may also provide additional information concerning users on the system, such as the full names of account owners.</t>
    </r>
  </si>
  <si>
    <r>
      <rPr>
        <sz val="11"/>
        <color rgb="FF000000"/>
        <rFont val="Calibri"/>
      </rPr>
      <t>Use the following command to check if EXPN is disabled:</t>
    </r>
    <r>
      <rPr>
        <sz val="11"/>
        <color rgb="FF000000"/>
        <rFont val="Calibri"/>
      </rPr>
      <t xml:space="preserve">
</t>
    </r>
    <r>
      <rPr>
        <sz val="11"/>
        <color rgb="FF000000"/>
        <rFont val="Calibri"/>
      </rPr>
      <t># grep -v "^#" /etc/sendmail.cf |grep -i PrivacyOptions</t>
    </r>
    <r>
      <rPr>
        <sz val="11"/>
        <color rgb="FF000000"/>
        <rFont val="Calibri"/>
      </rPr>
      <t xml:space="preserve">
</t>
    </r>
    <r>
      <rPr>
        <sz val="11"/>
        <color rgb="FF000000"/>
        <rFont val="Calibri"/>
      </rPr>
      <t>If "noexpn" is not returned, this is a finding.</t>
    </r>
  </si>
  <si>
    <t>V-88553</t>
  </si>
  <si>
    <r>
      <rPr>
        <sz val="11"/>
        <rFont val="Calibri"/>
      </rPr>
      <t>The SMTP service must not have the VRFY feature active.</t>
    </r>
  </si>
  <si>
    <r>
      <rPr>
        <sz val="11"/>
        <color rgb="FF000000"/>
        <rFont val="Calibri"/>
      </rPr>
      <t>Add "novrfy" to the "PrivacyOptions" flag in the "/etc/sendmail.cf" file.</t>
    </r>
  </si>
  <si>
    <r>
      <rPr>
        <sz val="11"/>
        <color rgb="FF000000"/>
        <rFont val="Calibri"/>
      </rPr>
      <t>The VRFY (Verify) command allows an attacker to determine if an account exists on a system, providing significant assistance to a brute force attack on user accounts. VRFY may provide additional information about users on the system, such as the full names of account owners.</t>
    </r>
  </si>
  <si>
    <r>
      <rPr>
        <sz val="11"/>
        <color rgb="FF000000"/>
        <rFont val="Calibri"/>
      </rPr>
      <t>Use the following command to check if VRFY is disabled:</t>
    </r>
    <r>
      <rPr>
        <sz val="11"/>
        <color rgb="FF000000"/>
        <rFont val="Calibri"/>
      </rPr>
      <t xml:space="preserve">
</t>
    </r>
    <r>
      <rPr>
        <sz val="11"/>
        <color rgb="FF000000"/>
        <rFont val="Calibri"/>
      </rPr>
      <t># grep -v "^#" /etc/sendmail.cf |grep -i PrivacyOptions</t>
    </r>
    <r>
      <rPr>
        <sz val="11"/>
        <color rgb="FF000000"/>
        <rFont val="Calibri"/>
      </rPr>
      <t xml:space="preserve">
</t>
    </r>
    <r>
      <rPr>
        <sz val="11"/>
        <color rgb="FF000000"/>
        <rFont val="Calibri"/>
      </rPr>
      <t>If "novrfy" is not returned, this is a finding.</t>
    </r>
  </si>
  <si>
    <t>V-88555</t>
  </si>
  <si>
    <r>
      <rPr>
        <sz val="11"/>
        <rFont val="Calibri"/>
      </rPr>
      <t>The Lightweight User Datagram Protocol (UDP-Lite) must be disabled unless required.</t>
    </r>
  </si>
  <si>
    <r>
      <rPr>
        <sz val="11"/>
        <color rgb="FF000000"/>
        <rFont val="Calibri"/>
      </rPr>
      <t>Configure SLES for vRealize to prevent the dynamic loading of the "UDP-Lite" protocol handler:</t>
    </r>
    <r>
      <rPr>
        <sz val="11"/>
        <color rgb="FF000000"/>
        <rFont val="Calibri"/>
      </rPr>
      <t xml:space="preserve">
</t>
    </r>
    <r>
      <rPr>
        <sz val="11"/>
        <color rgb="FF000000"/>
        <rFont val="Calibri"/>
      </rPr>
      <t>Add the following rule to the iptables firewall ruleset:</t>
    </r>
    <r>
      <rPr>
        <sz val="11"/>
        <color rgb="FF000000"/>
        <rFont val="Calibri"/>
      </rPr>
      <t xml:space="preserve">
</t>
    </r>
    <r>
      <rPr>
        <sz val="11"/>
        <color rgb="FF000000"/>
        <rFont val="Calibri"/>
      </rPr>
      <t># iptables -A INPUT -p udplite -j DROP</t>
    </r>
  </si>
  <si>
    <r>
      <rPr>
        <sz val="11"/>
        <color rgb="FF000000"/>
        <rFont val="Calibri"/>
      </rPr>
      <t>The Lightweight User Datagram Protocol (UDP-Lite) is a proposed transport layer protocol. This protocol is not yet widely used. Binding this protocol to the network stack increases the attack surface of the host. Unprivileged local processes may be able to cause SLES for vRealize  to dynamically load a protocol handler by opening a socket using the protocol.</t>
    </r>
  </si>
  <si>
    <r>
      <rPr>
        <sz val="11"/>
        <color rgb="FF000000"/>
        <rFont val="Calibri"/>
      </rPr>
      <t>Run the following command:</t>
    </r>
    <r>
      <rPr>
        <sz val="11"/>
        <color rgb="FF000000"/>
        <rFont val="Calibri"/>
      </rPr>
      <t xml:space="preserve">
</t>
    </r>
    <r>
      <rPr>
        <sz val="11"/>
        <color rgb="FF000000"/>
        <rFont val="Calibri"/>
      </rPr>
      <t>iptables --list | grep "udplite"</t>
    </r>
    <r>
      <rPr>
        <sz val="11"/>
        <color rgb="FF000000"/>
        <rFont val="Calibri"/>
      </rPr>
      <t xml:space="preserve">
</t>
    </r>
    <r>
      <rPr>
        <sz val="11"/>
        <color rgb="FF000000"/>
        <rFont val="Calibri"/>
      </rPr>
      <t>If no result is displayed, this is a finding.</t>
    </r>
  </si>
  <si>
    <t>V-88557</t>
  </si>
  <si>
    <r>
      <rPr>
        <sz val="11"/>
        <rFont val="Calibri"/>
      </rPr>
      <t>The Internetwork Packet Exchange (IPX) protocol must be disabled or not installed.</t>
    </r>
  </si>
  <si>
    <r>
      <rPr>
        <sz val="11"/>
        <color rgb="FF000000"/>
        <rFont val="Calibri"/>
      </rPr>
      <t>Prevent the "IPX" protocol handler from dynamic loading:</t>
    </r>
    <r>
      <rPr>
        <sz val="11"/>
        <color rgb="FF000000"/>
        <rFont val="Calibri"/>
      </rPr>
      <t xml:space="preserve">
</t>
    </r>
    <r>
      <rPr>
        <sz val="11"/>
        <color rgb="FF000000"/>
        <rFont val="Calibri"/>
      </rPr>
      <t># echo "install ipx /bin/true" &gt;&gt; /etc/modprobe.conf.local</t>
    </r>
  </si>
  <si>
    <r>
      <rPr>
        <sz val="11"/>
        <color rgb="FF000000"/>
        <rFont val="Calibri"/>
      </rPr>
      <t>The Internetwork Packet Exchange (IPX) protocol is a network-layer protocol that is no longer in common use. Binding this protocol to the network stack increases the attack surface of the host. Unprivileged local processes may be able to cause SLES for vRealize to dynamically load a protocol handler by opening a socket using the protocol.</t>
    </r>
  </si>
  <si>
    <r>
      <rPr>
        <sz val="11"/>
        <color rgb="FF000000"/>
        <rFont val="Calibri"/>
      </rPr>
      <t>Check that the "IPX" protocol handler is prevented from dynamic loading:</t>
    </r>
    <r>
      <rPr>
        <sz val="11"/>
        <color rgb="FF000000"/>
        <rFont val="Calibri"/>
      </rPr>
      <t xml:space="preserve">
</t>
    </r>
    <r>
      <rPr>
        <sz val="11"/>
        <color rgb="FF000000"/>
        <rFont val="Calibri"/>
      </rPr>
      <t xml:space="preserve"># grep "install ipx /bin/true" /etc/modprobe.conf /etc/modprobe.conf.local /etc/modprobe.d/* </t>
    </r>
    <r>
      <rPr>
        <sz val="11"/>
        <color rgb="FF000000"/>
        <rFont val="Calibri"/>
      </rPr>
      <t xml:space="preserve">
</t>
    </r>
    <r>
      <rPr>
        <sz val="11"/>
        <color rgb="FF000000"/>
        <rFont val="Calibri"/>
      </rPr>
      <t>If no result is returned, this is a finding.</t>
    </r>
  </si>
  <si>
    <t>V-88559</t>
  </si>
  <si>
    <r>
      <rPr>
        <sz val="11"/>
        <rFont val="Calibri"/>
      </rPr>
      <t>The AppleTalk protocol must be disabled or not installed.</t>
    </r>
  </si>
  <si>
    <r>
      <rPr>
        <sz val="11"/>
        <color rgb="FF000000"/>
        <rFont val="Calibri"/>
      </rPr>
      <t>Prevent the "AppleTalk" protocol handler from dynamic loading:</t>
    </r>
    <r>
      <rPr>
        <sz val="11"/>
        <color rgb="FF000000"/>
        <rFont val="Calibri"/>
      </rPr>
      <t xml:space="preserve">
</t>
    </r>
    <r>
      <rPr>
        <sz val="11"/>
        <color rgb="FF000000"/>
        <rFont val="Calibri"/>
      </rPr>
      <t># echo "install appletalk /bin/true" &gt;&gt; /etc/modprobe.conf.local</t>
    </r>
  </si>
  <si>
    <r>
      <rPr>
        <sz val="11"/>
        <color rgb="FF000000"/>
        <rFont val="Calibri"/>
      </rPr>
      <t>The AppleTalk suite of protocols is no longer in common use. Binding this protocol to the network stack increases the attack surface of the host. Unprivileged local processes may be able to cause SLES for vRealize to dynamically load a protocol handler by opening a socket using the protocol.</t>
    </r>
  </si>
  <si>
    <r>
      <rPr>
        <sz val="11"/>
        <color rgb="FF000000"/>
        <rFont val="Calibri"/>
      </rPr>
      <t>Verify the "AppleTalk" protocol handler is prevented from dynamic loading:</t>
    </r>
    <r>
      <rPr>
        <sz val="11"/>
        <color rgb="FF000000"/>
        <rFont val="Calibri"/>
      </rPr>
      <t xml:space="preserve">
</t>
    </r>
    <r>
      <rPr>
        <sz val="11"/>
        <color rgb="FF000000"/>
        <rFont val="Calibri"/>
      </rPr>
      <t xml:space="preserve"># grep "install appletalk /bin/true" /etc/modprobe.conf /etc/modprobe.conf.local /etc/modprobe.d/* </t>
    </r>
    <r>
      <rPr>
        <sz val="11"/>
        <color rgb="FF000000"/>
        <rFont val="Calibri"/>
      </rPr>
      <t xml:space="preserve">
</t>
    </r>
    <r>
      <rPr>
        <sz val="11"/>
        <color rgb="FF000000"/>
        <rFont val="Calibri"/>
      </rPr>
      <t>If no result is returned, this is a finding.</t>
    </r>
  </si>
  <si>
    <t>V-88561</t>
  </si>
  <si>
    <r>
      <rPr>
        <sz val="11"/>
        <rFont val="Calibri"/>
      </rPr>
      <t>The DECnet protocol must be disabled or not installed.</t>
    </r>
  </si>
  <si>
    <r>
      <rPr>
        <sz val="11"/>
        <color rgb="FF000000"/>
        <rFont val="Calibri"/>
      </rPr>
      <t>Prevent the "DECnet" protocol handler from dynamic loading:</t>
    </r>
    <r>
      <rPr>
        <sz val="11"/>
        <color rgb="FF000000"/>
        <rFont val="Calibri"/>
      </rPr>
      <t xml:space="preserve">
</t>
    </r>
    <r>
      <rPr>
        <sz val="11"/>
        <color rgb="FF000000"/>
        <rFont val="Calibri"/>
      </rPr>
      <t># echo "install decnet /bin/true" &gt;&gt; /etc/modprobe.conf.local</t>
    </r>
  </si>
  <si>
    <r>
      <rPr>
        <sz val="11"/>
        <color rgb="FF000000"/>
        <rFont val="Calibri"/>
      </rPr>
      <t>The DECnet suite of protocols is no longer in common use. Binding this protocol to the network stack increases the attack surface of the host. Unprivileged local processes may be able to cause SLES for vRealize to dynamically load a protocol handler by opening a socket using the protocol.</t>
    </r>
  </si>
  <si>
    <r>
      <rPr>
        <sz val="11"/>
        <color rgb="FF000000"/>
        <rFont val="Calibri"/>
      </rPr>
      <t>Check that the "DECnet" protocol handler is prevented from dynamic loading:</t>
    </r>
    <r>
      <rPr>
        <sz val="11"/>
        <color rgb="FF000000"/>
        <rFont val="Calibri"/>
      </rPr>
      <t xml:space="preserve">
</t>
    </r>
    <r>
      <rPr>
        <sz val="11"/>
        <color rgb="FF000000"/>
        <rFont val="Calibri"/>
      </rPr>
      <t># grep "install decnet /bin/true" /etc/modprobe.conf /etc/modprobe.conf.local /etc/modprobe.d/*</t>
    </r>
    <r>
      <rPr>
        <sz val="11"/>
        <color rgb="FF000000"/>
        <rFont val="Calibri"/>
      </rPr>
      <t xml:space="preserve">
</t>
    </r>
    <r>
      <rPr>
        <sz val="11"/>
        <color rgb="FF000000"/>
        <rFont val="Calibri"/>
      </rPr>
      <t>If no result is returned, this is a finding.</t>
    </r>
  </si>
  <si>
    <t>V-88563</t>
  </si>
  <si>
    <r>
      <rPr>
        <sz val="11"/>
        <rFont val="Calibri"/>
      </rPr>
      <t>Proxy Neighbor Discovery Protocol (NDP) must not be enabled on SLES for vRealize.</t>
    </r>
  </si>
  <si>
    <r>
      <rPr>
        <sz val="11"/>
        <color rgb="FF000000"/>
        <rFont val="Calibri"/>
      </rPr>
      <t>Disable proxy "NDP" on the system.</t>
    </r>
    <r>
      <rPr>
        <sz val="11"/>
        <color rgb="FF000000"/>
        <rFont val="Calibri"/>
      </rPr>
      <t xml:space="preserve">
</t>
    </r>
    <r>
      <rPr>
        <sz val="11"/>
        <color rgb="FF000000"/>
        <rFont val="Calibri"/>
      </rPr>
      <t>For Appliance OS, "proxy_ndp" is disabled by default.</t>
    </r>
  </si>
  <si>
    <r>
      <rPr>
        <sz val="11"/>
        <color rgb="FF000000"/>
        <rFont val="Calibri"/>
      </rPr>
      <t>Proxy Neighbor Discovery Protocol (NDP) allows a system to respond to NDP requests on one interface on behalf of hosts connected to another interface. If this function is enabled when not required, addressing information may be leaked between the attached network segments.</t>
    </r>
  </si>
  <si>
    <r>
      <rPr>
        <sz val="11"/>
        <color rgb="FF000000"/>
        <rFont val="Calibri"/>
      </rPr>
      <t>Determine if SLES for vRealize has proxy "NDP", and if it is enabled:</t>
    </r>
    <r>
      <rPr>
        <sz val="11"/>
        <color rgb="FF000000"/>
        <rFont val="Calibri"/>
      </rPr>
      <t xml:space="preserve">
</t>
    </r>
    <r>
      <rPr>
        <sz val="11"/>
        <color rgb="FF000000"/>
        <rFont val="Calibri"/>
      </rPr>
      <t># more /proc/sys/net/ipv6/conf/*/proxy_ndp</t>
    </r>
    <r>
      <rPr>
        <sz val="11"/>
        <color rgb="FF000000"/>
        <rFont val="Calibri"/>
      </rPr>
      <t xml:space="preserve">
</t>
    </r>
    <r>
      <rPr>
        <sz val="11"/>
        <color rgb="FF000000"/>
        <rFont val="Calibri"/>
      </rPr>
      <t>If the file is not found, the kernel does not have proxy "NDP", this is not a finding.</t>
    </r>
    <r>
      <rPr>
        <sz val="11"/>
        <color rgb="FF000000"/>
        <rFont val="Calibri"/>
      </rPr>
      <t xml:space="preserve">
</t>
    </r>
    <r>
      <rPr>
        <sz val="11"/>
        <color rgb="FF000000"/>
        <rFont val="Calibri"/>
      </rPr>
      <t>If the file has a value of "0", proxy "NDP" is not enabled, this is not a finding.</t>
    </r>
    <r>
      <rPr>
        <sz val="11"/>
        <color rgb="FF000000"/>
        <rFont val="Calibri"/>
      </rPr>
      <t xml:space="preserve">
</t>
    </r>
    <r>
      <rPr>
        <sz val="11"/>
        <color rgb="FF000000"/>
        <rFont val="Calibri"/>
      </rPr>
      <t>If the file has a value of "1", proxy NDP is enabled, this is a finding.</t>
    </r>
  </si>
  <si>
    <t>V-88565</t>
  </si>
  <si>
    <r>
      <rPr>
        <sz val="11"/>
        <rFont val="Calibri"/>
      </rPr>
      <t>The SLES for vRealize must not have 6to4 enabled.</t>
    </r>
  </si>
  <si>
    <r>
      <rPr>
        <sz val="11"/>
        <color rgb="FF000000"/>
        <rFont val="Calibri"/>
      </rPr>
      <t>Disable the active "6to4" tunnel:</t>
    </r>
    <r>
      <rPr>
        <sz val="11"/>
        <color rgb="FF000000"/>
        <rFont val="Calibri"/>
      </rPr>
      <t xml:space="preserve">
</t>
    </r>
    <r>
      <rPr>
        <sz val="11"/>
        <color rgb="FF000000"/>
        <rFont val="Calibri"/>
      </rPr>
      <t># ip link set &lt;tunnel&gt; down</t>
    </r>
    <r>
      <rPr>
        <sz val="11"/>
        <color rgb="FF000000"/>
        <rFont val="Calibri"/>
      </rPr>
      <t xml:space="preserve">
</t>
    </r>
    <r>
      <rPr>
        <sz val="11"/>
        <color rgb="FF000000"/>
        <rFont val="Calibri"/>
      </rPr>
      <t>Add this command to a startup script, or remove the configuration creating the tunnel.</t>
    </r>
  </si>
  <si>
    <r>
      <rPr>
        <sz val="11"/>
        <color rgb="FF000000"/>
        <rFont val="Calibri"/>
      </rPr>
      <t>6to4 is an IPv6 transition mechanism that involves tunneling IPv6 packets encapsulated in IPv4 packets on an ad hoc basis. This is not a preferred transition strategy and increases the attack surface of SLES for vRealize.</t>
    </r>
  </si>
  <si>
    <r>
      <rPr>
        <sz val="11"/>
        <color rgb="FF000000"/>
        <rFont val="Calibri"/>
      </rPr>
      <t>Check SLES for vRealize for any active "6to4" tunnels without specific remote addresses:</t>
    </r>
    <r>
      <rPr>
        <sz val="11"/>
        <color rgb="FF000000"/>
        <rFont val="Calibri"/>
      </rPr>
      <t xml:space="preserve">
</t>
    </r>
    <r>
      <rPr>
        <sz val="11"/>
        <color rgb="FF000000"/>
        <rFont val="Calibri"/>
      </rPr>
      <t># ip tun list | grep "remote any" | grep "ipv6/ip"</t>
    </r>
    <r>
      <rPr>
        <sz val="11"/>
        <color rgb="FF000000"/>
        <rFont val="Calibri"/>
      </rPr>
      <t xml:space="preserve">
</t>
    </r>
    <r>
      <rPr>
        <sz val="11"/>
        <color rgb="FF000000"/>
        <rFont val="Calibri"/>
      </rPr>
      <t xml:space="preserve">If any results are returned the "tunnel" is the first field. </t>
    </r>
    <r>
      <rPr>
        <sz val="11"/>
        <color rgb="FF000000"/>
        <rFont val="Calibri"/>
      </rPr>
      <t xml:space="preserve">
</t>
    </r>
    <r>
      <rPr>
        <sz val="11"/>
        <color rgb="FF000000"/>
        <rFont val="Calibri"/>
      </rPr>
      <t>If any results are returned, this is a finding.</t>
    </r>
  </si>
  <si>
    <t>V-88567</t>
  </si>
  <si>
    <r>
      <rPr>
        <sz val="11"/>
        <rFont val="Calibri"/>
      </rPr>
      <t>The SLES for vRealize must not have Teredo enabled.</t>
    </r>
  </si>
  <si>
    <r>
      <rPr>
        <sz val="11"/>
        <color rgb="FF000000"/>
        <rFont val="Calibri"/>
      </rPr>
      <t>Kill the "Miredo" service.</t>
    </r>
    <r>
      <rPr>
        <sz val="11"/>
        <color rgb="FF000000"/>
        <rFont val="Calibri"/>
      </rPr>
      <t xml:space="preserve">
</t>
    </r>
    <r>
      <rPr>
        <sz val="11"/>
        <color rgb="FF000000"/>
        <rFont val="Calibri"/>
      </rPr>
      <t>Edit startup scripts to prevent the service from running on startup.</t>
    </r>
  </si>
  <si>
    <r>
      <rPr>
        <sz val="11"/>
        <color rgb="FF000000"/>
        <rFont val="Calibri"/>
      </rPr>
      <t>Teredo is an IPv6 transition mechanism that involves tunneling IPv6 packets encapsulated in IPv4 packets. Unauthorized tunneling may circumvent network security.</t>
    </r>
  </si>
  <si>
    <r>
      <rPr>
        <sz val="11"/>
        <color rgb="FF000000"/>
        <rFont val="Calibri"/>
      </rPr>
      <t>Verify the "Miredo" service is not running:</t>
    </r>
    <r>
      <rPr>
        <sz val="11"/>
        <color rgb="FF000000"/>
        <rFont val="Calibri"/>
      </rPr>
      <t xml:space="preserve">
</t>
    </r>
    <r>
      <rPr>
        <sz val="11"/>
        <color rgb="FF000000"/>
        <rFont val="Calibri"/>
      </rPr>
      <t># ps ax | grep miredo | grep -v grep</t>
    </r>
    <r>
      <rPr>
        <sz val="11"/>
        <color rgb="FF000000"/>
        <rFont val="Calibri"/>
      </rPr>
      <t xml:space="preserve">
</t>
    </r>
    <r>
      <rPr>
        <sz val="11"/>
        <color rgb="FF000000"/>
        <rFont val="Calibri"/>
      </rPr>
      <t xml:space="preserve">If the Miredo process is running, this is a finding. </t>
    </r>
    <r>
      <rPr>
        <sz val="11"/>
        <color rgb="FF000000"/>
        <rFont val="Calibri"/>
      </rPr>
      <t xml:space="preserve">
</t>
    </r>
    <r>
      <rPr>
        <sz val="11"/>
        <color rgb="FF000000"/>
        <rFont val="Calibri"/>
      </rPr>
      <t>Note: For Appliance OS, "Miredo" is not included by default, this is not a finding.</t>
    </r>
  </si>
  <si>
    <t>V-88569</t>
  </si>
  <si>
    <r>
      <rPr>
        <sz val="11"/>
        <rFont val="Calibri"/>
      </rPr>
      <t>The DHCP client must be disabled if not needed.</t>
    </r>
  </si>
  <si>
    <r>
      <rPr>
        <sz val="11"/>
        <color rgb="FF000000"/>
        <rFont val="Calibri"/>
      </rPr>
      <t>Edit the "/etc/sysconfig/network/ifcfg-*" file(s) and change the "bootproto" setting to "static".</t>
    </r>
  </si>
  <si>
    <r>
      <rPr>
        <sz val="11"/>
        <color rgb="FF000000"/>
        <rFont val="Calibri"/>
      </rPr>
      <t>DHCP allows for the unauthenticated configuration of network parameters on SLES for vRealize  by exchanging information with a DHCP server.</t>
    </r>
  </si>
  <si>
    <r>
      <rPr>
        <sz val="11"/>
        <color rgb="FF000000"/>
        <rFont val="Calibri"/>
      </rPr>
      <t>Check that no interface is configured to use "DHCP":</t>
    </r>
    <r>
      <rPr>
        <sz val="11"/>
        <color rgb="FF000000"/>
        <rFont val="Calibri"/>
      </rPr>
      <t xml:space="preserve">
</t>
    </r>
    <r>
      <rPr>
        <sz val="11"/>
        <color rgb="FF000000"/>
        <rFont val="Calibri"/>
      </rPr>
      <t># grep -i bootproto=dhcp4 /etc/sysconfig/network/ifcfg-*</t>
    </r>
    <r>
      <rPr>
        <sz val="11"/>
        <color rgb="FF000000"/>
        <rFont val="Calibri"/>
      </rPr>
      <t xml:space="preserve">
</t>
    </r>
    <r>
      <rPr>
        <sz val="11"/>
        <color rgb="FF000000"/>
        <rFont val="Calibri"/>
      </rPr>
      <t>If any configuration is found, this is a finding.</t>
    </r>
  </si>
  <si>
    <t>V-88571</t>
  </si>
  <si>
    <r>
      <rPr>
        <sz val="11"/>
        <rFont val="Calibri"/>
      </rPr>
      <t>The SLES for vRealize must have IEEE 1394 (Firewire) disabled unless needed.</t>
    </r>
  </si>
  <si>
    <r>
      <rPr>
        <sz val="11"/>
        <color rgb="FF000000"/>
        <rFont val="Calibri"/>
      </rPr>
      <t>Prevent SLES for vRealize from loading the firewire module:</t>
    </r>
    <r>
      <rPr>
        <sz val="11"/>
        <color rgb="FF000000"/>
        <rFont val="Calibri"/>
      </rPr>
      <t xml:space="preserve">
</t>
    </r>
    <r>
      <rPr>
        <sz val="11"/>
        <color rgb="FF000000"/>
        <rFont val="Calibri"/>
      </rPr>
      <t># echo "install ieee1394 /bin/true" &gt;&gt; /etc/modprobe.conf.local</t>
    </r>
  </si>
  <si>
    <r>
      <rPr>
        <sz val="11"/>
        <color rgb="FF000000"/>
        <rFont val="Calibri"/>
      </rPr>
      <t>Firewire is a common computer peripheral interface. Firewire devices may include storage devices that could be used to install malicious software on a system or exfiltrate data.</t>
    </r>
  </si>
  <si>
    <r>
      <rPr>
        <sz val="11"/>
        <color rgb="FF000000"/>
        <rFont val="Calibri"/>
      </rPr>
      <t>If SLES for vRealize needs IEEE 1394 (Firewire), this is not applicable.</t>
    </r>
    <r>
      <rPr>
        <sz val="11"/>
        <color rgb="FF000000"/>
        <rFont val="Calibri"/>
      </rPr>
      <t xml:space="preserve">
</t>
    </r>
    <r>
      <rPr>
        <sz val="11"/>
        <color rgb="FF000000"/>
        <rFont val="Calibri"/>
      </rPr>
      <t>Check if the firewire module is not disabled:</t>
    </r>
    <r>
      <rPr>
        <sz val="11"/>
        <color rgb="FF000000"/>
        <rFont val="Calibri"/>
      </rPr>
      <t xml:space="preserve">
</t>
    </r>
    <r>
      <rPr>
        <sz val="11"/>
        <color rgb="FF000000"/>
        <rFont val="Calibri"/>
      </rPr>
      <t># grep "install ieee1394 /bin/true" /etc/modprobe.conf /etc/modprobe.conf.local /etc/modprobe.d/*</t>
    </r>
    <r>
      <rPr>
        <sz val="11"/>
        <color rgb="FF000000"/>
        <rFont val="Calibri"/>
      </rPr>
      <t xml:space="preserve">
</t>
    </r>
    <r>
      <rPr>
        <sz val="11"/>
        <color rgb="FF000000"/>
        <rFont val="Calibri"/>
      </rPr>
      <t>If no results are returned, this is a finding.</t>
    </r>
  </si>
  <si>
    <t>V-88573</t>
  </si>
  <si>
    <r>
      <rPr>
        <sz val="11"/>
        <rFont val="Calibri"/>
      </rPr>
      <t>Duplicate User IDs (UIDs) must not exist for users within the organization.</t>
    </r>
  </si>
  <si>
    <r>
      <rPr>
        <sz val="11"/>
        <color rgb="FF000000"/>
        <rFont val="Calibri"/>
      </rPr>
      <t>Edit the file "/etc/passwd" and provide each organizational user account that has a duplicate UID with a unique UID.</t>
    </r>
  </si>
  <si>
    <r>
      <rPr>
        <sz val="11"/>
        <color rgb="FF000000"/>
        <rFont val="Calibri"/>
      </rPr>
      <t>To assure accountability and prevent unauthenticated access, organizational users must be identified and authenticated to prevent potential misuse and compromise of SLES for vRealize.</t>
    </r>
    <r>
      <rPr>
        <sz val="11"/>
        <color rgb="FF000000"/>
        <rFont val="Calibri"/>
      </rPr>
      <t xml:space="preserve">
</t>
    </r>
    <r>
      <rPr>
        <sz val="11"/>
        <color rgb="FF000000"/>
        <rFont val="Calibri"/>
      </rPr>
      <t xml:space="preserve">Organizational users include organizational employees or individuals the organization deems to have equivalent status of employees (e.g., contractors). Organizational users (and processes acting on behalf of users) must be uniquely identified and authenticated to all accesses, except for the following: </t>
    </r>
    <r>
      <rPr>
        <sz val="11"/>
        <color rgb="FF000000"/>
        <rFont val="Calibri"/>
      </rPr>
      <t xml:space="preserve">
</t>
    </r>
    <r>
      <rPr>
        <sz val="11"/>
        <color rgb="FF000000"/>
        <rFont val="Calibri"/>
      </rPr>
      <t>1) Accesses explicitly identified and documented by the organization. Organizations document specific user actions that can be performed on the information system without identification or authentication; and</t>
    </r>
    <r>
      <rPr>
        <sz val="11"/>
        <color rgb="FF000000"/>
        <rFont val="Calibri"/>
      </rPr>
      <t xml:space="preserve">
</t>
    </r>
    <r>
      <rPr>
        <sz val="11"/>
        <color rgb="FF000000"/>
        <rFont val="Calibri"/>
      </rPr>
      <t>2) Accesses that occur through authorized use of group authenticators without individual authentication. Organizations may require unique identification of individuals in group accounts (e.g., shared privilege accounts) or for detailed accountability of individual activity.</t>
    </r>
  </si>
  <si>
    <r>
      <rPr>
        <sz val="11"/>
        <color rgb="FF000000"/>
        <rFont val="Calibri"/>
      </rPr>
      <t>Verify that SLES for vRealize contains no duplicate UIDs for organizational users by running the following command:</t>
    </r>
    <r>
      <rPr>
        <sz val="11"/>
        <color rgb="FF000000"/>
        <rFont val="Calibri"/>
      </rPr>
      <t xml:space="preserve">
</t>
    </r>
    <r>
      <rPr>
        <sz val="11"/>
        <color rgb="FF000000"/>
        <rFont val="Calibri"/>
      </rPr>
      <t># awk -F ":" 'list[$3]++{print $1, $3}' /etc/passwd</t>
    </r>
    <r>
      <rPr>
        <sz val="11"/>
        <color rgb="FF000000"/>
        <rFont val="Calibri"/>
      </rPr>
      <t xml:space="preserve">
</t>
    </r>
    <r>
      <rPr>
        <sz val="11"/>
        <color rgb="FF000000"/>
        <rFont val="Calibri"/>
      </rPr>
      <t>If output is produced, this is a finding.</t>
    </r>
  </si>
  <si>
    <t>V-88575</t>
  </si>
  <si>
    <r>
      <rPr>
        <sz val="11"/>
        <rFont val="Calibri"/>
      </rPr>
      <t>The SLES for vRealize must prevent direct logon into the root account.</t>
    </r>
  </si>
  <si>
    <r>
      <rPr>
        <sz val="11"/>
        <color rgb="FF000000"/>
        <rFont val="Calibri"/>
      </rPr>
      <t>Configure SLES for vRealize to prevent direct logins to the root account by performing the following operations:</t>
    </r>
    <r>
      <rPr>
        <sz val="11"/>
        <color rgb="FF000000"/>
        <rFont val="Calibri"/>
      </rPr>
      <t xml:space="preserve">
</t>
    </r>
    <r>
      <rPr>
        <sz val="11"/>
        <color rgb="FF000000"/>
        <rFont val="Calibri"/>
      </rPr>
      <t>Add this line to the "/etc/group" file:</t>
    </r>
    <r>
      <rPr>
        <sz val="11"/>
        <color rgb="FF000000"/>
        <rFont val="Calibri"/>
      </rPr>
      <t xml:space="preserve">
</t>
    </r>
    <r>
      <rPr>
        <sz val="11"/>
        <color rgb="FF000000"/>
        <rFont val="Calibri"/>
      </rPr>
      <t>admin:x:[UNIQUE_NUMBER]:[USERNAME]</t>
    </r>
    <r>
      <rPr>
        <sz val="11"/>
        <color rgb="FF000000"/>
        <rFont val="Calibri"/>
      </rPr>
      <t xml:space="preserve">
</t>
    </r>
    <r>
      <rPr>
        <sz val="11"/>
        <color rgb="FF000000"/>
        <rFont val="Calibri"/>
      </rPr>
      <t>USERNAME is the user you wish to add to the admin group.</t>
    </r>
    <r>
      <rPr>
        <sz val="11"/>
        <color rgb="FF000000"/>
        <rFont val="Calibri"/>
      </rPr>
      <t xml:space="preserve">
</t>
    </r>
    <r>
      <rPr>
        <sz val="11"/>
        <color rgb="FF000000"/>
        <rFont val="Calibri"/>
      </rPr>
      <t>UNIQUE_NUMBER is a number entered into the ID field of an entry that is unique to all other IDs in the file.</t>
    </r>
    <r>
      <rPr>
        <sz val="11"/>
        <color rgb="FF000000"/>
        <rFont val="Calibri"/>
      </rPr>
      <t xml:space="preserve">
</t>
    </r>
    <r>
      <rPr>
        <sz val="11"/>
        <color rgb="FF000000"/>
        <rFont val="Calibri"/>
      </rPr>
      <t xml:space="preserve">Comment out the following lines in "/etc/sudoers" file: </t>
    </r>
    <r>
      <rPr>
        <sz val="11"/>
        <color rgb="FF000000"/>
        <rFont val="Calibri"/>
      </rPr>
      <t xml:space="preserve">
</t>
    </r>
    <r>
      <rPr>
        <sz val="11"/>
        <color rgb="FF000000"/>
        <rFont val="Calibri"/>
      </rPr>
      <t>Default targetpw</t>
    </r>
    <r>
      <rPr>
        <sz val="11"/>
        <color rgb="FF000000"/>
        <rFont val="Calibri"/>
      </rPr>
      <t xml:space="preserve">
</t>
    </r>
    <r>
      <rPr>
        <sz val="11"/>
        <color rgb="FF000000"/>
        <rFont val="Calibri"/>
      </rPr>
      <t>ALL  ALL=(ALL) ALL</t>
    </r>
    <r>
      <rPr>
        <sz val="11"/>
        <color rgb="FF000000"/>
        <rFont val="Calibri"/>
      </rPr>
      <t xml:space="preserve">
</t>
    </r>
    <r>
      <rPr>
        <sz val="11"/>
        <color rgb="FF000000"/>
        <rFont val="Calibri"/>
      </rPr>
      <t>Under the line in the "/etc/sudoers" file:</t>
    </r>
    <r>
      <rPr>
        <sz val="11"/>
        <color rgb="FF000000"/>
        <rFont val="Calibri"/>
      </rPr>
      <t xml:space="preserve">
</t>
    </r>
    <r>
      <rPr>
        <sz val="11"/>
        <color rgb="FF000000"/>
        <rFont val="Calibri"/>
      </rPr>
      <t>root ALL=(ALL) All</t>
    </r>
    <r>
      <rPr>
        <sz val="11"/>
        <color rgb="FF000000"/>
        <rFont val="Calibri"/>
      </rPr>
      <t xml:space="preserve">
</t>
    </r>
    <r>
      <rPr>
        <sz val="11"/>
        <color rgb="FF000000"/>
        <rFont val="Calibri"/>
      </rPr>
      <t>Add the following line:</t>
    </r>
    <r>
      <rPr>
        <sz val="11"/>
        <color rgb="FF000000"/>
        <rFont val="Calibri"/>
      </rPr>
      <t xml:space="preserve">
</t>
    </r>
    <r>
      <rPr>
        <sz val="11"/>
        <color rgb="FF000000"/>
        <rFont val="Calibri"/>
      </rPr>
      <t>%admin ALL=(ALL) ALL</t>
    </r>
    <r>
      <rPr>
        <sz val="11"/>
        <color rgb="FF000000"/>
        <rFont val="Calibri"/>
      </rPr>
      <t xml:space="preserve">
</t>
    </r>
    <r>
      <rPr>
        <sz val="11"/>
        <color rgb="FF000000"/>
        <rFont val="Calibri"/>
      </rPr>
      <t>Run the following command:</t>
    </r>
    <r>
      <rPr>
        <sz val="11"/>
        <color rgb="FF000000"/>
        <rFont val="Calibri"/>
      </rPr>
      <t xml:space="preserve">
</t>
    </r>
    <r>
      <rPr>
        <sz val="11"/>
        <color rgb="FF000000"/>
        <rFont val="Calibri"/>
      </rPr>
      <t># passwd -d root</t>
    </r>
  </si>
  <si>
    <r>
      <rPr>
        <sz val="11"/>
        <color rgb="FF000000"/>
        <rFont val="Calibri"/>
      </rPr>
      <t>To assure individual accountability and prevent unauthorized access, organizational users must be individually identified and authenticated.</t>
    </r>
    <r>
      <rPr>
        <sz val="11"/>
        <color rgb="FF000000"/>
        <rFont val="Calibri"/>
      </rPr>
      <t xml:space="preserve">
</t>
    </r>
    <r>
      <rPr>
        <sz val="11"/>
        <color rgb="FF000000"/>
        <rFont val="Calibri"/>
      </rPr>
      <t>A group authenticator is a generic account used by multiple individuals. Use of a group authenticator alone does not uniquely identify individual users. Examples of the group authenticator is the UNIX OS "root" user account, the Windows "Administrator" account, the "sa" account, or a "helpdesk" account.</t>
    </r>
    <r>
      <rPr>
        <sz val="11"/>
        <color rgb="FF000000"/>
        <rFont val="Calibri"/>
      </rPr>
      <t xml:space="preserve">
</t>
    </r>
    <r>
      <rPr>
        <sz val="11"/>
        <color rgb="FF000000"/>
        <rFont val="Calibri"/>
      </rPr>
      <t>For example, the UNIX and Windows operating systems offer a 'switch user' capability allowing users to authenticate with their individual credentials and, when needed, 'switch' to the administrator role. This method provides for unique individual authentication prior to using a group authenticator.</t>
    </r>
    <r>
      <rPr>
        <sz val="11"/>
        <color rgb="FF000000"/>
        <rFont val="Calibri"/>
      </rPr>
      <t xml:space="preserve">
</t>
    </r>
    <r>
      <rPr>
        <sz val="11"/>
        <color rgb="FF000000"/>
        <rFont val="Calibri"/>
      </rPr>
      <t>Users (and any processes acting on behalf of users) need to be uniquely identified and authenticated for all accesses other than those accesses explicitly identified and documented by the organization, which outlines specific user actions that can be performed on the operating system without identification or authentication.</t>
    </r>
    <r>
      <rPr>
        <sz val="11"/>
        <color rgb="FF000000"/>
        <rFont val="Calibri"/>
      </rPr>
      <t xml:space="preserve">
</t>
    </r>
    <r>
      <rPr>
        <sz val="11"/>
        <color rgb="FF000000"/>
        <rFont val="Calibri"/>
      </rPr>
      <t>Requiring individuals to be authenticated with an individual authenticator prior to using a group authenticator allows for traceability of actions, as well as adding an additional level of protection of the actions that can be taken with group account knowledge.</t>
    </r>
  </si>
  <si>
    <r>
      <rPr>
        <sz val="11"/>
        <color rgb="FF000000"/>
        <rFont val="Calibri"/>
      </rPr>
      <t>Verify SLES for vRealize prevents direct logons to the root account by running the following command:</t>
    </r>
    <r>
      <rPr>
        <sz val="11"/>
        <color rgb="FF000000"/>
        <rFont val="Calibri"/>
      </rPr>
      <t xml:space="preserve">
</t>
    </r>
    <r>
      <rPr>
        <sz val="11"/>
        <color rgb="FF000000"/>
        <rFont val="Calibri"/>
      </rPr>
      <t># grep root /etc/shadow | cut -d "":"" -f 2</t>
    </r>
    <r>
      <rPr>
        <sz val="11"/>
        <color rgb="FF000000"/>
        <rFont val="Calibri"/>
      </rPr>
      <t xml:space="preserve">
</t>
    </r>
    <r>
      <rPr>
        <sz val="11"/>
        <color rgb="FF000000"/>
        <rFont val="Calibri"/>
      </rPr>
      <t>If the returned message contains any text, this is a finding.</t>
    </r>
  </si>
  <si>
    <t>V-88577</t>
  </si>
  <si>
    <r>
      <rPr>
        <sz val="11"/>
        <rFont val="Calibri"/>
      </rPr>
      <t>The SLES for vRealize must enforce SSHv2 for network access to privileged accounts.</t>
    </r>
  </si>
  <si>
    <r>
      <rPr>
        <sz val="11"/>
        <color rgb="FF000000"/>
        <rFont val="Calibri"/>
      </rPr>
      <t>Configure SLES for vRealize to enforce SSHv2 for network access to privileged accounts by running the following commands:</t>
    </r>
    <r>
      <rPr>
        <sz val="11"/>
        <color rgb="FF000000"/>
        <rFont val="Calibri"/>
      </rPr>
      <t xml:space="preserve">
</t>
    </r>
    <r>
      <rPr>
        <sz val="11"/>
        <color rgb="FF000000"/>
        <rFont val="Calibri"/>
      </rPr>
      <t># sed -i 's/^.*\bProtocol\b.*$/Protocol 2/' /etc/ssh/sshd_config</t>
    </r>
    <r>
      <rPr>
        <sz val="11"/>
        <color rgb="FF000000"/>
        <rFont val="Calibri"/>
      </rPr>
      <t xml:space="preserve">
</t>
    </r>
    <r>
      <rPr>
        <sz val="11"/>
        <color rgb="FF000000"/>
        <rFont val="Calibri"/>
      </rPr>
      <t xml:space="preserve">Restart the ssh service. </t>
    </r>
    <r>
      <rPr>
        <sz val="11"/>
        <color rgb="FF000000"/>
        <rFont val="Calibri"/>
      </rPr>
      <t xml:space="preserve">
</t>
    </r>
    <r>
      <rPr>
        <sz val="11"/>
        <color rgb="FF000000"/>
        <rFont val="Calibri"/>
      </rPr>
      <t># service sshd restart</t>
    </r>
  </si>
  <si>
    <r>
      <rPr>
        <sz val="11"/>
        <color rgb="FF000000"/>
        <rFont val="Calibri"/>
      </rPr>
      <t>A replay attack may enable an unauthorized user to gain access to SLES for vRealize. Authentication sessions between the authenticator and SLES for vRealize validating the user credentials must not be vulnerable to a replay attack.</t>
    </r>
    <r>
      <rPr>
        <sz val="11"/>
        <color rgb="FF000000"/>
        <rFont val="Calibri"/>
      </rPr>
      <t xml:space="preserve">
</t>
    </r>
    <r>
      <rPr>
        <sz val="11"/>
        <color rgb="FF000000"/>
        <rFont val="Calibri"/>
      </rPr>
      <t>An authentication process resists replay attacks if it is impractical to achieve a successful authentication by recording and replaying a previous authentication message.</t>
    </r>
    <r>
      <rPr>
        <sz val="11"/>
        <color rgb="FF000000"/>
        <rFont val="Calibri"/>
      </rPr>
      <t xml:space="preserve">
</t>
    </r>
    <r>
      <rPr>
        <sz val="11"/>
        <color rgb="FF000000"/>
        <rFont val="Calibri"/>
      </rPr>
      <t>A privileged account is any information system account with authorizations of a privileged user.</t>
    </r>
    <r>
      <rPr>
        <sz val="11"/>
        <color rgb="FF000000"/>
        <rFont val="Calibri"/>
      </rPr>
      <t xml:space="preserve">
</t>
    </r>
    <r>
      <rPr>
        <sz val="11"/>
        <color rgb="FF000000"/>
        <rFont val="Calibri"/>
      </rPr>
      <t>Techniques used to address this include protocols using nonces (e.g., numbers generated for a specific one-time use) or challenges (e.g., TLS, WS_Security). Additional techniques include time-synchronous or challenge-response one-time authenticators.</t>
    </r>
  </si>
  <si>
    <r>
      <rPr>
        <sz val="11"/>
        <color rgb="FF000000"/>
        <rFont val="Calibri"/>
      </rPr>
      <t>Verify that SLES for vRealize enforces SSHv2 for network access to privileged accounts by running the following command:</t>
    </r>
    <r>
      <rPr>
        <sz val="11"/>
        <color rgb="FF000000"/>
        <rFont val="Calibri"/>
      </rPr>
      <t xml:space="preserve">
</t>
    </r>
    <r>
      <rPr>
        <sz val="11"/>
        <color rgb="FF000000"/>
        <rFont val="Calibri"/>
      </rPr>
      <t xml:space="preserve">Replace [ADDRESS] in the following command with the correct IP address based on the current system configuration. </t>
    </r>
    <r>
      <rPr>
        <sz val="11"/>
        <color rgb="FF000000"/>
        <rFont val="Calibri"/>
      </rPr>
      <t xml:space="preserve">
</t>
    </r>
    <r>
      <rPr>
        <sz val="11"/>
        <color rgb="FF000000"/>
        <rFont val="Calibri"/>
      </rPr>
      <t># ssh -1 [ADDRESS]</t>
    </r>
    <r>
      <rPr>
        <sz val="11"/>
        <color rgb="FF000000"/>
        <rFont val="Calibri"/>
      </rPr>
      <t xml:space="preserve">
</t>
    </r>
    <r>
      <rPr>
        <sz val="11"/>
        <color rgb="FF000000"/>
        <rFont val="Calibri"/>
      </rPr>
      <t>An example of the command usage is as follows:</t>
    </r>
    <r>
      <rPr>
        <sz val="11"/>
        <color rgb="FF000000"/>
        <rFont val="Calibri"/>
      </rPr>
      <t xml:space="preserve">
</t>
    </r>
    <r>
      <rPr>
        <sz val="11"/>
        <color rgb="FF000000"/>
        <rFont val="Calibri"/>
      </rPr>
      <t># ssh -1 localhost</t>
    </r>
    <r>
      <rPr>
        <sz val="11"/>
        <color rgb="FF000000"/>
        <rFont val="Calibri"/>
      </rPr>
      <t xml:space="preserve">
</t>
    </r>
    <r>
      <rPr>
        <sz val="11"/>
        <color rgb="FF000000"/>
        <rFont val="Calibri"/>
      </rPr>
      <t>The output must be the following:</t>
    </r>
    <r>
      <rPr>
        <sz val="11"/>
        <color rgb="FF000000"/>
        <rFont val="Calibri"/>
      </rPr>
      <t xml:space="preserve">
</t>
    </r>
    <r>
      <rPr>
        <sz val="11"/>
        <color rgb="FF000000"/>
        <rFont val="Calibri"/>
      </rPr>
      <t>Protocol major versions differ: 1 vs. 2</t>
    </r>
    <r>
      <rPr>
        <sz val="11"/>
        <color rgb="FF000000"/>
        <rFont val="Calibri"/>
      </rPr>
      <t xml:space="preserve">
</t>
    </r>
    <r>
      <rPr>
        <sz val="11"/>
        <color rgb="FF000000"/>
        <rFont val="Calibri"/>
      </rPr>
      <t>If it is not, this is a finding.</t>
    </r>
    <r>
      <rPr>
        <sz val="11"/>
        <color rgb="FF000000"/>
        <rFont val="Calibri"/>
      </rPr>
      <t xml:space="preserve">
</t>
    </r>
    <r>
      <rPr>
        <sz val="11"/>
        <color rgb="FF000000"/>
        <rFont val="Calibri"/>
      </rPr>
      <t>OR</t>
    </r>
    <r>
      <rPr>
        <sz val="11"/>
        <color rgb="FF000000"/>
        <rFont val="Calibri"/>
      </rPr>
      <t xml:space="preserve">
</t>
    </r>
    <r>
      <rPr>
        <sz val="11"/>
        <color rgb="FF000000"/>
        <rFont val="Calibri"/>
      </rPr>
      <t>Verify that the ssh is configured to enforce SSHv2 for network access to privileged accounts by running the following command:</t>
    </r>
    <r>
      <rPr>
        <sz val="11"/>
        <color rgb="FF000000"/>
        <rFont val="Calibri"/>
      </rPr>
      <t xml:space="preserve">
</t>
    </r>
    <r>
      <rPr>
        <sz val="11"/>
        <color rgb="FF000000"/>
        <rFont val="Calibri"/>
      </rPr>
      <t># grep Protocol /etc/ssh/sshd_config</t>
    </r>
    <r>
      <rPr>
        <sz val="11"/>
        <color rgb="FF000000"/>
        <rFont val="Calibri"/>
      </rPr>
      <t xml:space="preserve">
</t>
    </r>
    <r>
      <rPr>
        <sz val="11"/>
        <color rgb="FF000000"/>
        <rFont val="Calibri"/>
      </rPr>
      <t>If the result is not "Protocol 2", this is a finding.</t>
    </r>
  </si>
  <si>
    <t>V-88579</t>
  </si>
  <si>
    <r>
      <rPr>
        <sz val="11"/>
        <rFont val="Calibri"/>
      </rPr>
      <t>The SLES for vRealize must enforce SSHv2 for network access to non-privileged accounts.</t>
    </r>
  </si>
  <si>
    <r>
      <rPr>
        <sz val="11"/>
        <color rgb="FF000000"/>
        <rFont val="Calibri"/>
      </rPr>
      <t>Configure SLES for vRealize to enforce SSHv2 for network access to non-privileged accounts by running the following commands:</t>
    </r>
    <r>
      <rPr>
        <sz val="11"/>
        <color rgb="FF000000"/>
        <rFont val="Calibri"/>
      </rPr>
      <t xml:space="preserve">
</t>
    </r>
    <r>
      <rPr>
        <sz val="11"/>
        <color rgb="FF000000"/>
        <rFont val="Calibri"/>
      </rPr>
      <t># sed -i 's/^.*\bProtocol\b.*$/Protocol 2/' /etc/ssh/sshd_config</t>
    </r>
    <r>
      <rPr>
        <sz val="11"/>
        <color rgb="FF000000"/>
        <rFont val="Calibri"/>
      </rPr>
      <t xml:space="preserve">
</t>
    </r>
    <r>
      <rPr>
        <sz val="11"/>
        <color rgb="FF000000"/>
        <rFont val="Calibri"/>
      </rPr>
      <t xml:space="preserve">Restart the ssh service. </t>
    </r>
    <r>
      <rPr>
        <sz val="11"/>
        <color rgb="FF000000"/>
        <rFont val="Calibri"/>
      </rPr>
      <t xml:space="preserve">
</t>
    </r>
    <r>
      <rPr>
        <sz val="11"/>
        <color rgb="FF000000"/>
        <rFont val="Calibri"/>
      </rPr>
      <t># service sshd restart</t>
    </r>
  </si>
  <si>
    <r>
      <rPr>
        <sz val="11"/>
        <color rgb="FF000000"/>
        <rFont val="Calibri"/>
      </rPr>
      <t>A replay attack may enable an unauthorized user to gain access to SLES for vRealize. Authentication sessions between the authenticator and SLES for vRealize validating the user credentials must not be vulnerable to a replay attack.</t>
    </r>
    <r>
      <rPr>
        <sz val="11"/>
        <color rgb="FF000000"/>
        <rFont val="Calibri"/>
      </rPr>
      <t xml:space="preserve">
</t>
    </r>
    <r>
      <rPr>
        <sz val="11"/>
        <color rgb="FF000000"/>
        <rFont val="Calibri"/>
      </rPr>
      <t>An authentication process resists replay attacks if it is impractical to achieve a successful authentication by recording and replaying a previous authentication message.</t>
    </r>
    <r>
      <rPr>
        <sz val="11"/>
        <color rgb="FF000000"/>
        <rFont val="Calibri"/>
      </rPr>
      <t xml:space="preserve">
</t>
    </r>
    <r>
      <rPr>
        <sz val="11"/>
        <color rgb="FF000000"/>
        <rFont val="Calibri"/>
      </rPr>
      <t>A non-privileged account is any SLES for vRealize account with authorizations of a non-privileged user.</t>
    </r>
    <r>
      <rPr>
        <sz val="11"/>
        <color rgb="FF000000"/>
        <rFont val="Calibri"/>
      </rPr>
      <t xml:space="preserve">
</t>
    </r>
    <r>
      <rPr>
        <sz val="11"/>
        <color rgb="FF000000"/>
        <rFont val="Calibri"/>
      </rPr>
      <t>Techniques used to address this include protocols using nonces (e.g., numbers generated for a specific one-time use) or challenges (e.g., TLS, WS_Security). Additional techniques include time-synchronous or challenge-response one-time authenticators.</t>
    </r>
  </si>
  <si>
    <r>
      <rPr>
        <sz val="11"/>
        <color rgb="FF000000"/>
        <rFont val="Calibri"/>
      </rPr>
      <t>Verify that SLES for vRealize enforces SSHv2 for network access to privileged accounts by running the following command:</t>
    </r>
    <r>
      <rPr>
        <sz val="11"/>
        <color rgb="FF000000"/>
        <rFont val="Calibri"/>
      </rPr>
      <t xml:space="preserve">
</t>
    </r>
    <r>
      <rPr>
        <sz val="11"/>
        <color rgb="FF000000"/>
        <rFont val="Calibri"/>
      </rPr>
      <t xml:space="preserve">Replace [ADDRESS] in the following command with the correct IP address based on the current system configuration. </t>
    </r>
    <r>
      <rPr>
        <sz val="11"/>
        <color rgb="FF000000"/>
        <rFont val="Calibri"/>
      </rPr>
      <t xml:space="preserve">
</t>
    </r>
    <r>
      <rPr>
        <sz val="11"/>
        <color rgb="FF000000"/>
        <rFont val="Calibri"/>
      </rPr>
      <t># ssh -1 [ADDRESS]</t>
    </r>
    <r>
      <rPr>
        <sz val="11"/>
        <color rgb="FF000000"/>
        <rFont val="Calibri"/>
      </rPr>
      <t xml:space="preserve">
</t>
    </r>
    <r>
      <rPr>
        <sz val="11"/>
        <color rgb="FF000000"/>
        <rFont val="Calibri"/>
      </rPr>
      <t>An example of the command usage is as follows:</t>
    </r>
    <r>
      <rPr>
        <sz val="11"/>
        <color rgb="FF000000"/>
        <rFont val="Calibri"/>
      </rPr>
      <t xml:space="preserve">
</t>
    </r>
    <r>
      <rPr>
        <sz val="11"/>
        <color rgb="FF000000"/>
        <rFont val="Calibri"/>
      </rPr>
      <t># ssh -1 localhost</t>
    </r>
    <r>
      <rPr>
        <sz val="11"/>
        <color rgb="FF000000"/>
        <rFont val="Calibri"/>
      </rPr>
      <t xml:space="preserve">
</t>
    </r>
    <r>
      <rPr>
        <sz val="11"/>
        <color rgb="FF000000"/>
        <rFont val="Calibri"/>
      </rPr>
      <t>The output must be one of the following items:</t>
    </r>
    <r>
      <rPr>
        <sz val="11"/>
        <color rgb="FF000000"/>
        <rFont val="Calibri"/>
      </rPr>
      <t xml:space="preserve">
</t>
    </r>
    <r>
      <rPr>
        <sz val="11"/>
        <color rgb="FF000000"/>
        <rFont val="Calibri"/>
      </rPr>
      <t>Protocol major versions differ: 1 vs. 2</t>
    </r>
    <r>
      <rPr>
        <sz val="11"/>
        <color rgb="FF000000"/>
        <rFont val="Calibri"/>
      </rPr>
      <t xml:space="preserve">
</t>
    </r>
    <r>
      <rPr>
        <sz val="11"/>
        <color rgb="FF000000"/>
        <rFont val="Calibri"/>
      </rPr>
      <t>OR</t>
    </r>
    <r>
      <rPr>
        <sz val="11"/>
        <color rgb="FF000000"/>
        <rFont val="Calibri"/>
      </rPr>
      <t xml:space="preserve">
</t>
    </r>
    <r>
      <rPr>
        <sz val="11"/>
        <color rgb="FF000000"/>
        <rFont val="Calibri"/>
      </rPr>
      <t>Protocol 1 not allowed in the FIPS mode.</t>
    </r>
    <r>
      <rPr>
        <sz val="11"/>
        <color rgb="FF000000"/>
        <rFont val="Calibri"/>
      </rPr>
      <t xml:space="preserve">
</t>
    </r>
    <r>
      <rPr>
        <sz val="11"/>
        <color rgb="FF000000"/>
        <rFont val="Calibri"/>
      </rPr>
      <t>If it does not, this is a finding.</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Verify that the ssh is configured to enforce SSHv2 for network access to privileged accounts by running the following command:</t>
    </r>
    <r>
      <rPr>
        <sz val="11"/>
        <color rgb="FF000000"/>
        <rFont val="Calibri"/>
      </rPr>
      <t xml:space="preserve">
</t>
    </r>
    <r>
      <rPr>
        <sz val="11"/>
        <color rgb="FF000000"/>
        <rFont val="Calibri"/>
      </rPr>
      <t># grep Protocol /etc/ssh/sshd_config</t>
    </r>
    <r>
      <rPr>
        <sz val="11"/>
        <color rgb="FF000000"/>
        <rFont val="Calibri"/>
      </rPr>
      <t xml:space="preserve">
</t>
    </r>
    <r>
      <rPr>
        <sz val="11"/>
        <color rgb="FF000000"/>
        <rFont val="Calibri"/>
      </rPr>
      <t>If the result is not "Protocol 2", this is a finding.</t>
    </r>
  </si>
  <si>
    <t>V-88581</t>
  </si>
  <si>
    <r>
      <rPr>
        <sz val="11"/>
        <rFont val="Calibri"/>
      </rPr>
      <t>The SLES for vRealize must disable account identifiers of individuals and roles (such as root) after 35 days of inactivity after password expiration.</t>
    </r>
  </si>
  <si>
    <r>
      <rPr>
        <sz val="11"/>
        <color rgb="FF000000"/>
        <rFont val="Calibri"/>
      </rPr>
      <t>Configure SLES for vRealize to disable account identifiers after "35" days of inactivity after the password expiration. Run the following command to change the configuration for useradd:</t>
    </r>
    <r>
      <rPr>
        <sz val="11"/>
        <color rgb="FF000000"/>
        <rFont val="Calibri"/>
      </rPr>
      <t xml:space="preserve">
</t>
    </r>
    <r>
      <rPr>
        <sz val="11"/>
        <color rgb="FF000000"/>
        <rFont val="Calibri"/>
      </rPr>
      <t xml:space="preserve">Replace [VALUE] in the command with any integer from the range 0&lt;[VALUE]&lt;= 35. </t>
    </r>
    <r>
      <rPr>
        <sz val="11"/>
        <color rgb="FF000000"/>
        <rFont val="Calibri"/>
      </rPr>
      <t xml:space="preserve">
</t>
    </r>
    <r>
      <rPr>
        <sz val="11"/>
        <color rgb="FF000000"/>
        <rFont val="Calibri"/>
      </rPr>
      <t># sed -i "s/^.*\bINACTIVE\b.*$/INACTIVE=[VALUE]/" /etc/default/useradd</t>
    </r>
    <r>
      <rPr>
        <sz val="11"/>
        <color rgb="FF000000"/>
        <rFont val="Calibri"/>
      </rPr>
      <t xml:space="preserve">
</t>
    </r>
    <r>
      <rPr>
        <sz val="11"/>
        <color rgb="FF000000"/>
        <rFont val="Calibri"/>
      </rPr>
      <t>DoD recommendation is "35" days, but a lower value is acceptable. The value "-1" will disable this feature and "0" will disable the account immediately after the password expires.</t>
    </r>
  </si>
  <si>
    <r>
      <rPr>
        <sz val="11"/>
        <color rgb="FF000000"/>
        <rFont val="Calibri"/>
      </rPr>
      <t>Inactive identifiers pose a risk to systems and applications because attackers may exploit an inactive identifier and potentially obtain undetected access to the system. Owners of inactive accounts will not notice if unauthorized access to their user account has been obtained.</t>
    </r>
    <r>
      <rPr>
        <sz val="11"/>
        <color rgb="FF000000"/>
        <rFont val="Calibri"/>
      </rPr>
      <t xml:space="preserve">
</t>
    </r>
    <r>
      <rPr>
        <sz val="11"/>
        <color rgb="FF000000"/>
        <rFont val="Calibri"/>
      </rPr>
      <t>SLES for vRealize need to track periods of inactivity and disable application identifiers after 35 days of inactivity.</t>
    </r>
  </si>
  <si>
    <r>
      <rPr>
        <sz val="11"/>
        <color rgb="FF000000"/>
        <rFont val="Calibri"/>
      </rPr>
      <t>Verify SLES for vRealize disables account identifiers after "35" days of inactivity after the password expiration, by performing the following commands:</t>
    </r>
    <r>
      <rPr>
        <sz val="11"/>
        <color rgb="FF000000"/>
        <rFont val="Calibri"/>
      </rPr>
      <t xml:space="preserve">
</t>
    </r>
    <r>
      <rPr>
        <sz val="11"/>
        <color rgb="FF000000"/>
        <rFont val="Calibri"/>
      </rPr>
      <t># grep "INACTIVE" /etc/default/useradd</t>
    </r>
    <r>
      <rPr>
        <sz val="11"/>
        <color rgb="FF000000"/>
        <rFont val="Calibri"/>
      </rPr>
      <t xml:space="preserve">
</t>
    </r>
    <r>
      <rPr>
        <sz val="11"/>
        <color rgb="FF000000"/>
        <rFont val="Calibri"/>
      </rPr>
      <t xml:space="preserve">The output must indicate the "INACTIVE" configuration option is set to an appropriate integer as shown in the example below: </t>
    </r>
    <r>
      <rPr>
        <sz val="11"/>
        <color rgb="FF000000"/>
        <rFont val="Calibri"/>
      </rPr>
      <t xml:space="preserve">
</t>
    </r>
    <r>
      <rPr>
        <sz val="11"/>
        <color rgb="FF000000"/>
        <rFont val="Calibri"/>
      </rPr>
      <t>grep "INACTIVE" /etc/default/useradd</t>
    </r>
    <r>
      <rPr>
        <sz val="11"/>
        <color rgb="FF000000"/>
        <rFont val="Calibri"/>
      </rPr>
      <t xml:space="preserve">
</t>
    </r>
    <r>
      <rPr>
        <sz val="11"/>
        <color rgb="FF000000"/>
        <rFont val="Calibri"/>
      </rPr>
      <t>INACTIVE=35</t>
    </r>
    <r>
      <rPr>
        <sz val="11"/>
        <color rgb="FF000000"/>
        <rFont val="Calibri"/>
      </rPr>
      <t xml:space="preserve">
</t>
    </r>
    <r>
      <rPr>
        <sz val="11"/>
        <color rgb="FF000000"/>
        <rFont val="Calibri"/>
      </rPr>
      <t>If "INACTIVE" is not set to a value 0&lt;[VALUE]&lt;=35, this is a finding.</t>
    </r>
  </si>
  <si>
    <t>V-88583</t>
  </si>
  <si>
    <r>
      <rPr>
        <sz val="11"/>
        <rFont val="Calibri"/>
      </rPr>
      <t>The SLES for vRealize must use mechanisms meeting the requirements of applicable federal laws, Executive orders, directives, policies, regulations, standards, and guidance for authentication to a cryptographic module.</t>
    </r>
  </si>
  <si>
    <r>
      <rPr>
        <sz val="11"/>
        <color rgb="FF000000"/>
        <rFont val="Calibri"/>
      </rPr>
      <t>Edit the "/etc/default/passwd" file and add or change the "CRYPT" variable setting so that it contains:</t>
    </r>
    <r>
      <rPr>
        <sz val="11"/>
        <color rgb="FF000000"/>
        <rFont val="Calibri"/>
      </rPr>
      <t xml:space="preserve">
</t>
    </r>
    <r>
      <rPr>
        <sz val="11"/>
        <color rgb="FF000000"/>
        <rFont val="Calibri"/>
      </rPr>
      <t xml:space="preserve">CRYPT=sha256 </t>
    </r>
    <r>
      <rPr>
        <sz val="11"/>
        <color rgb="FF000000"/>
        <rFont val="Calibri"/>
      </rPr>
      <t xml:space="preserve">
</t>
    </r>
    <r>
      <rPr>
        <sz val="11"/>
        <color rgb="FF000000"/>
        <rFont val="Calibri"/>
      </rPr>
      <t>OR</t>
    </r>
    <r>
      <rPr>
        <sz val="11"/>
        <color rgb="FF000000"/>
        <rFont val="Calibri"/>
      </rPr>
      <t xml:space="preserve">
</t>
    </r>
    <r>
      <rPr>
        <sz val="11"/>
        <color rgb="FF000000"/>
        <rFont val="Calibri"/>
      </rPr>
      <t xml:space="preserve">CRYPT=sha512 </t>
    </r>
    <r>
      <rPr>
        <sz val="11"/>
        <color rgb="FF000000"/>
        <rFont val="Calibri"/>
      </rPr>
      <t xml:space="preserve">
</t>
    </r>
    <r>
      <rPr>
        <sz val="11"/>
        <color rgb="FF000000"/>
        <rFont val="Calibri"/>
      </rPr>
      <t>Edit the "/etc/default/passwd" file and add or change the "CRYPT_FILES" variable setting so that it contains:</t>
    </r>
    <r>
      <rPr>
        <sz val="11"/>
        <color rgb="FF000000"/>
        <rFont val="Calibri"/>
      </rPr>
      <t xml:space="preserve">
</t>
    </r>
    <r>
      <rPr>
        <sz val="11"/>
        <color rgb="FF000000"/>
        <rFont val="Calibri"/>
      </rPr>
      <t xml:space="preserve">CRYPT_FILES=sha256 </t>
    </r>
    <r>
      <rPr>
        <sz val="11"/>
        <color rgb="FF000000"/>
        <rFont val="Calibri"/>
      </rPr>
      <t xml:space="preserve">
</t>
    </r>
    <r>
      <rPr>
        <sz val="11"/>
        <color rgb="FF000000"/>
        <rFont val="Calibri"/>
      </rPr>
      <t>OR</t>
    </r>
    <r>
      <rPr>
        <sz val="11"/>
        <color rgb="FF000000"/>
        <rFont val="Calibri"/>
      </rPr>
      <t xml:space="preserve">
</t>
    </r>
    <r>
      <rPr>
        <sz val="11"/>
        <color rgb="FF000000"/>
        <rFont val="Calibri"/>
      </rPr>
      <t>CRYPT_FILES=sha512</t>
    </r>
  </si>
  <si>
    <r>
      <rPr>
        <sz val="11"/>
        <color rgb="FF000000"/>
        <rFont val="Calibri"/>
      </rPr>
      <t>Unapproved mechanisms that are used for authentication to the cryptographic module are not verified and therefore cannot be relied upon to provide confidentiality or integrity, and DoD data may be compromised.</t>
    </r>
    <r>
      <rPr>
        <sz val="11"/>
        <color rgb="FF000000"/>
        <rFont val="Calibri"/>
      </rPr>
      <t xml:space="preserve">
</t>
    </r>
    <r>
      <rPr>
        <sz val="11"/>
        <color rgb="FF000000"/>
        <rFont val="Calibri"/>
      </rPr>
      <t xml:space="preserve">SLES for vRealize  utilizing encryption are required to use FIPS-compliant mechanisms for authenticating to cryptographic modules. </t>
    </r>
    <r>
      <rPr>
        <sz val="11"/>
        <color rgb="FF000000"/>
        <rFont val="Calibri"/>
      </rPr>
      <t xml:space="preserve">
</t>
    </r>
    <r>
      <rPr>
        <sz val="11"/>
        <color rgb="FF000000"/>
        <rFont val="Calibri"/>
      </rPr>
      <t>FIPS 140-2 is the current standard for validating that mechanisms used to access cryptographic modules utilize authentication that meets DoD requirements. This allows for Security Levels 1, 2, 3, or 4 for use on a general purpose computing system.</t>
    </r>
  </si>
  <si>
    <r>
      <rPr>
        <sz val="11"/>
        <color rgb="FF000000"/>
        <rFont val="Calibri"/>
      </rPr>
      <t>Check the "/etc/default/passwd" file:</t>
    </r>
    <r>
      <rPr>
        <sz val="11"/>
        <color rgb="FF000000"/>
        <rFont val="Calibri"/>
      </rPr>
      <t xml:space="preserve">
</t>
    </r>
    <r>
      <rPr>
        <sz val="11"/>
        <color rgb="FF000000"/>
        <rFont val="Calibri"/>
      </rPr>
      <t># grep CRYPT /etc/default/passwd</t>
    </r>
    <r>
      <rPr>
        <sz val="11"/>
        <color rgb="FF000000"/>
        <rFont val="Calibri"/>
      </rPr>
      <t xml:space="preserve">
</t>
    </r>
    <r>
      <rPr>
        <sz val="11"/>
        <color rgb="FF000000"/>
        <rFont val="Calibri"/>
      </rPr>
      <t>If the "CRYPT" setting in the "/etc/default/passwd" file is not present, or not set to "SHA256" or "SHA512", this is a finding.</t>
    </r>
    <r>
      <rPr>
        <sz val="11"/>
        <color rgb="FF000000"/>
        <rFont val="Calibri"/>
      </rPr>
      <t xml:space="preserve">
</t>
    </r>
    <r>
      <rPr>
        <sz val="11"/>
        <color rgb="FF000000"/>
        <rFont val="Calibri"/>
      </rPr>
      <t>If the "CRYPT_FILES" setting in the "/etc/default/passwd" file is not present, or not set to "SHA256" or "SHA512", this is a finding.</t>
    </r>
  </si>
  <si>
    <t>V-88585</t>
  </si>
  <si>
    <r>
      <rPr>
        <sz val="11"/>
        <rFont val="Calibri"/>
      </rPr>
      <t>The SLES for vRealize must uniquely identify and must authenticate non-organizational users (or processes acting on behalf of non-organizational users).</t>
    </r>
  </si>
  <si>
    <r>
      <rPr>
        <sz val="11"/>
        <color rgb="FF000000"/>
        <rFont val="Calibri"/>
      </rPr>
      <t>Change usernames, or delete accounts, so each has a unique name.</t>
    </r>
  </si>
  <si>
    <r>
      <rPr>
        <sz val="11"/>
        <color rgb="FF000000"/>
        <rFont val="Calibri"/>
      </rPr>
      <t>Lack of authentication and identification enables non-organizational users to gain access to the application or possibly other information systems and provides an opportunity for intruders to compromise resources within the application or information system.</t>
    </r>
    <r>
      <rPr>
        <sz val="11"/>
        <color rgb="FF000000"/>
        <rFont val="Calibri"/>
      </rPr>
      <t xml:space="preserve">
</t>
    </r>
    <r>
      <rPr>
        <sz val="11"/>
        <color rgb="FF000000"/>
        <rFont val="Calibri"/>
      </rPr>
      <t>Non-organizational users include all information system users other than organizational users, which include organizational employees or individuals the organization deems to have equivalent status of an employee (e.g., contractors and guest researchers).</t>
    </r>
    <r>
      <rPr>
        <sz val="11"/>
        <color rgb="FF000000"/>
        <rFont val="Calibri"/>
      </rPr>
      <t xml:space="preserve">
</t>
    </r>
    <r>
      <rPr>
        <sz val="11"/>
        <color rgb="FF000000"/>
        <rFont val="Calibri"/>
      </rPr>
      <t>Non-organizational users must be uniquely identified and authenticated for all accesses other than those accesses explicitly identified and documented by the organization when related to the use of anonymous access.</t>
    </r>
  </si>
  <si>
    <r>
      <rPr>
        <sz val="11"/>
        <color rgb="FF000000"/>
        <rFont val="Calibri"/>
      </rPr>
      <t xml:space="preserve">Run the following command to check for duplicate account names: </t>
    </r>
    <r>
      <rPr>
        <sz val="11"/>
        <color rgb="FF000000"/>
        <rFont val="Calibri"/>
      </rPr>
      <t xml:space="preserve">
</t>
    </r>
    <r>
      <rPr>
        <sz val="11"/>
        <color rgb="FF000000"/>
        <rFont val="Calibri"/>
      </rPr>
      <t># pwck -rq</t>
    </r>
    <r>
      <rPr>
        <sz val="11"/>
        <color rgb="FF000000"/>
        <rFont val="Calibri"/>
      </rPr>
      <t xml:space="preserve">
</t>
    </r>
    <r>
      <rPr>
        <sz val="11"/>
        <color rgb="FF000000"/>
        <rFont val="Calibri"/>
      </rPr>
      <t xml:space="preserve">If there are no duplicate names, no line will be returned. </t>
    </r>
    <r>
      <rPr>
        <sz val="11"/>
        <color rgb="FF000000"/>
        <rFont val="Calibri"/>
      </rPr>
      <t xml:space="preserve">
</t>
    </r>
    <r>
      <rPr>
        <sz val="11"/>
        <color rgb="FF000000"/>
        <rFont val="Calibri"/>
      </rPr>
      <t>If a line is returned, this is a finding.</t>
    </r>
  </si>
  <si>
    <t>V-88587</t>
  </si>
  <si>
    <r>
      <rPr>
        <sz val="11"/>
        <color rgb="FF000000"/>
        <rFont val="Calibri"/>
      </rPr>
      <t>Configure the SLES for vRealize to uniquely identify and authenticate non-organizational users (or processes acting on behalf of non-organizational users).</t>
    </r>
    <r>
      <rPr>
        <sz val="11"/>
        <color rgb="FF000000"/>
        <rFont val="Calibri"/>
      </rPr>
      <t xml:space="preserve">
</t>
    </r>
    <r>
      <rPr>
        <sz val="11"/>
        <color rgb="FF000000"/>
        <rFont val="Calibri"/>
      </rPr>
      <t xml:space="preserve">UNIQUE_USER_ID is a unique numerical value that must be non-negative. </t>
    </r>
    <r>
      <rPr>
        <sz val="11"/>
        <color rgb="FF000000"/>
        <rFont val="Calibri"/>
      </rPr>
      <t xml:space="preserve">
</t>
    </r>
    <r>
      <rPr>
        <sz val="11"/>
        <color rgb="FF000000"/>
        <rFont val="Calibri"/>
      </rPr>
      <t xml:space="preserve">USERNAME is the username of the user whose user ID you wish to change. </t>
    </r>
    <r>
      <rPr>
        <sz val="11"/>
        <color rgb="FF000000"/>
        <rFont val="Calibri"/>
      </rPr>
      <t xml:space="preserve">
</t>
    </r>
    <r>
      <rPr>
        <sz val="11"/>
        <color rgb="FF000000"/>
        <rFont val="Calibri"/>
      </rPr>
      <t># usermod -u [UNIQUE_USER_ID] [USERNAME]</t>
    </r>
  </si>
  <si>
    <r>
      <rPr>
        <sz val="11"/>
        <color rgb="FF000000"/>
        <rFont val="Calibri"/>
      </rPr>
      <t>Verify the SLES for vRealize uniquely identifies and authenticates non-organizational users by running the following commands:</t>
    </r>
    <r>
      <rPr>
        <sz val="11"/>
        <color rgb="FF000000"/>
        <rFont val="Calibri"/>
      </rPr>
      <t xml:space="preserve">
</t>
    </r>
    <r>
      <rPr>
        <sz val="11"/>
        <color rgb="FF000000"/>
        <rFont val="Calibri"/>
      </rPr>
      <t># awk -F: '{print $3}' /etc/passwd | sort | uniq -d</t>
    </r>
    <r>
      <rPr>
        <sz val="11"/>
        <color rgb="FF000000"/>
        <rFont val="Calibri"/>
      </rPr>
      <t xml:space="preserve">
</t>
    </r>
    <r>
      <rPr>
        <sz val="11"/>
        <color rgb="FF000000"/>
        <rFont val="Calibri"/>
      </rPr>
      <t>If the output is not blank, this is a finding.</t>
    </r>
  </si>
  <si>
    <t>V-88589</t>
  </si>
  <si>
    <r>
      <rPr>
        <sz val="11"/>
        <rFont val="Calibri"/>
      </rPr>
      <t>The SLES for vRealize must be configured such that emergency administrator accounts are never automatically removed or disabled.</t>
    </r>
  </si>
  <si>
    <r>
      <rPr>
        <sz val="11"/>
        <color rgb="FF000000"/>
        <rFont val="Calibri"/>
      </rPr>
      <t xml:space="preserve">For each emergency administrator account run the following command to remove the expiration date: </t>
    </r>
    <r>
      <rPr>
        <sz val="11"/>
        <color rgb="FF000000"/>
        <rFont val="Calibri"/>
      </rPr>
      <t xml:space="preserve">
</t>
    </r>
    <r>
      <rPr>
        <sz val="11"/>
        <color rgb="FF000000"/>
        <rFont val="Calibri"/>
      </rPr>
      <t>chage -E -1 [user]</t>
    </r>
  </si>
  <si>
    <r>
      <rPr>
        <sz val="11"/>
        <color rgb="FF000000"/>
        <rFont val="Calibri"/>
      </rPr>
      <t xml:space="preserve">Emergency administrator accounts are privileged accounts which are established in response to crisis situations where the need for rapid account activation is required. Therefore, emergency account activation may bypass normal account authorization processes. If these accounts are automatically disabled, system maintenance during emergencies may not be possible, thus adversely affecting system availability. </t>
    </r>
    <r>
      <rPr>
        <sz val="11"/>
        <color rgb="FF000000"/>
        <rFont val="Calibri"/>
      </rPr>
      <t xml:space="preserve">
</t>
    </r>
    <r>
      <rPr>
        <sz val="11"/>
        <color rgb="FF000000"/>
        <rFont val="Calibri"/>
      </rPr>
      <t>Emergency administrator accounts are different from infrequently used accounts (i.e., local logon accounts used by system administrators when network or normal logon/access is not available). Infrequently used accounts also remain available and are not subject to automatic termination dates. However, an emergency administrator account is normally a different account that is created for use by vendors or system maintainers.</t>
    </r>
    <r>
      <rPr>
        <sz val="11"/>
        <color rgb="FF000000"/>
        <rFont val="Calibri"/>
      </rPr>
      <t xml:space="preserve">
</t>
    </r>
    <r>
      <rPr>
        <sz val="11"/>
        <color rgb="FF000000"/>
        <rFont val="Calibri"/>
      </rPr>
      <t>To address access requirements, many operating systems can be integrated with enterprise-level authentication/access mechanisms that meet or exceed access control policy requirements.</t>
    </r>
  </si>
  <si>
    <r>
      <rPr>
        <sz val="11"/>
        <color rgb="FF000000"/>
        <rFont val="Calibri"/>
      </rPr>
      <t>For each emergency administrator account run the following command:</t>
    </r>
    <r>
      <rPr>
        <sz val="11"/>
        <color rgb="FF000000"/>
        <rFont val="Calibri"/>
      </rPr>
      <t xml:space="preserve">
</t>
    </r>
    <r>
      <rPr>
        <sz val="11"/>
        <color rgb="FF000000"/>
        <rFont val="Calibri"/>
      </rPr>
      <t>chage -l [user]</t>
    </r>
    <r>
      <rPr>
        <sz val="11"/>
        <color rgb="FF000000"/>
        <rFont val="Calibri"/>
      </rPr>
      <t xml:space="preserve">
</t>
    </r>
    <r>
      <rPr>
        <sz val="11"/>
        <color rgb="FF000000"/>
        <rFont val="Calibri"/>
      </rPr>
      <t>If the output shows an expiration date for the account, this is a finding.</t>
    </r>
  </si>
  <si>
    <t>V-88591</t>
  </si>
  <si>
    <r>
      <rPr>
        <sz val="11"/>
        <rFont val="Calibri"/>
      </rPr>
      <t>The SLES for vRealize must employ strong authenticators in the establishment of nonlocal maintenance and diagnostic sessions.</t>
    </r>
  </si>
  <si>
    <r>
      <rPr>
        <sz val="11"/>
        <color rgb="FF000000"/>
        <rFont val="Calibri"/>
      </rPr>
      <t>If maintenance tools are used by unauthorized personnel, they may accidentally or intentionally damage or compromise the system. The act of managing systems and applications includes the ability to access sensitive application information, such as system configuration details, diagnostic information, user information, and potentially sensitive application data.</t>
    </r>
    <r>
      <rPr>
        <sz val="11"/>
        <color rgb="FF000000"/>
        <rFont val="Calibri"/>
      </rPr>
      <t xml:space="preserve">
</t>
    </r>
    <r>
      <rPr>
        <sz val="11"/>
        <color rgb="FF000000"/>
        <rFont val="Calibri"/>
      </rPr>
      <t xml:space="preserve">Some maintenance and test tools are either standalone devices with their own operating systems or are applications bundled with an operating system. </t>
    </r>
    <r>
      <rPr>
        <sz val="11"/>
        <color rgb="FF000000"/>
        <rFont val="Calibri"/>
      </rPr>
      <t xml:space="preserve">
</t>
    </r>
    <r>
      <rPr>
        <sz val="11"/>
        <color rgb="FF000000"/>
        <rFont val="Calibri"/>
      </rPr>
      <t>Nonlocal maintenance and diagnostic activities are those activities conducted by individuals communicating through a network, either an external network (e.g., the Internet) or an internal network. Local maintenance and diagnostic activities are those activities carried out by individuals physically present at the information system or information system component and not communicating across a network connection. Typically, strong authentication requires authenticators that are resistant to replay attacks and employ multifactor authentication. Strong authenticators include, for example, PKI where certificates are stored on a token protected by a password, passphrase, or biometric.</t>
    </r>
  </si>
  <si>
    <t>V-88593</t>
  </si>
  <si>
    <r>
      <rPr>
        <sz val="11"/>
        <rFont val="Calibri"/>
      </rPr>
      <t>The SLES for vRealize must terminate all sessions and network connections related to nonlocal maintenance when nonlocal maintenance is completed.</t>
    </r>
  </si>
  <si>
    <r>
      <rPr>
        <sz val="11"/>
        <color rgb="FF000000"/>
        <rFont val="Calibri"/>
      </rPr>
      <t>Ensure the file exists and is owned by "root". If the files does not exist, use the following commands to create the file:</t>
    </r>
    <r>
      <rPr>
        <sz val="11"/>
        <color rgb="FF000000"/>
        <rFont val="Calibri"/>
      </rPr>
      <t xml:space="preserve">
</t>
    </r>
    <r>
      <rPr>
        <sz val="11"/>
        <color rgb="FF000000"/>
        <rFont val="Calibri"/>
      </rPr>
      <t># touch /etc/profile.d/tmout.sh</t>
    </r>
    <r>
      <rPr>
        <sz val="11"/>
        <color rgb="FF000000"/>
        <rFont val="Calibri"/>
      </rPr>
      <t xml:space="preserve">
</t>
    </r>
    <r>
      <rPr>
        <sz val="11"/>
        <color rgb="FF000000"/>
        <rFont val="Calibri"/>
      </rPr>
      <t># chown root:root /etc/profile.d/tmout.sh</t>
    </r>
    <r>
      <rPr>
        <sz val="11"/>
        <color rgb="FF000000"/>
        <rFont val="Calibri"/>
      </rPr>
      <t xml:space="preserve">
</t>
    </r>
    <r>
      <rPr>
        <sz val="11"/>
        <color rgb="FF000000"/>
        <rFont val="Calibri"/>
      </rPr>
      <t># chmod 644 /etc/profile.d/tmout.sh</t>
    </r>
    <r>
      <rPr>
        <sz val="11"/>
        <color rgb="FF000000"/>
        <rFont val="Calibri"/>
      </rPr>
      <t xml:space="preserve">
</t>
    </r>
    <r>
      <rPr>
        <sz val="11"/>
        <color rgb="FF000000"/>
        <rFont val="Calibri"/>
      </rPr>
      <t xml:space="preserve">Edit the file "/etc/profile.d/tmout.sh", and add the following lines: </t>
    </r>
    <r>
      <rPr>
        <sz val="11"/>
        <color rgb="FF000000"/>
        <rFont val="Calibri"/>
      </rPr>
      <t xml:space="preserve">
</t>
    </r>
    <r>
      <rPr>
        <sz val="11"/>
        <color rgb="FF000000"/>
        <rFont val="Calibri"/>
      </rPr>
      <t>TMOUT=900</t>
    </r>
    <r>
      <rPr>
        <sz val="11"/>
        <color rgb="FF000000"/>
        <rFont val="Calibri"/>
      </rPr>
      <t xml:space="preserve">
</t>
    </r>
    <r>
      <rPr>
        <sz val="11"/>
        <color rgb="FF000000"/>
        <rFont val="Calibri"/>
      </rPr>
      <t>readonly TMOUT</t>
    </r>
    <r>
      <rPr>
        <sz val="11"/>
        <color rgb="FF000000"/>
        <rFont val="Calibri"/>
      </rPr>
      <t xml:space="preserve">
</t>
    </r>
    <r>
      <rPr>
        <sz val="11"/>
        <color rgb="FF000000"/>
        <rFont val="Calibri"/>
      </rPr>
      <t>export TMOUT</t>
    </r>
    <r>
      <rPr>
        <sz val="11"/>
        <color rgb="FF000000"/>
        <rFont val="Calibri"/>
      </rPr>
      <t xml:space="preserve">
</t>
    </r>
    <r>
      <rPr>
        <sz val="11"/>
        <color rgb="FF000000"/>
        <rFont val="Calibri"/>
      </rPr>
      <t>mesg n 2&gt;/dev/null</t>
    </r>
  </si>
  <si>
    <r>
      <rPr>
        <sz val="11"/>
        <color rgb="FF000000"/>
        <rFont val="Calibri"/>
      </rPr>
      <t>If a maintenance session or connection remains open after maintenance is completed, it may be hijacked by an attacker and used to compromise or damage the system.</t>
    </r>
    <r>
      <rPr>
        <sz val="11"/>
        <color rgb="FF000000"/>
        <rFont val="Calibri"/>
      </rPr>
      <t xml:space="preserve">
</t>
    </r>
    <r>
      <rPr>
        <sz val="11"/>
        <color rgb="FF000000"/>
        <rFont val="Calibri"/>
      </rPr>
      <t>Some maintenance and test tools are either standalone devices with their own operating systems or are applications bundled with an operating system.</t>
    </r>
    <r>
      <rPr>
        <sz val="11"/>
        <color rgb="FF000000"/>
        <rFont val="Calibri"/>
      </rPr>
      <t xml:space="preserve">
</t>
    </r>
    <r>
      <rPr>
        <sz val="11"/>
        <color rgb="FF000000"/>
        <rFont val="Calibri"/>
      </rPr>
      <t>Nonlocal maintenance and diagnostic activities are those activities conducted by individuals communicating through a network, either an external network (e.g., the Internet) or an internal network. Local maintenance and diagnostic activities are those activities carried out by individuals physically present at the information system or information system component and not communicating across a network connection.</t>
    </r>
  </si>
  <si>
    <r>
      <rPr>
        <sz val="11"/>
        <color rgb="FF000000"/>
        <rFont val="Calibri"/>
      </rPr>
      <t>Check for the existence of the "/etc/profile.d/tmout.sh" file:</t>
    </r>
    <r>
      <rPr>
        <sz val="11"/>
        <color rgb="FF000000"/>
        <rFont val="Calibri"/>
      </rPr>
      <t xml:space="preserve">
</t>
    </r>
    <r>
      <rPr>
        <sz val="11"/>
        <color rgb="FF000000"/>
        <rFont val="Calibri"/>
      </rPr>
      <t># ls -al /etc/profile.d/tmout.sh</t>
    </r>
    <r>
      <rPr>
        <sz val="11"/>
        <color rgb="FF000000"/>
        <rFont val="Calibri"/>
      </rPr>
      <t xml:space="preserve">
</t>
    </r>
    <r>
      <rPr>
        <sz val="11"/>
        <color rgb="FF000000"/>
        <rFont val="Calibri"/>
      </rPr>
      <t>Check for the presence of the "TMOUT" variable:</t>
    </r>
    <r>
      <rPr>
        <sz val="11"/>
        <color rgb="FF000000"/>
        <rFont val="Calibri"/>
      </rPr>
      <t xml:space="preserve">
</t>
    </r>
    <r>
      <rPr>
        <sz val="11"/>
        <color rgb="FF000000"/>
        <rFont val="Calibri"/>
      </rPr>
      <t># grep TMOUT /etc/profile.d/tmout.sh</t>
    </r>
    <r>
      <rPr>
        <sz val="11"/>
        <color rgb="FF000000"/>
        <rFont val="Calibri"/>
      </rPr>
      <t xml:space="preserve">
</t>
    </r>
    <r>
      <rPr>
        <sz val="11"/>
        <color rgb="FF000000"/>
        <rFont val="Calibri"/>
      </rPr>
      <t>The value of "TMOUT" should be set to "900" seconds (15 minutes).</t>
    </r>
    <r>
      <rPr>
        <sz val="11"/>
        <color rgb="FF000000"/>
        <rFont val="Calibri"/>
      </rPr>
      <t xml:space="preserve">
</t>
    </r>
    <r>
      <rPr>
        <sz val="11"/>
        <color rgb="FF000000"/>
        <rFont val="Calibri"/>
      </rPr>
      <t>If the file does not exist, or the "TMOUT" variable is not set to "900", this is a finding.</t>
    </r>
  </si>
  <si>
    <t>V-88595</t>
  </si>
  <si>
    <r>
      <rPr>
        <sz val="11"/>
        <rFont val="Calibri"/>
      </rPr>
      <t>The SLES for vRealize must manage excess capacity, bandwidth, or other redundancy to limit the effects of information flooding types of Denial of Service (DoS) attacks.</t>
    </r>
  </si>
  <si>
    <r>
      <rPr>
        <sz val="11"/>
        <color rgb="FF000000"/>
        <rFont val="Calibri"/>
      </rPr>
      <t>Configure SLES for vRealize to use TCP syncookies when experiencing a TCP SYN flood.</t>
    </r>
    <r>
      <rPr>
        <sz val="11"/>
        <color rgb="FF000000"/>
        <rFont val="Calibri"/>
      </rPr>
      <t xml:space="preserve">
</t>
    </r>
    <r>
      <rPr>
        <sz val="11"/>
        <color rgb="FF000000"/>
        <rFont val="Calibri"/>
      </rPr>
      <t># sed -i 's/^.*\bnet.ipv4.tcp_syncookies\b.*$/net.ipv4.tcp_syncookies=1/' /etc/sysctl.conf</t>
    </r>
    <r>
      <rPr>
        <sz val="11"/>
        <color rgb="FF000000"/>
        <rFont val="Calibri"/>
      </rPr>
      <t xml:space="preserve">
</t>
    </r>
    <r>
      <rPr>
        <sz val="11"/>
        <color rgb="FF000000"/>
        <rFont val="Calibri"/>
      </rPr>
      <t>Reload sysctl to verify the new change:</t>
    </r>
    <r>
      <rPr>
        <sz val="11"/>
        <color rgb="FF000000"/>
        <rFont val="Calibri"/>
      </rPr>
      <t xml:space="preserve">
</t>
    </r>
    <r>
      <rPr>
        <sz val="11"/>
        <color rgb="FF000000"/>
        <rFont val="Calibri"/>
      </rPr>
      <t># sysctl -p</t>
    </r>
  </si>
  <si>
    <r>
      <rPr>
        <sz val="11"/>
        <color rgb="FF000000"/>
        <rFont val="Calibri"/>
      </rPr>
      <t xml:space="preserve">DoS is a condition when a resource is not available for legitimate users. When this occurs, the organization either cannot accomplish its mission or must operate at degraded capacity. </t>
    </r>
    <r>
      <rPr>
        <sz val="11"/>
        <color rgb="FF000000"/>
        <rFont val="Calibri"/>
      </rPr>
      <t xml:space="preserve">
</t>
    </r>
    <r>
      <rPr>
        <sz val="11"/>
        <color rgb="FF000000"/>
        <rFont val="Calibri"/>
      </rPr>
      <t>Managing excess capacity ensures that sufficient capacity is available to counter flooding attacks. Employing increased capacity and service redundancy may reduce the susceptibility to some DoS attacks. Managing excess capacity may include, for example, establishing selected usage priorities, quotas, or partitioning.</t>
    </r>
  </si>
  <si>
    <r>
      <rPr>
        <sz val="11"/>
        <color rgb="FF000000"/>
        <rFont val="Calibri"/>
      </rPr>
      <t>Check that SLES for vRealize is configured to use TCP syncookies when experiencing a TCP SYN flood.</t>
    </r>
    <r>
      <rPr>
        <sz val="11"/>
        <color rgb="FF000000"/>
        <rFont val="Calibri"/>
      </rPr>
      <t xml:space="preserve">
</t>
    </r>
    <r>
      <rPr>
        <sz val="11"/>
        <color rgb="FF000000"/>
        <rFont val="Calibri"/>
      </rPr>
      <t># cat /proc/sys/net/ipv4/tcp_syncookies</t>
    </r>
    <r>
      <rPr>
        <sz val="11"/>
        <color rgb="FF000000"/>
        <rFont val="Calibri"/>
      </rPr>
      <t xml:space="preserve">
</t>
    </r>
    <r>
      <rPr>
        <sz val="11"/>
        <color rgb="FF000000"/>
        <rFont val="Calibri"/>
      </rPr>
      <t>If the result is not "1", this is a finding.</t>
    </r>
  </si>
  <si>
    <t>V-88597</t>
  </si>
  <si>
    <r>
      <rPr>
        <sz val="11"/>
        <color rgb="FF000000"/>
        <rFont val="Calibri"/>
      </rPr>
      <t>Configure the TCP backlog queue size with the following command:</t>
    </r>
    <r>
      <rPr>
        <sz val="11"/>
        <color rgb="FF000000"/>
        <rFont val="Calibri"/>
      </rPr>
      <t xml:space="preserve">
</t>
    </r>
    <r>
      <rPr>
        <sz val="11"/>
        <color rgb="FF000000"/>
        <rFont val="Calibri"/>
      </rPr>
      <t># sed -i 's/^.*\bnet.ipv4.tcp_max_syn_backlog\b.*$/net.ipv4.tcp_max_syn_backlog=1280/' /etc/sysctl.conf</t>
    </r>
    <r>
      <rPr>
        <sz val="11"/>
        <color rgb="FF000000"/>
        <rFont val="Calibri"/>
      </rPr>
      <t xml:space="preserve">
</t>
    </r>
    <r>
      <rPr>
        <sz val="11"/>
        <color rgb="FF000000"/>
        <rFont val="Calibri"/>
      </rPr>
      <t>Reload sysctl to verify the new change:</t>
    </r>
    <r>
      <rPr>
        <sz val="11"/>
        <color rgb="FF000000"/>
        <rFont val="Calibri"/>
      </rPr>
      <t xml:space="preserve">
</t>
    </r>
    <r>
      <rPr>
        <sz val="11"/>
        <color rgb="FF000000"/>
        <rFont val="Calibri"/>
      </rPr>
      <t># sysctl -p</t>
    </r>
  </si>
  <si>
    <r>
      <rPr>
        <sz val="11"/>
        <color rgb="FF000000"/>
        <rFont val="Calibri"/>
      </rPr>
      <t>Check that SLES for vRealize has an appropriate TCP backlog queue size to mitigate against TCP SYN flood DOS attacks with the following command:</t>
    </r>
    <r>
      <rPr>
        <sz val="11"/>
        <color rgb="FF000000"/>
        <rFont val="Calibri"/>
      </rPr>
      <t xml:space="preserve">
</t>
    </r>
    <r>
      <rPr>
        <sz val="11"/>
        <color rgb="FF000000"/>
        <rFont val="Calibri"/>
      </rPr>
      <t># cat /proc/sys/net/ipv4/tcp_max_syn_backlog</t>
    </r>
    <r>
      <rPr>
        <sz val="11"/>
        <color rgb="FF000000"/>
        <rFont val="Calibri"/>
      </rPr>
      <t xml:space="preserve">
</t>
    </r>
    <r>
      <rPr>
        <sz val="11"/>
        <color rgb="FF000000"/>
        <rFont val="Calibri"/>
      </rPr>
      <t xml:space="preserve">The recommended default setting is "1280". </t>
    </r>
    <r>
      <rPr>
        <sz val="11"/>
        <color rgb="FF000000"/>
        <rFont val="Calibri"/>
      </rPr>
      <t xml:space="preserve">
</t>
    </r>
    <r>
      <rPr>
        <sz val="11"/>
        <color rgb="FF000000"/>
        <rFont val="Calibri"/>
      </rPr>
      <t>If the TCP backlog queue size is not set to "1280", this is a finding.</t>
    </r>
  </si>
  <si>
    <t>V-88599</t>
  </si>
  <si>
    <r>
      <rPr>
        <sz val="11"/>
        <rFont val="Calibri"/>
      </rPr>
      <t>The SLES for vRealize must terminate all network connections associated with a communications session at the end of the session, or as follows: for in-band management sessions (privileged sessions), the session must be terminated after 10 minutes of inactivity; and for user sessions (non-privileged session), the session must be terminated after 15 minutes of inactivity, except to fulfill documented and validated mission requirements.</t>
    </r>
  </si>
  <si>
    <r>
      <rPr>
        <sz val="11"/>
        <color rgb="FF000000"/>
        <rFont val="Calibri"/>
      </rPr>
      <t xml:space="preserve">Terminating an idle session within a short time period reduces the window of opportunity for unauthorized personnel to take control of a management session enabled on the console or console port that has been left unattended. In addition, quickly terminating an idle session will also free up resources committed by the managed network element. </t>
    </r>
    <r>
      <rPr>
        <sz val="11"/>
        <color rgb="FF000000"/>
        <rFont val="Calibri"/>
      </rPr>
      <t xml:space="preserve">
</t>
    </r>
    <r>
      <rPr>
        <sz val="11"/>
        <color rgb="FF000000"/>
        <rFont val="Calibri"/>
      </rPr>
      <t>Terminating network connections associated with communications sessions includes, for example, de-allocating associated TCP/IP address/port pairs at the operating system level, and de-allocating networking assignments at the application level if multiple application sessions are using a single operating system-level network connection. This does not mean that SLES for vRealize terminates all sessions or network access; it only ends the inactive session and releases the resources associated with that session.</t>
    </r>
  </si>
  <si>
    <t>V-88601</t>
  </si>
  <si>
    <r>
      <rPr>
        <sz val="11"/>
        <rFont val="Calibri"/>
      </rPr>
      <t>The /var/log directory must be group-owned by root.</t>
    </r>
  </si>
  <si>
    <r>
      <rPr>
        <sz val="11"/>
        <color rgb="FF000000"/>
        <rFont val="Calibri"/>
      </rPr>
      <t>Change the group of the directory "/var/log" to "root" by running the following command:</t>
    </r>
    <r>
      <rPr>
        <sz val="11"/>
        <color rgb="FF000000"/>
        <rFont val="Calibri"/>
      </rPr>
      <t xml:space="preserve">
</t>
    </r>
    <r>
      <rPr>
        <sz val="11"/>
        <color rgb="FF000000"/>
        <rFont val="Calibri"/>
      </rPr>
      <t># chgrp root /var/log</t>
    </r>
  </si>
  <si>
    <r>
      <rPr>
        <sz val="11"/>
        <color rgb="FF000000"/>
        <rFont val="Calibri"/>
      </rPr>
      <t>Only authorized personnel should be aware of errors and the details of the errors. Error messages are an indicator of an organization's operational state or can identify the SLES for vRealize system or platform. Additionally, Personally Identifiable Information (PII) and operational information must not be revealed through error messages to unauthorized personnel or their designated representatives.</t>
    </r>
    <r>
      <rPr>
        <sz val="11"/>
        <color rgb="FF000000"/>
        <rFont val="Calibri"/>
      </rPr>
      <t xml:space="preserve">
</t>
    </r>
    <r>
      <rPr>
        <sz val="11"/>
        <color rgb="FF000000"/>
        <rFont val="Calibri"/>
      </rPr>
      <t>The structure and content of error messages must be carefully considered by the organization and development team. The extent to which the information system is able to identify and handle error conditions is guided by organizational policy and operational requirements.</t>
    </r>
  </si>
  <si>
    <r>
      <rPr>
        <sz val="11"/>
        <color rgb="FF000000"/>
        <rFont val="Calibri"/>
      </rPr>
      <t>Verify the "/var/log" directory is group-owned by "root" by running the following command:</t>
    </r>
    <r>
      <rPr>
        <sz val="11"/>
        <color rgb="FF000000"/>
        <rFont val="Calibri"/>
      </rPr>
      <t xml:space="preserve">
</t>
    </r>
    <r>
      <rPr>
        <sz val="11"/>
        <color rgb="FF000000"/>
        <rFont val="Calibri"/>
      </rPr>
      <t># ls -lad /var/log | cut -d' ' -f4</t>
    </r>
    <r>
      <rPr>
        <sz val="11"/>
        <color rgb="FF000000"/>
        <rFont val="Calibri"/>
      </rPr>
      <t xml:space="preserve">
</t>
    </r>
    <r>
      <rPr>
        <sz val="11"/>
        <color rgb="FF000000"/>
        <rFont val="Calibri"/>
      </rPr>
      <t>The output must look like the following example:</t>
    </r>
    <r>
      <rPr>
        <sz val="11"/>
        <color rgb="FF000000"/>
        <rFont val="Calibri"/>
      </rPr>
      <t xml:space="preserve">
</t>
    </r>
    <r>
      <rPr>
        <sz val="11"/>
        <color rgb="FF000000"/>
        <rFont val="Calibri"/>
      </rPr>
      <t>ls -lad /var/log | cut -d' ' -f4</t>
    </r>
    <r>
      <rPr>
        <sz val="11"/>
        <color rgb="FF000000"/>
        <rFont val="Calibri"/>
      </rPr>
      <t xml:space="preserve">
</t>
    </r>
    <r>
      <rPr>
        <sz val="11"/>
        <color rgb="FF000000"/>
        <rFont val="Calibri"/>
      </rPr>
      <t>root</t>
    </r>
    <r>
      <rPr>
        <sz val="11"/>
        <color rgb="FF000000"/>
        <rFont val="Calibri"/>
      </rPr>
      <t xml:space="preserve">
</t>
    </r>
    <r>
      <rPr>
        <sz val="11"/>
        <color rgb="FF000000"/>
        <rFont val="Calibri"/>
      </rPr>
      <t>If "root" is not returned as a result, this is a finding.</t>
    </r>
  </si>
  <si>
    <t>V-88603</t>
  </si>
  <si>
    <r>
      <rPr>
        <sz val="11"/>
        <rFont val="Calibri"/>
      </rPr>
      <t>The /var/log directory must be owned by root.</t>
    </r>
  </si>
  <si>
    <r>
      <rPr>
        <sz val="11"/>
        <color rgb="FF000000"/>
        <rFont val="Calibri"/>
      </rPr>
      <t>Change the owner of the directory "/var/log" to "root" by running the following command:</t>
    </r>
    <r>
      <rPr>
        <sz val="11"/>
        <color rgb="FF000000"/>
        <rFont val="Calibri"/>
      </rPr>
      <t xml:space="preserve">
</t>
    </r>
    <r>
      <rPr>
        <sz val="11"/>
        <color rgb="FF000000"/>
        <rFont val="Calibri"/>
      </rPr>
      <t># chown root /var/log</t>
    </r>
  </si>
  <si>
    <r>
      <rPr>
        <sz val="11"/>
        <color rgb="FF000000"/>
        <rFont val="Calibri"/>
      </rPr>
      <t>Verify that the "/var/log" directory is owned by "root" by running the following command:</t>
    </r>
    <r>
      <rPr>
        <sz val="11"/>
        <color rgb="FF000000"/>
        <rFont val="Calibri"/>
      </rPr>
      <t xml:space="preserve">
</t>
    </r>
    <r>
      <rPr>
        <sz val="11"/>
        <color rgb="FF000000"/>
        <rFont val="Calibri"/>
      </rPr>
      <t># ls -lad /var/log | cut -d' ' -f3</t>
    </r>
    <r>
      <rPr>
        <sz val="11"/>
        <color rgb="FF000000"/>
        <rFont val="Calibri"/>
      </rPr>
      <t xml:space="preserve">
</t>
    </r>
    <r>
      <rPr>
        <sz val="11"/>
        <color rgb="FF000000"/>
        <rFont val="Calibri"/>
      </rPr>
      <t>The output must look like the following example:</t>
    </r>
    <r>
      <rPr>
        <sz val="11"/>
        <color rgb="FF000000"/>
        <rFont val="Calibri"/>
      </rPr>
      <t xml:space="preserve">
</t>
    </r>
    <r>
      <rPr>
        <sz val="11"/>
        <color rgb="FF000000"/>
        <rFont val="Calibri"/>
      </rPr>
      <t>ls -lad /var/log | cut -d' ' -f3</t>
    </r>
    <r>
      <rPr>
        <sz val="11"/>
        <color rgb="FF000000"/>
        <rFont val="Calibri"/>
      </rPr>
      <t xml:space="preserve">
</t>
    </r>
    <r>
      <rPr>
        <sz val="11"/>
        <color rgb="FF000000"/>
        <rFont val="Calibri"/>
      </rPr>
      <t>root</t>
    </r>
    <r>
      <rPr>
        <sz val="11"/>
        <color rgb="FF000000"/>
        <rFont val="Calibri"/>
      </rPr>
      <t xml:space="preserve">
</t>
    </r>
    <r>
      <rPr>
        <sz val="11"/>
        <color rgb="FF000000"/>
        <rFont val="Calibri"/>
      </rPr>
      <t>If "root" is not returned as a result, this is a finding.</t>
    </r>
  </si>
  <si>
    <t>V-88605</t>
  </si>
  <si>
    <r>
      <rPr>
        <sz val="11"/>
        <rFont val="Calibri"/>
      </rPr>
      <t>The /var/log directory must have mode 0750 or less permissive.</t>
    </r>
  </si>
  <si>
    <r>
      <rPr>
        <sz val="11"/>
        <color rgb="FF000000"/>
        <rFont val="Calibri"/>
      </rPr>
      <t>Change the permissions of the directory "/var/log" to "0750" by running the following command:</t>
    </r>
    <r>
      <rPr>
        <sz val="11"/>
        <color rgb="FF000000"/>
        <rFont val="Calibri"/>
      </rPr>
      <t xml:space="preserve">
</t>
    </r>
    <r>
      <rPr>
        <sz val="11"/>
        <color rgb="FF000000"/>
        <rFont val="Calibri"/>
      </rPr>
      <t># chmod 0750 /var/log</t>
    </r>
  </si>
  <si>
    <r>
      <rPr>
        <sz val="11"/>
        <color rgb="FF000000"/>
        <rFont val="Calibri"/>
      </rPr>
      <t>Verify that the "/var/log" directory is the mode 0750 or less permissive by running the following command:</t>
    </r>
    <r>
      <rPr>
        <sz val="11"/>
        <color rgb="FF000000"/>
        <rFont val="Calibri"/>
      </rPr>
      <t xml:space="preserve">
</t>
    </r>
    <r>
      <rPr>
        <sz val="11"/>
        <color rgb="FF000000"/>
        <rFont val="Calibri"/>
      </rPr>
      <t># ls -lad /var/log | cut -d' ' -f1</t>
    </r>
    <r>
      <rPr>
        <sz val="11"/>
        <color rgb="FF000000"/>
        <rFont val="Calibri"/>
      </rPr>
      <t xml:space="preserve">
</t>
    </r>
    <r>
      <rPr>
        <sz val="11"/>
        <color rgb="FF000000"/>
        <rFont val="Calibri"/>
      </rPr>
      <t>The output must look like the following example:</t>
    </r>
    <r>
      <rPr>
        <sz val="11"/>
        <color rgb="FF000000"/>
        <rFont val="Calibri"/>
      </rPr>
      <t xml:space="preserve">
</t>
    </r>
    <r>
      <rPr>
        <sz val="11"/>
        <color rgb="FF000000"/>
        <rFont val="Calibri"/>
      </rPr>
      <t>ls -lad /var/log | cut -d' ' -f1</t>
    </r>
    <r>
      <rPr>
        <sz val="11"/>
        <color rgb="FF000000"/>
        <rFont val="Calibri"/>
      </rPr>
      <t xml:space="preserve">
</t>
    </r>
    <r>
      <rPr>
        <sz val="11"/>
        <color rgb="FF000000"/>
        <rFont val="Calibri"/>
      </rPr>
      <t>drwxr-x---</t>
    </r>
    <r>
      <rPr>
        <sz val="11"/>
        <color rgb="FF000000"/>
        <rFont val="Calibri"/>
      </rPr>
      <t xml:space="preserve">
</t>
    </r>
    <r>
      <rPr>
        <sz val="11"/>
        <color rgb="FF000000"/>
        <rFont val="Calibri"/>
      </rPr>
      <t>If "drwxr-x---" is not returned as a result, this is a finding.</t>
    </r>
  </si>
  <si>
    <t>V-88607</t>
  </si>
  <si>
    <r>
      <rPr>
        <sz val="11"/>
        <rFont val="Calibri"/>
      </rPr>
      <t>The /var/log/messages file must be group-owned by root.</t>
    </r>
  </si>
  <si>
    <r>
      <rPr>
        <sz val="11"/>
        <color rgb="FF000000"/>
        <rFont val="Calibri"/>
      </rPr>
      <t>Change the group of the file "/var/log/messages" to "root" by running the following command:</t>
    </r>
    <r>
      <rPr>
        <sz val="11"/>
        <color rgb="FF000000"/>
        <rFont val="Calibri"/>
      </rPr>
      <t xml:space="preserve">
</t>
    </r>
    <r>
      <rPr>
        <sz val="11"/>
        <color rgb="FF000000"/>
        <rFont val="Calibri"/>
      </rPr>
      <t># chgrp root /var/log/messages</t>
    </r>
  </si>
  <si>
    <r>
      <rPr>
        <sz val="11"/>
        <color rgb="FF000000"/>
        <rFont val="Calibri"/>
      </rPr>
      <t>Verify that the "/var/log/messages" file is group-owned by "root" by running the following command:</t>
    </r>
    <r>
      <rPr>
        <sz val="11"/>
        <color rgb="FF000000"/>
        <rFont val="Calibri"/>
      </rPr>
      <t xml:space="preserve">
</t>
    </r>
    <r>
      <rPr>
        <sz val="11"/>
        <color rgb="FF000000"/>
        <rFont val="Calibri"/>
      </rPr>
      <t># ls -la /var/log/messages | cut -d' ' -f4</t>
    </r>
    <r>
      <rPr>
        <sz val="11"/>
        <color rgb="FF000000"/>
        <rFont val="Calibri"/>
      </rPr>
      <t xml:space="preserve">
</t>
    </r>
    <r>
      <rPr>
        <sz val="11"/>
        <color rgb="FF000000"/>
        <rFont val="Calibri"/>
      </rPr>
      <t>The output must look like the following example:</t>
    </r>
    <r>
      <rPr>
        <sz val="11"/>
        <color rgb="FF000000"/>
        <rFont val="Calibri"/>
      </rPr>
      <t xml:space="preserve">
</t>
    </r>
    <r>
      <rPr>
        <sz val="11"/>
        <color rgb="FF000000"/>
        <rFont val="Calibri"/>
      </rPr>
      <t>ls -la /var/log/messages | cut -d' ' -f4</t>
    </r>
    <r>
      <rPr>
        <sz val="11"/>
        <color rgb="FF000000"/>
        <rFont val="Calibri"/>
      </rPr>
      <t xml:space="preserve">
</t>
    </r>
    <r>
      <rPr>
        <sz val="11"/>
        <color rgb="FF000000"/>
        <rFont val="Calibri"/>
      </rPr>
      <t>root</t>
    </r>
    <r>
      <rPr>
        <sz val="11"/>
        <color rgb="FF000000"/>
        <rFont val="Calibri"/>
      </rPr>
      <t xml:space="preserve">
</t>
    </r>
    <r>
      <rPr>
        <sz val="11"/>
        <color rgb="FF000000"/>
        <rFont val="Calibri"/>
      </rPr>
      <t>If "root" is not returned as a result, this is a finding.</t>
    </r>
  </si>
  <si>
    <t>V-88609</t>
  </si>
  <si>
    <r>
      <rPr>
        <sz val="11"/>
        <rFont val="Calibri"/>
      </rPr>
      <t>The /var/log/messages file must be owned by root.</t>
    </r>
  </si>
  <si>
    <r>
      <rPr>
        <sz val="11"/>
        <color rgb="FF000000"/>
        <rFont val="Calibri"/>
      </rPr>
      <t>Change the owner of the file "/var/log/messages" to "root" by running the following command:</t>
    </r>
    <r>
      <rPr>
        <sz val="11"/>
        <color rgb="FF000000"/>
        <rFont val="Calibri"/>
      </rPr>
      <t xml:space="preserve">
</t>
    </r>
    <r>
      <rPr>
        <sz val="11"/>
        <color rgb="FF000000"/>
        <rFont val="Calibri"/>
      </rPr>
      <t># chown root /var/log/messages</t>
    </r>
  </si>
  <si>
    <r>
      <rPr>
        <sz val="11"/>
        <color rgb="FF000000"/>
        <rFont val="Calibri"/>
      </rPr>
      <t>Verify that the "/var/log/messages" file is owned by "root" by running the following command:</t>
    </r>
    <r>
      <rPr>
        <sz val="11"/>
        <color rgb="FF000000"/>
        <rFont val="Calibri"/>
      </rPr>
      <t xml:space="preserve">
</t>
    </r>
    <r>
      <rPr>
        <sz val="11"/>
        <color rgb="FF000000"/>
        <rFont val="Calibri"/>
      </rPr>
      <t># ls -la /var/log/messages | cut -d' ' -f3</t>
    </r>
    <r>
      <rPr>
        <sz val="11"/>
        <color rgb="FF000000"/>
        <rFont val="Calibri"/>
      </rPr>
      <t xml:space="preserve">
</t>
    </r>
    <r>
      <rPr>
        <sz val="11"/>
        <color rgb="FF000000"/>
        <rFont val="Calibri"/>
      </rPr>
      <t>The output must look like the following example:</t>
    </r>
    <r>
      <rPr>
        <sz val="11"/>
        <color rgb="FF000000"/>
        <rFont val="Calibri"/>
      </rPr>
      <t xml:space="preserve">
</t>
    </r>
    <r>
      <rPr>
        <sz val="11"/>
        <color rgb="FF000000"/>
        <rFont val="Calibri"/>
      </rPr>
      <t>ls -la /var/log/messages | cut -d' ' -f3</t>
    </r>
    <r>
      <rPr>
        <sz val="11"/>
        <color rgb="FF000000"/>
        <rFont val="Calibri"/>
      </rPr>
      <t xml:space="preserve">
</t>
    </r>
    <r>
      <rPr>
        <sz val="11"/>
        <color rgb="FF000000"/>
        <rFont val="Calibri"/>
      </rPr>
      <t>root</t>
    </r>
    <r>
      <rPr>
        <sz val="11"/>
        <color rgb="FF000000"/>
        <rFont val="Calibri"/>
      </rPr>
      <t xml:space="preserve">
</t>
    </r>
    <r>
      <rPr>
        <sz val="11"/>
        <color rgb="FF000000"/>
        <rFont val="Calibri"/>
      </rPr>
      <t>If "root" is not returned as a result, this is a finding.</t>
    </r>
  </si>
  <si>
    <t>V-88611</t>
  </si>
  <si>
    <r>
      <rPr>
        <sz val="11"/>
        <rFont val="Calibri"/>
      </rPr>
      <t>The /var/log/messages file must have mode 0640 or less permissive.</t>
    </r>
  </si>
  <si>
    <r>
      <rPr>
        <sz val="11"/>
        <color rgb="FF000000"/>
        <rFont val="Calibri"/>
      </rPr>
      <t>Change the permissions of the file "/var/log/messages" to "0640" by running the following command:</t>
    </r>
    <r>
      <rPr>
        <sz val="11"/>
        <color rgb="FF000000"/>
        <rFont val="Calibri"/>
      </rPr>
      <t xml:space="preserve">
</t>
    </r>
    <r>
      <rPr>
        <sz val="11"/>
        <color rgb="FF000000"/>
        <rFont val="Calibri"/>
      </rPr>
      <t># chmod 0640 /var/log/messages</t>
    </r>
  </si>
  <si>
    <r>
      <rPr>
        <sz val="11"/>
        <color rgb="FF000000"/>
        <rFont val="Calibri"/>
      </rPr>
      <t>Verify that the "/var/log/messages" file is 0640 or less permissive by running the following command:</t>
    </r>
    <r>
      <rPr>
        <sz val="11"/>
        <color rgb="FF000000"/>
        <rFont val="Calibri"/>
      </rPr>
      <t xml:space="preserve">
</t>
    </r>
    <r>
      <rPr>
        <sz val="11"/>
        <color rgb="FF000000"/>
        <rFont val="Calibri"/>
      </rPr>
      <t># ls -lad /var/log/messages | cut -d' ' -f1</t>
    </r>
    <r>
      <rPr>
        <sz val="11"/>
        <color rgb="FF000000"/>
        <rFont val="Calibri"/>
      </rPr>
      <t xml:space="preserve">
</t>
    </r>
    <r>
      <rPr>
        <sz val="11"/>
        <color rgb="FF000000"/>
        <rFont val="Calibri"/>
      </rPr>
      <t>The output must look like the following example:</t>
    </r>
    <r>
      <rPr>
        <sz val="11"/>
        <color rgb="FF000000"/>
        <rFont val="Calibri"/>
      </rPr>
      <t xml:space="preserve">
</t>
    </r>
    <r>
      <rPr>
        <sz val="11"/>
        <color rgb="FF000000"/>
        <rFont val="Calibri"/>
      </rPr>
      <t>ls -lad /var/log/messages | cut -d' ' -f1</t>
    </r>
    <r>
      <rPr>
        <sz val="11"/>
        <color rgb="FF000000"/>
        <rFont val="Calibri"/>
      </rPr>
      <t xml:space="preserve">
</t>
    </r>
    <r>
      <rPr>
        <sz val="11"/>
        <color rgb="FF000000"/>
        <rFont val="Calibri"/>
      </rPr>
      <t>-rw-r-----</t>
    </r>
    <r>
      <rPr>
        <sz val="11"/>
        <color rgb="FF000000"/>
        <rFont val="Calibri"/>
      </rPr>
      <t xml:space="preserve">
</t>
    </r>
    <r>
      <rPr>
        <sz val="11"/>
        <color rgb="FF000000"/>
        <rFont val="Calibri"/>
      </rPr>
      <t>If "-rw-r-----" is not returned as a result, this is a finding.</t>
    </r>
  </si>
  <si>
    <t>V-88613</t>
  </si>
  <si>
    <r>
      <rPr>
        <sz val="11"/>
        <rFont val="Calibri"/>
      </rPr>
      <t>The SLES for vRealize must reveal error messages only to authorized users.</t>
    </r>
  </si>
  <si>
    <r>
      <rPr>
        <sz val="11"/>
        <color rgb="FF000000"/>
        <rFont val="Calibri"/>
      </rPr>
      <t>Change the permissions of the syslog configuration file(s):</t>
    </r>
    <r>
      <rPr>
        <sz val="11"/>
        <color rgb="FF000000"/>
        <rFont val="Calibri"/>
      </rPr>
      <t xml:space="preserve">
</t>
    </r>
    <r>
      <rPr>
        <sz val="11"/>
        <color rgb="FF000000"/>
        <rFont val="Calibri"/>
      </rPr>
      <t># chmod 640 /etc/syslog-ng/syslog-ng.conf</t>
    </r>
  </si>
  <si>
    <r>
      <rPr>
        <sz val="11"/>
        <color rgb="FF000000"/>
        <rFont val="Calibri"/>
      </rPr>
      <t>Check the permissions of the syslog configuration file(s):</t>
    </r>
    <r>
      <rPr>
        <sz val="11"/>
        <color rgb="FF000000"/>
        <rFont val="Calibri"/>
      </rPr>
      <t xml:space="preserve">
</t>
    </r>
    <r>
      <rPr>
        <sz val="11"/>
        <color rgb="FF000000"/>
        <rFont val="Calibri"/>
      </rPr>
      <t># ls -lL /etc/syslog-ng/syslog-ng.conf</t>
    </r>
    <r>
      <rPr>
        <sz val="11"/>
        <color rgb="FF000000"/>
        <rFont val="Calibri"/>
      </rPr>
      <t xml:space="preserve">
</t>
    </r>
    <r>
      <rPr>
        <sz val="11"/>
        <color rgb="FF000000"/>
        <rFont val="Calibri"/>
      </rPr>
      <t>If the mode of the file is more permissive than "0640", this is a finding.</t>
    </r>
  </si>
  <si>
    <t>V-88615</t>
  </si>
  <si>
    <r>
      <rPr>
        <sz val="11"/>
        <color rgb="FF000000"/>
        <rFont val="Calibri"/>
      </rPr>
      <t>Use the chown command to set the owner to "root":</t>
    </r>
    <r>
      <rPr>
        <sz val="11"/>
        <color rgb="FF000000"/>
        <rFont val="Calibri"/>
      </rPr>
      <t xml:space="preserve">
</t>
    </r>
    <r>
      <rPr>
        <sz val="11"/>
        <color rgb="FF000000"/>
        <rFont val="Calibri"/>
      </rPr>
      <t># chown root /etc/syslog-ng/syslog-ng.conf</t>
    </r>
  </si>
  <si>
    <r>
      <rPr>
        <sz val="11"/>
        <color rgb="FF000000"/>
        <rFont val="Calibri"/>
      </rPr>
      <t>Check the permissions of the syslog configuration file(s):</t>
    </r>
    <r>
      <rPr>
        <sz val="11"/>
        <color rgb="FF000000"/>
        <rFont val="Calibri"/>
      </rPr>
      <t xml:space="preserve">
</t>
    </r>
    <r>
      <rPr>
        <sz val="11"/>
        <color rgb="FF000000"/>
        <rFont val="Calibri"/>
      </rPr>
      <t># ls -lL /etc/syslog-ng/syslog-ng.conf</t>
    </r>
    <r>
      <rPr>
        <sz val="11"/>
        <color rgb="FF000000"/>
        <rFont val="Calibri"/>
      </rPr>
      <t xml:space="preserve">
</t>
    </r>
    <r>
      <rPr>
        <sz val="11"/>
        <color rgb="FF000000"/>
        <rFont val="Calibri"/>
      </rPr>
      <t>If the file is not owned by "root", this is a finding.</t>
    </r>
  </si>
  <si>
    <t>V-88617</t>
  </si>
  <si>
    <r>
      <rPr>
        <sz val="11"/>
        <color rgb="FF000000"/>
        <rFont val="Calibri"/>
      </rPr>
      <t>Change the group-owner of the "/etc/rsyslog.conf" file to "root":</t>
    </r>
    <r>
      <rPr>
        <sz val="11"/>
        <color rgb="FF000000"/>
        <rFont val="Calibri"/>
      </rPr>
      <t xml:space="preserve">
</t>
    </r>
    <r>
      <rPr>
        <sz val="11"/>
        <color rgb="FF000000"/>
        <rFont val="Calibri"/>
      </rPr>
      <t># chgrp root /etc/syslog-ng/syslog-ng.conf</t>
    </r>
  </si>
  <si>
    <r>
      <rPr>
        <sz val="11"/>
        <color rgb="FF000000"/>
        <rFont val="Calibri"/>
      </rPr>
      <t>Check the permissions of the syslog configuration file(s):</t>
    </r>
    <r>
      <rPr>
        <sz val="11"/>
        <color rgb="FF000000"/>
        <rFont val="Calibri"/>
      </rPr>
      <t xml:space="preserve">
</t>
    </r>
    <r>
      <rPr>
        <sz val="11"/>
        <color rgb="FF000000"/>
        <rFont val="Calibri"/>
      </rPr>
      <t># ls -lL /etc/syslog-ng/syslog-ng.conf</t>
    </r>
    <r>
      <rPr>
        <sz val="11"/>
        <color rgb="FF000000"/>
        <rFont val="Calibri"/>
      </rPr>
      <t xml:space="preserve">
</t>
    </r>
    <r>
      <rPr>
        <sz val="11"/>
        <color rgb="FF000000"/>
        <rFont val="Calibri"/>
      </rPr>
      <t>If the file is not group owned by "root", this is a finding.</t>
    </r>
  </si>
  <si>
    <t>V-88619</t>
  </si>
  <si>
    <r>
      <rPr>
        <sz val="11"/>
        <rFont val="Calibri"/>
      </rPr>
      <t>Any publically accessible connection to the SLES for vRealize must display the Standard Mandatory DoD Notice and Consent Banner before granting access to the system.</t>
    </r>
  </si>
  <si>
    <r>
      <rPr>
        <sz val="11"/>
        <color rgb="FF000000"/>
        <rFont val="Calibri"/>
      </rPr>
      <t>To configure SLES for vRealize to display the Standard Mandatory DoD Notice and Consent Banner, run the DoD.script with the following command as "root":</t>
    </r>
    <r>
      <rPr>
        <sz val="11"/>
        <color rgb="FF000000"/>
        <rFont val="Calibri"/>
      </rPr>
      <t xml:space="preserve">
</t>
    </r>
    <r>
      <rPr>
        <sz val="11"/>
        <color rgb="FF000000"/>
        <rFont val="Calibri"/>
      </rPr>
      <t># /etc/dodscript.sh</t>
    </r>
  </si>
  <si>
    <r>
      <rPr>
        <sz val="11"/>
        <color rgb="FF000000"/>
        <rFont val="Calibri"/>
      </rPr>
      <t>Display of a standardized and approved use notification before granting access to the publicly accessible SLES for vRealize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 and are not required when such human interfaces do not exist.</t>
    </r>
    <r>
      <rPr>
        <sz val="11"/>
        <color rgb="FF000000"/>
        <rFont val="Calibri"/>
      </rPr>
      <t xml:space="preserve">
</t>
    </r>
    <r>
      <rPr>
        <sz val="11"/>
        <color rgb="FF000000"/>
        <rFont val="Calibri"/>
      </rPr>
      <t>The banner must be formatted in accordance with applicable DoD policy. Use the following verbiage for operating systems that can accommodate banners of 1300 characters: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Use the following verbiage for operating systems that have severe limitations on the number of characters that can be displayed in the banner:</t>
    </r>
    <r>
      <rPr>
        <sz val="11"/>
        <color rgb="FF000000"/>
        <rFont val="Calibri"/>
      </rPr>
      <t xml:space="preserve">
</t>
    </r>
    <r>
      <rPr>
        <sz val="11"/>
        <color rgb="FF000000"/>
        <rFont val="Calibri"/>
      </rPr>
      <t>"I've read &amp; consent to terms in IS user agreem't."</t>
    </r>
  </si>
  <si>
    <r>
      <rPr>
        <sz val="11"/>
        <color rgb="FF000000"/>
        <rFont val="Calibri"/>
      </rPr>
      <t xml:space="preserve">Check issue file to verify that it contains one of the DoD required banners. </t>
    </r>
    <r>
      <rPr>
        <sz val="11"/>
        <color rgb="FF000000"/>
        <rFont val="Calibri"/>
      </rPr>
      <t xml:space="preserve">
</t>
    </r>
    <r>
      <rPr>
        <sz val="11"/>
        <color rgb="FF000000"/>
        <rFont val="Calibri"/>
      </rPr>
      <t># cat /etc/issue</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Use the following verbiage for operating systems that have severe limitations on the number of characters that can be displayed in the banner:</t>
    </r>
    <r>
      <rPr>
        <sz val="11"/>
        <color rgb="FF000000"/>
        <rFont val="Calibri"/>
      </rPr>
      <t xml:space="preserve">
</t>
    </r>
    <r>
      <rPr>
        <sz val="11"/>
        <color rgb="FF000000"/>
        <rFont val="Calibri"/>
      </rPr>
      <t>"I've read &amp; consent to terms in IS user agreem't."</t>
    </r>
    <r>
      <rPr>
        <sz val="11"/>
        <color rgb="FF000000"/>
        <rFont val="Calibri"/>
      </rPr>
      <t xml:space="preserve">
</t>
    </r>
    <r>
      <rPr>
        <sz val="11"/>
        <color rgb="FF000000"/>
        <rFont val="Calibri"/>
      </rPr>
      <t>If it does not, this is a finding.</t>
    </r>
  </si>
  <si>
    <t>V-88621</t>
  </si>
  <si>
    <r>
      <rPr>
        <sz val="11"/>
        <rFont val="Calibri"/>
      </rPr>
      <t>The SLES for vRealize must audit all account modifications.</t>
    </r>
  </si>
  <si>
    <r>
      <rPr>
        <sz val="11"/>
        <color rgb="FF000000"/>
        <rFont val="Calibri"/>
      </rPr>
      <t>Configure execute auditing of the "usermod" and "groupmod" executables run the DoD.script with the following command as "root":</t>
    </r>
    <r>
      <rPr>
        <sz val="11"/>
        <color rgb="FF000000"/>
        <rFont val="Calibri"/>
      </rPr>
      <t xml:space="preserve">
</t>
    </r>
    <r>
      <rPr>
        <sz val="11"/>
        <color rgb="FF000000"/>
        <rFont val="Calibri"/>
      </rPr>
      <t># /etc/dodscript.sh</t>
    </r>
    <r>
      <rPr>
        <sz val="11"/>
        <color rgb="FF000000"/>
        <rFont val="Calibri"/>
      </rPr>
      <t xml:space="preserve">
</t>
    </r>
    <r>
      <rPr>
        <sz val="11"/>
        <color rgb="FF000000"/>
        <rFont val="Calibri"/>
      </rPr>
      <t>OR</t>
    </r>
    <r>
      <rPr>
        <sz val="11"/>
        <color rgb="FF000000"/>
        <rFont val="Calibri"/>
      </rPr>
      <t xml:space="preserve">
</t>
    </r>
    <r>
      <rPr>
        <sz val="11"/>
        <color rgb="FF000000"/>
        <rFont val="Calibri"/>
      </rPr>
      <t xml:space="preserve">Configure execute auditing of the "usermod" and "groupmod" executables. Add the following to the audit.rules file: </t>
    </r>
    <r>
      <rPr>
        <sz val="11"/>
        <color rgb="FF000000"/>
        <rFont val="Calibri"/>
      </rPr>
      <t xml:space="preserve">
</t>
    </r>
    <r>
      <rPr>
        <sz val="11"/>
        <color rgb="FF000000"/>
        <rFont val="Calibri"/>
      </rPr>
      <t>-w /usr/sbin/usermod -p x -k usermod</t>
    </r>
    <r>
      <rPr>
        <sz val="11"/>
        <color rgb="FF000000"/>
        <rFont val="Calibri"/>
      </rPr>
      <t xml:space="preserve">
</t>
    </r>
    <r>
      <rPr>
        <sz val="11"/>
        <color rgb="FF000000"/>
        <rFont val="Calibri"/>
      </rPr>
      <t>-w /usr/sbin/groupmod -p x -k groupmod</t>
    </r>
    <r>
      <rPr>
        <sz val="11"/>
        <color rgb="FF000000"/>
        <rFont val="Calibri"/>
      </rPr>
      <t xml:space="preserve">
</t>
    </r>
    <r>
      <rPr>
        <sz val="11"/>
        <color rgb="FF000000"/>
        <rFont val="Calibri"/>
      </rPr>
      <t xml:space="preserve">Restart the auditd service. </t>
    </r>
    <r>
      <rPr>
        <sz val="11"/>
        <color rgb="FF000000"/>
        <rFont val="Calibri"/>
      </rPr>
      <t xml:space="preserve">
</t>
    </r>
    <r>
      <rPr>
        <sz val="11"/>
        <color rgb="FF000000"/>
        <rFont val="Calibri"/>
      </rPr>
      <t># service auditd restart</t>
    </r>
  </si>
  <si>
    <r>
      <rPr>
        <sz val="11"/>
        <color rgb="FF000000"/>
        <rFont val="Calibri"/>
      </rPr>
      <t>Once an attacker establishes initial access to a system, the attacker often attempts to create a persistent method of reestablishing access. One way to accomplish this is for the attacker to simply modify an existing account. Auditing of account modification is one method for mitigating this risk.</t>
    </r>
    <r>
      <rPr>
        <sz val="11"/>
        <color rgb="FF000000"/>
        <rFont val="Calibri"/>
      </rPr>
      <t xml:space="preserve">
</t>
    </r>
    <r>
      <rPr>
        <sz val="11"/>
        <color rgb="FF000000"/>
        <rFont val="Calibri"/>
      </rPr>
      <t>To address access requirements, many SLES for vRealize systems can be integrated with enterprise-level authentication/access/auditing mechanisms that meet or exceed access control policy requirements.</t>
    </r>
  </si>
  <si>
    <r>
      <rPr>
        <sz val="11"/>
        <color rgb="FF000000"/>
        <rFont val="Calibri"/>
      </rPr>
      <t>Determine if execution of the "usermod" and "groupmod" executable are audited.</t>
    </r>
    <r>
      <rPr>
        <sz val="11"/>
        <color rgb="FF000000"/>
        <rFont val="Calibri"/>
      </rPr>
      <t xml:space="preserve">
</t>
    </r>
    <r>
      <rPr>
        <sz val="11"/>
        <color rgb="FF000000"/>
        <rFont val="Calibri"/>
      </rPr>
      <t># auditctl -l | egrep '(usermod|groupmod)' | grep perm=x</t>
    </r>
    <r>
      <rPr>
        <sz val="11"/>
        <color rgb="FF000000"/>
        <rFont val="Calibri"/>
      </rPr>
      <t xml:space="preserve">
</t>
    </r>
    <r>
      <rPr>
        <sz val="11"/>
        <color rgb="FF000000"/>
        <rFont val="Calibri"/>
      </rPr>
      <t>If either "usermod" or "groupmod" are not listed with a permissions filter of at least "x", this is a finding.</t>
    </r>
  </si>
  <si>
    <t>V-88623</t>
  </si>
  <si>
    <r>
      <rPr>
        <sz val="11"/>
        <color rgb="FF000000"/>
        <rFont val="Calibri"/>
      </rPr>
      <t>Configure append auditing of the "passwd", "shadow", "group", and "gshadow" files run the DoD.script with the following command as root:</t>
    </r>
    <r>
      <rPr>
        <sz val="11"/>
        <color rgb="FF000000"/>
        <rFont val="Calibri"/>
      </rPr>
      <t xml:space="preserve">
</t>
    </r>
    <r>
      <rPr>
        <sz val="11"/>
        <color rgb="FF000000"/>
        <rFont val="Calibri"/>
      </rPr>
      <t># /etc/dodscript.sh</t>
    </r>
    <r>
      <rPr>
        <sz val="11"/>
        <color rgb="FF000000"/>
        <rFont val="Calibri"/>
      </rPr>
      <t xml:space="preserve">
</t>
    </r>
    <r>
      <rPr>
        <sz val="11"/>
        <color rgb="FF000000"/>
        <rFont val="Calibri"/>
      </rPr>
      <t>OR</t>
    </r>
    <r>
      <rPr>
        <sz val="11"/>
        <color rgb="FF000000"/>
        <rFont val="Calibri"/>
      </rPr>
      <t xml:space="preserve">
</t>
    </r>
    <r>
      <rPr>
        <sz val="11"/>
        <color rgb="FF000000"/>
        <rFont val="Calibri"/>
      </rPr>
      <t xml:space="preserve">Configure append auditing of the "passwd", "shadow", "group", and "gshadow" files. Add the following to the audit.rules file: </t>
    </r>
    <r>
      <rPr>
        <sz val="11"/>
        <color rgb="FF000000"/>
        <rFont val="Calibri"/>
      </rPr>
      <t xml:space="preserve">
</t>
    </r>
    <r>
      <rPr>
        <sz val="11"/>
        <color rgb="FF000000"/>
        <rFont val="Calibri"/>
      </rPr>
      <t>-w /etc/passwd -p w -k passwd</t>
    </r>
    <r>
      <rPr>
        <sz val="11"/>
        <color rgb="FF000000"/>
        <rFont val="Calibri"/>
      </rPr>
      <t xml:space="preserve">
</t>
    </r>
    <r>
      <rPr>
        <sz val="11"/>
        <color rgb="FF000000"/>
        <rFont val="Calibri"/>
      </rPr>
      <t>-w /etc/shadow -p w -k shadow</t>
    </r>
    <r>
      <rPr>
        <sz val="11"/>
        <color rgb="FF000000"/>
        <rFont val="Calibri"/>
      </rPr>
      <t xml:space="preserve">
</t>
    </r>
    <r>
      <rPr>
        <sz val="11"/>
        <color rgb="FF000000"/>
        <rFont val="Calibri"/>
      </rPr>
      <t>-w /etc/group -p w -k group</t>
    </r>
    <r>
      <rPr>
        <sz val="11"/>
        <color rgb="FF000000"/>
        <rFont val="Calibri"/>
      </rPr>
      <t xml:space="preserve">
</t>
    </r>
    <r>
      <rPr>
        <sz val="11"/>
        <color rgb="FF000000"/>
        <rFont val="Calibri"/>
      </rPr>
      <t>-w /etc/gshadow -p w -k gshadow</t>
    </r>
    <r>
      <rPr>
        <sz val="11"/>
        <color rgb="FF000000"/>
        <rFont val="Calibri"/>
      </rPr>
      <t xml:space="preserve">
</t>
    </r>
    <r>
      <rPr>
        <sz val="11"/>
        <color rgb="FF000000"/>
        <rFont val="Calibri"/>
      </rPr>
      <t xml:space="preserve">Restart the auditd service. </t>
    </r>
    <r>
      <rPr>
        <sz val="11"/>
        <color rgb="FF000000"/>
        <rFont val="Calibri"/>
      </rPr>
      <t xml:space="preserve">
</t>
    </r>
    <r>
      <rPr>
        <sz val="11"/>
        <color rgb="FF000000"/>
        <rFont val="Calibri"/>
      </rPr>
      <t># service auditd restart</t>
    </r>
  </si>
  <si>
    <r>
      <rPr>
        <sz val="11"/>
        <color rgb="FF000000"/>
        <rFont val="Calibri"/>
      </rPr>
      <t>Determine if "/etc/passwd", "/etc/shadow", "/etc/group", and "/etc/gshadow" are audited for writing.</t>
    </r>
    <r>
      <rPr>
        <sz val="11"/>
        <color rgb="FF000000"/>
        <rFont val="Calibri"/>
      </rPr>
      <t xml:space="preserve">
</t>
    </r>
    <r>
      <rPr>
        <sz val="11"/>
        <color rgb="FF000000"/>
        <rFont val="Calibri"/>
      </rPr>
      <t># auditctl -l | egrep '(/etc/passwd|/etc/shadow|/etc/group|/etc/gshadow)' | grep perm=w</t>
    </r>
    <r>
      <rPr>
        <sz val="11"/>
        <color rgb="FF000000"/>
        <rFont val="Calibri"/>
      </rPr>
      <t xml:space="preserve">
</t>
    </r>
    <r>
      <rPr>
        <sz val="11"/>
        <color rgb="FF000000"/>
        <rFont val="Calibri"/>
      </rPr>
      <t>If any of these are not listed with a permissions filter of at least "w", this is a finding.</t>
    </r>
  </si>
  <si>
    <t>V-88625</t>
  </si>
  <si>
    <r>
      <rPr>
        <sz val="11"/>
        <rFont val="Calibri"/>
      </rPr>
      <t>The SLES for vRealize must audit all account-disabling actions.</t>
    </r>
  </si>
  <si>
    <r>
      <rPr>
        <sz val="11"/>
        <color rgb="FF000000"/>
        <rFont val="Calibri"/>
      </rPr>
      <t>Configure SLES for vRealize to automatically audit account-disabling actions by running the following command:</t>
    </r>
    <r>
      <rPr>
        <sz val="11"/>
        <color rgb="FF000000"/>
        <rFont val="Calibri"/>
      </rPr>
      <t xml:space="preserve">
</t>
    </r>
    <r>
      <rPr>
        <sz val="11"/>
        <color rgb="FF000000"/>
        <rFont val="Calibri"/>
      </rPr>
      <t># /etc/dodscript.sh</t>
    </r>
    <r>
      <rPr>
        <sz val="11"/>
        <color rgb="FF000000"/>
        <rFont val="Calibri"/>
      </rPr>
      <t xml:space="preserve">
</t>
    </r>
    <r>
      <rPr>
        <sz val="11"/>
        <color rgb="FF000000"/>
        <rFont val="Calibri"/>
      </rPr>
      <t>OR</t>
    </r>
    <r>
      <rPr>
        <sz val="11"/>
        <color rgb="FF000000"/>
        <rFont val="Calibri"/>
      </rPr>
      <t xml:space="preserve">
</t>
    </r>
    <r>
      <rPr>
        <sz val="11"/>
        <color rgb="FF000000"/>
        <rFont val="Calibri"/>
      </rPr>
      <t># echo '-w /usr/bin/passwd -p x -k passwd' &gt;&gt; /etc/audit/audit.rules</t>
    </r>
    <r>
      <rPr>
        <sz val="11"/>
        <color rgb="FF000000"/>
        <rFont val="Calibri"/>
      </rPr>
      <t xml:space="preserve">
</t>
    </r>
    <r>
      <rPr>
        <sz val="11"/>
        <color rgb="FF000000"/>
        <rFont val="Calibri"/>
      </rPr>
      <t xml:space="preserve">Restart the auditd service. </t>
    </r>
    <r>
      <rPr>
        <sz val="11"/>
        <color rgb="FF000000"/>
        <rFont val="Calibri"/>
      </rPr>
      <t xml:space="preserve">
</t>
    </r>
    <r>
      <rPr>
        <sz val="11"/>
        <color rgb="FF000000"/>
        <rFont val="Calibri"/>
      </rPr>
      <t># service auditd restart</t>
    </r>
  </si>
  <si>
    <r>
      <rPr>
        <sz val="11"/>
        <color rgb="FF000000"/>
        <rFont val="Calibri"/>
      </rPr>
      <t>When SLES for vRealize accounts are disabled, user accessibility is affected. Accounts are utilized for identifying individual users or for identifying the SLES for vRealize processes themselves. In order to detect and respond to events affecting user accessibility and system processing, SLES for vRealize must audit account disabling actions and, as required, notify the appropriate individuals so they can investigate the event. Such a capability greatly reduces the risk that SLES for vRealize accessibility will be negatively affected for extended periods of time and provides logging that can be used for forensic purposes.</t>
    </r>
    <r>
      <rPr>
        <sz val="11"/>
        <color rgb="FF000000"/>
        <rFont val="Calibri"/>
      </rPr>
      <t xml:space="preserve">
</t>
    </r>
    <r>
      <rPr>
        <sz val="11"/>
        <color rgb="FF000000"/>
        <rFont val="Calibri"/>
      </rPr>
      <t>To address access requirements, many SLES for vRealize systems can be integrated with enterprise-level authentication/access/auditing mechanisms that meet or exceed access control policy requirements.</t>
    </r>
  </si>
  <si>
    <r>
      <rPr>
        <sz val="11"/>
        <color rgb="FF000000"/>
        <rFont val="Calibri"/>
      </rPr>
      <t xml:space="preserve">Determine if execution of the "passwd" executable is audited: </t>
    </r>
    <r>
      <rPr>
        <sz val="11"/>
        <color rgb="FF000000"/>
        <rFont val="Calibri"/>
      </rPr>
      <t xml:space="preserve">
</t>
    </r>
    <r>
      <rPr>
        <sz val="11"/>
        <color rgb="FF000000"/>
        <rFont val="Calibri"/>
      </rPr>
      <t xml:space="preserve"># auditctl -l | grep watch=/usr/bin/passwd </t>
    </r>
    <r>
      <rPr>
        <sz val="11"/>
        <color rgb="FF000000"/>
        <rFont val="Calibri"/>
      </rPr>
      <t xml:space="preserve">
</t>
    </r>
    <r>
      <rPr>
        <sz val="11"/>
        <color rgb="FF000000"/>
        <rFont val="Calibri"/>
      </rPr>
      <t>If "/usr/bin/passwd" is not listed with a permissions filter of at least "x", this is a finding.</t>
    </r>
  </si>
  <si>
    <t>V-88627</t>
  </si>
  <si>
    <r>
      <rPr>
        <sz val="11"/>
        <rFont val="Calibri"/>
      </rPr>
      <t>The SLES for vRealize must audit all account removal actions.</t>
    </r>
  </si>
  <si>
    <r>
      <rPr>
        <sz val="11"/>
        <color rgb="FF000000"/>
        <rFont val="Calibri"/>
      </rPr>
      <t>Configure execute auditing of the "userdel" and "groupdel" executables. Add the following to the "/etc/audit/audit.rules" file:</t>
    </r>
    <r>
      <rPr>
        <sz val="11"/>
        <color rgb="FF000000"/>
        <rFont val="Calibri"/>
      </rPr>
      <t xml:space="preserve">
</t>
    </r>
    <r>
      <rPr>
        <sz val="11"/>
        <color rgb="FF000000"/>
        <rFont val="Calibri"/>
      </rPr>
      <t>-w /usr/sbin/userdel -p x -k userdel</t>
    </r>
    <r>
      <rPr>
        <sz val="11"/>
        <color rgb="FF000000"/>
        <rFont val="Calibri"/>
      </rPr>
      <t xml:space="preserve">
</t>
    </r>
    <r>
      <rPr>
        <sz val="11"/>
        <color rgb="FF000000"/>
        <rFont val="Calibri"/>
      </rPr>
      <t>-w /usr/sbin/groupdel -p x -k groupdel</t>
    </r>
  </si>
  <si>
    <r>
      <rPr>
        <sz val="11"/>
        <color rgb="FF000000"/>
        <rFont val="Calibri"/>
      </rPr>
      <t>When SLES for vRealize accounts are removed, user accessibility is affected. Accounts are utilized for identifying individual users or for identifying the SLES for vRealize  processes themselves. In order to detect and respond to events affecting user accessibility and system processing, operating systems must audit account removal actions and, as required, notify the appropriate individuals so they can investigate the event. Such a capability greatly reduces the risk that SLES for vRealize accessibility will be negatively affected for extended periods of time and provides logging that can be used for forensic purposes.</t>
    </r>
    <r>
      <rPr>
        <sz val="11"/>
        <color rgb="FF000000"/>
        <rFont val="Calibri"/>
      </rPr>
      <t xml:space="preserve">
</t>
    </r>
    <r>
      <rPr>
        <sz val="11"/>
        <color rgb="FF000000"/>
        <rFont val="Calibri"/>
      </rPr>
      <t>To address access requirements, many SLES for vRealize systems can be integrated with enterprise-level authentication/access/auditing mechanisms that meet or exceed access control policy requirements.</t>
    </r>
  </si>
  <si>
    <r>
      <rPr>
        <sz val="11"/>
        <color rgb="FF000000"/>
        <rFont val="Calibri"/>
      </rPr>
      <t>Determine if execution of the "userdel" and "groupdel" executable are audited:</t>
    </r>
    <r>
      <rPr>
        <sz val="11"/>
        <color rgb="FF000000"/>
        <rFont val="Calibri"/>
      </rPr>
      <t xml:space="preserve">
</t>
    </r>
    <r>
      <rPr>
        <sz val="11"/>
        <color rgb="FF000000"/>
        <rFont val="Calibri"/>
      </rPr>
      <t># auditctl -l | egrep '(userdel|groupdel)'</t>
    </r>
    <r>
      <rPr>
        <sz val="11"/>
        <color rgb="FF000000"/>
        <rFont val="Calibri"/>
      </rPr>
      <t xml:space="preserve">
</t>
    </r>
    <r>
      <rPr>
        <sz val="11"/>
        <color rgb="FF000000"/>
        <rFont val="Calibri"/>
      </rPr>
      <t>If either "userdel" or "groupdel" are not listed with a permissions filter of at least "x", this is a finding.</t>
    </r>
  </si>
  <si>
    <t>V-88629</t>
  </si>
  <si>
    <r>
      <rPr>
        <sz val="11"/>
        <rFont val="Calibri"/>
      </rPr>
      <t>The SLES for vRealize must implement cryptography to protect the integrity of remote access sessions.</t>
    </r>
  </si>
  <si>
    <r>
      <rPr>
        <sz val="11"/>
        <color rgb="FF000000"/>
        <rFont val="Calibri"/>
      </rPr>
      <t>Without cryptographic integrity protections, information can be altered by unauthorized users without detection.</t>
    </r>
    <r>
      <rPr>
        <sz val="11"/>
        <color rgb="FF000000"/>
        <rFont val="Calibri"/>
      </rPr>
      <t xml:space="preserve">
</t>
    </r>
    <r>
      <rPr>
        <sz val="11"/>
        <color rgb="FF000000"/>
        <rFont val="Calibri"/>
      </rPr>
      <t>Remote access (e.g., RDP)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Cryptographic mechanisms used for protecting the integrity of information include, for example, signed hash functions using asymmetric cryptography enabling distribution of the public key to verify the hash information while maintaining the confidentiality of the secret key used to generate the hash.</t>
    </r>
  </si>
  <si>
    <r>
      <rPr>
        <sz val="11"/>
        <color rgb="FF000000"/>
        <rFont val="Calibri"/>
      </rPr>
      <t>Check the SSH daemon configuration for DoD-approved encryption to protect the confidentiality of SSH remote connections by performing the following commands:</t>
    </r>
    <r>
      <rPr>
        <sz val="11"/>
        <color rgb="FF000000"/>
        <rFont val="Calibri"/>
      </rPr>
      <t xml:space="preserve">
</t>
    </r>
    <r>
      <rPr>
        <sz val="11"/>
        <color rgb="FF000000"/>
        <rFont val="Calibri"/>
      </rPr>
      <t>Check the Cipher setting in the "sshd_config" file.</t>
    </r>
    <r>
      <rPr>
        <sz val="11"/>
        <color rgb="FF000000"/>
        <rFont val="Calibri"/>
      </rPr>
      <t xml:space="preserve">
</t>
    </r>
    <r>
      <rPr>
        <sz val="11"/>
        <color rgb="FF000000"/>
        <rFont val="Calibri"/>
      </rPr>
      <t xml:space="preserve"># grep -i Ciphers /etc/ssh/sshd_config  | grep -v '#' </t>
    </r>
    <r>
      <rPr>
        <sz val="11"/>
        <color rgb="FF000000"/>
        <rFont val="Calibri"/>
      </rPr>
      <t xml:space="preserve">
</t>
    </r>
    <r>
      <rPr>
        <sz val="11"/>
        <color rgb="FF000000"/>
        <rFont val="Calibri"/>
      </rPr>
      <t>The output must contain either none or any number of the following algorithms:</t>
    </r>
    <r>
      <rPr>
        <sz val="11"/>
        <color rgb="FF000000"/>
        <rFont val="Calibri"/>
      </rPr>
      <t xml:space="preserve">
</t>
    </r>
    <r>
      <rPr>
        <sz val="11"/>
        <color rgb="FF000000"/>
        <rFont val="Calibri"/>
      </rPr>
      <t>aes128-ctr, aes256-ctr.</t>
    </r>
    <r>
      <rPr>
        <sz val="11"/>
        <color rgb="FF000000"/>
        <rFont val="Calibri"/>
      </rPr>
      <t xml:space="preserve">
</t>
    </r>
    <r>
      <rPr>
        <sz val="11"/>
        <color rgb="FF000000"/>
        <rFont val="Calibri"/>
      </rPr>
      <t>If the output contains an algorithm not listed above, this is a finding.</t>
    </r>
    <r>
      <rPr>
        <sz val="11"/>
        <color rgb="FF000000"/>
        <rFont val="Calibri"/>
      </rPr>
      <t xml:space="preserve">
</t>
    </r>
    <r>
      <rPr>
        <sz val="11"/>
        <color rgb="FF000000"/>
        <rFont val="Calibri"/>
      </rPr>
      <t>Expected Output:</t>
    </r>
    <r>
      <rPr>
        <sz val="11"/>
        <color rgb="FF000000"/>
        <rFont val="Calibri"/>
      </rPr>
      <t xml:space="preserve">
</t>
    </r>
    <r>
      <rPr>
        <sz val="11"/>
        <color rgb="FF000000"/>
        <rFont val="Calibri"/>
      </rPr>
      <t>Ciphers aes256-ctr,aes128-ctr</t>
    </r>
  </si>
  <si>
    <t>V-88631</t>
  </si>
  <si>
    <r>
      <rPr>
        <sz val="11"/>
        <rFont val="Calibri"/>
      </rPr>
      <t>The SLES for vRealize must initiate session audits at system start-up.</t>
    </r>
  </si>
  <si>
    <r>
      <rPr>
        <sz val="11"/>
        <color rgb="FF000000"/>
        <rFont val="Calibri"/>
      </rPr>
      <t>Edit the grub bootloader file "/boot/grub/menu.lst" by appending the "audit=1" parameter to the kernel boot line.</t>
    </r>
    <r>
      <rPr>
        <sz val="11"/>
        <color rgb="FF000000"/>
        <rFont val="Calibri"/>
      </rPr>
      <t xml:space="preserve">
</t>
    </r>
    <r>
      <rPr>
        <sz val="11"/>
        <color rgb="FF000000"/>
        <rFont val="Calibri"/>
      </rPr>
      <t>Reboot the system for the change to take effect.</t>
    </r>
  </si>
  <si>
    <r>
      <rPr>
        <sz val="11"/>
        <color rgb="FF000000"/>
        <rFont val="Calibri"/>
      </rPr>
      <t>If auditing is enabled late in the start-up process, the actions of some start-up processes may not be audited. Some audit systems also maintain state information only available if auditing is enabled before a given process is created.</t>
    </r>
  </si>
  <si>
    <r>
      <rPr>
        <sz val="11"/>
        <color rgb="FF000000"/>
        <rFont val="Calibri"/>
      </rPr>
      <t>Check for the "audit=1" kernel parameter.</t>
    </r>
    <r>
      <rPr>
        <sz val="11"/>
        <color rgb="FF000000"/>
        <rFont val="Calibri"/>
      </rPr>
      <t xml:space="preserve">
</t>
    </r>
    <r>
      <rPr>
        <sz val="11"/>
        <color rgb="FF000000"/>
        <rFont val="Calibri"/>
      </rPr>
      <t># grep "audit=1" /proc/cmdline</t>
    </r>
    <r>
      <rPr>
        <sz val="11"/>
        <color rgb="FF000000"/>
        <rFont val="Calibri"/>
      </rPr>
      <t xml:space="preserve">
</t>
    </r>
    <r>
      <rPr>
        <sz val="11"/>
        <color rgb="FF000000"/>
        <rFont val="Calibri"/>
      </rPr>
      <t>If no results are returned, this is a finding.</t>
    </r>
  </si>
  <si>
    <t>V-88633</t>
  </si>
  <si>
    <r>
      <rPr>
        <sz val="11"/>
        <rFont val="Calibri"/>
      </rPr>
      <t>The SLES for vRealize must produce audit records containing information to establish the identity of any individual or process associated with the event.</t>
    </r>
  </si>
  <si>
    <r>
      <rPr>
        <sz val="11"/>
        <color rgb="FF000000"/>
        <rFont val="Calibri"/>
      </rPr>
      <t>Without information that establishes the identity of the subjects (i.e., users or processes acting on behalf of users) associated with the events, security personnel cannot determine responsibility for the potentially harmful event.</t>
    </r>
  </si>
  <si>
    <r>
      <rPr>
        <sz val="11"/>
        <color rgb="FF000000"/>
        <rFont val="Calibri"/>
      </rPr>
      <t>Verify SLES for vRealize produces audit records by running the following command to determine the current status of the "auditd" service:</t>
    </r>
    <r>
      <rPr>
        <sz val="11"/>
        <color rgb="FF000000"/>
        <rFont val="Calibri"/>
      </rPr>
      <t xml:space="preserve">
</t>
    </r>
    <r>
      <rPr>
        <sz val="11"/>
        <color rgb="FF000000"/>
        <rFont val="Calibri"/>
      </rPr>
      <t># service auditd status</t>
    </r>
    <r>
      <rPr>
        <sz val="11"/>
        <color rgb="FF000000"/>
        <rFont val="Calibri"/>
      </rPr>
      <t xml:space="preserve">
</t>
    </r>
    <r>
      <rPr>
        <sz val="11"/>
        <color rgb="FF000000"/>
        <rFont val="Calibri"/>
      </rPr>
      <t>If the service is enabled, the returned message must contain the following text:</t>
    </r>
    <r>
      <rPr>
        <sz val="11"/>
        <color rgb="FF000000"/>
        <rFont val="Calibri"/>
      </rPr>
      <t xml:space="preserve">
</t>
    </r>
    <r>
      <rPr>
        <sz val="11"/>
        <color rgb="FF000000"/>
        <rFont val="Calibri"/>
      </rPr>
      <t>Checking for service auditd                running</t>
    </r>
    <r>
      <rPr>
        <sz val="11"/>
        <color rgb="FF000000"/>
        <rFont val="Calibri"/>
      </rPr>
      <t xml:space="preserve">
</t>
    </r>
    <r>
      <rPr>
        <sz val="11"/>
        <color rgb="FF000000"/>
        <rFont val="Calibri"/>
      </rPr>
      <t>If the service is not running, this is a finding.</t>
    </r>
  </si>
  <si>
    <t>V-88635</t>
  </si>
  <si>
    <r>
      <rPr>
        <sz val="11"/>
        <rFont val="Calibri"/>
      </rPr>
      <t>The SLES for vRealize must protect audit tools from unauthorized access.</t>
    </r>
  </si>
  <si>
    <r>
      <rPr>
        <sz val="11"/>
        <color rgb="FF000000"/>
        <rFont val="Calibri"/>
      </rPr>
      <t>For each file that has permissions that are more permissive than those expected by the RPM database, alter the permission of the file with the following command:</t>
    </r>
    <r>
      <rPr>
        <sz val="11"/>
        <color rgb="FF000000"/>
        <rFont val="Calibri"/>
      </rPr>
      <t xml:space="preserve">
</t>
    </r>
    <r>
      <rPr>
        <sz val="11"/>
        <color rgb="FF000000"/>
        <rFont val="Calibri"/>
      </rPr>
      <t># chmod &lt;permission&gt; &lt;filename&gt;</t>
    </r>
  </si>
  <si>
    <r>
      <rPr>
        <sz val="11"/>
        <color rgb="FF000000"/>
        <rFont val="Calibri"/>
      </rPr>
      <t>Protecting audit information also includes identifying and protecting the tools used to view and manipulate log data. Therefore, protecting audit tools is necessary to prevent unauthorized operation on audit information.</t>
    </r>
    <r>
      <rPr>
        <sz val="11"/>
        <color rgb="FF000000"/>
        <rFont val="Calibri"/>
      </rPr>
      <t xml:space="preserve">
</t>
    </r>
    <r>
      <rPr>
        <sz val="11"/>
        <color rgb="FF000000"/>
        <rFont val="Calibri"/>
      </rPr>
      <t>SLES for vRealize systems providing tools to interface with audit information will leverage user permissions and roles identifying the user accessing the tools and the corresponding rights the user enjoys in order to make access decisions regarding the access to audit tools.</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</si>
  <si>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r>
      <rPr>
        <sz val="11"/>
        <color rgb="FF000000"/>
        <rFont val="Calibri"/>
      </rPr>
      <t xml:space="preserve">The following command will list which audit files on the system have permissions different from what is expected by the RPM database: </t>
    </r>
    <r>
      <rPr>
        <sz val="11"/>
        <color rgb="FF000000"/>
        <rFont val="Calibri"/>
      </rPr>
      <t xml:space="preserve">
</t>
    </r>
    <r>
      <rPr>
        <sz val="11"/>
        <color rgb="FF000000"/>
        <rFont val="Calibri"/>
      </rPr>
      <t># rpm -V audit | grep '^.M'</t>
    </r>
    <r>
      <rPr>
        <sz val="11"/>
        <color rgb="FF000000"/>
        <rFont val="Calibri"/>
      </rPr>
      <t xml:space="preserve">
</t>
    </r>
    <r>
      <rPr>
        <sz val="11"/>
        <color rgb="FF000000"/>
        <rFont val="Calibri"/>
      </rPr>
      <t>If there is any output, for each file or directory found, compare the RPM-expected permissions with the permissions on the file or directory:</t>
    </r>
    <r>
      <rPr>
        <sz val="11"/>
        <color rgb="FF000000"/>
        <rFont val="Calibri"/>
      </rPr>
      <t xml:space="preserve">
</t>
    </r>
    <r>
      <rPr>
        <sz val="11"/>
        <color rgb="FF000000"/>
        <rFont val="Calibri"/>
      </rPr>
      <t># rpm -q --queryformat "[%{FILENAMES} %{FILEMODES:perms}\n]" audit | grep [filename]</t>
    </r>
    <r>
      <rPr>
        <sz val="11"/>
        <color rgb="FF000000"/>
        <rFont val="Calibri"/>
      </rPr>
      <t xml:space="preserve">
</t>
    </r>
    <r>
      <rPr>
        <sz val="11"/>
        <color rgb="FF000000"/>
        <rFont val="Calibri"/>
      </rPr>
      <t># ls -lL [filename]</t>
    </r>
    <r>
      <rPr>
        <sz val="11"/>
        <color rgb="FF000000"/>
        <rFont val="Calibri"/>
      </rPr>
      <t xml:space="preserve">
</t>
    </r>
    <r>
      <rPr>
        <sz val="11"/>
        <color rgb="FF000000"/>
        <rFont val="Calibri"/>
      </rPr>
      <t>If the existing permissions are more permissive than those expected by the RPM database, this is a finding.</t>
    </r>
  </si>
  <si>
    <t>V-88637</t>
  </si>
  <si>
    <r>
      <rPr>
        <sz val="11"/>
        <rFont val="Calibri"/>
      </rPr>
      <t>The SLES for vRealize must protect audit tools from unauthorized modification.</t>
    </r>
  </si>
  <si>
    <r>
      <rPr>
        <sz val="11"/>
        <color rgb="FF000000"/>
        <rFont val="Calibri"/>
      </rPr>
      <t>For each file that has the incorrect group modification, alter the group ownership of the file with the following command:</t>
    </r>
    <r>
      <rPr>
        <sz val="11"/>
        <color rgb="FF000000"/>
        <rFont val="Calibri"/>
      </rPr>
      <t xml:space="preserve">
</t>
    </r>
    <r>
      <rPr>
        <sz val="11"/>
        <color rgb="FF000000"/>
        <rFont val="Calibri"/>
      </rPr>
      <t># chgrp &lt;group&gt; &lt;filename&gt;</t>
    </r>
  </si>
  <si>
    <r>
      <rPr>
        <sz val="11"/>
        <color rgb="FF000000"/>
        <rFont val="Calibri"/>
      </rPr>
      <t>Protecting audit information also includes identifying and protecting the tools used to view and manipulate log data. Therefore, protecting audit tools is necessary to prevent unauthorized operation on audit information.</t>
    </r>
    <r>
      <rPr>
        <sz val="11"/>
        <color rgb="FF000000"/>
        <rFont val="Calibri"/>
      </rPr>
      <t xml:space="preserve">
</t>
    </r>
    <r>
      <rPr>
        <sz val="11"/>
        <color rgb="FF000000"/>
        <rFont val="Calibri"/>
      </rPr>
      <t>SLES for vRealize systems providing tools to interface with audit information will leverage user permissions and roles identifying the user accessing the tools and the corresponding rights the user has in order to make access decisions regarding the modification of audit tools.</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</si>
  <si>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r>
      <rPr>
        <sz val="11"/>
        <color rgb="FF000000"/>
        <rFont val="Calibri"/>
      </rPr>
      <t>The following command will list which audit files on the system where the group ownership has been modified:</t>
    </r>
    <r>
      <rPr>
        <sz val="11"/>
        <color rgb="FF000000"/>
        <rFont val="Calibri"/>
      </rPr>
      <t xml:space="preserve">
</t>
    </r>
    <r>
      <rPr>
        <sz val="11"/>
        <color rgb="FF000000"/>
        <rFont val="Calibri"/>
      </rPr>
      <t># rpm -V audit | grep '^......G'</t>
    </r>
    <r>
      <rPr>
        <sz val="11"/>
        <color rgb="FF000000"/>
        <rFont val="Calibri"/>
      </rPr>
      <t xml:space="preserve">
</t>
    </r>
    <r>
      <rPr>
        <sz val="11"/>
        <color rgb="FF000000"/>
        <rFont val="Calibri"/>
      </rPr>
      <t>If there is output, this is a finding.</t>
    </r>
  </si>
  <si>
    <t>V-88639</t>
  </si>
  <si>
    <r>
      <rPr>
        <sz val="11"/>
        <rFont val="Calibri"/>
      </rPr>
      <t>The SLES for vRealize must protect audit tools from unauthorized deletion.</t>
    </r>
  </si>
  <si>
    <r>
      <rPr>
        <sz val="11"/>
        <color rgb="FF000000"/>
        <rFont val="Calibri"/>
      </rPr>
      <t>For each file that has the incorrect owner modification, alter the ownership of the file with the following command:</t>
    </r>
    <r>
      <rPr>
        <sz val="11"/>
        <color rgb="FF000000"/>
        <rFont val="Calibri"/>
      </rPr>
      <t xml:space="preserve">
</t>
    </r>
    <r>
      <rPr>
        <sz val="11"/>
        <color rgb="FF000000"/>
        <rFont val="Calibri"/>
      </rPr>
      <t># chown &lt;owner&gt; &lt;filename&gt;</t>
    </r>
  </si>
  <si>
    <r>
      <rPr>
        <sz val="11"/>
        <color rgb="FF000000"/>
        <rFont val="Calibri"/>
      </rPr>
      <t>Protecting audit information also includes identifying and protecting the tools used to view and manipulate log data. Therefore, protecting audit tools is necessary to prevent unauthorized operation on audit information.</t>
    </r>
    <r>
      <rPr>
        <sz val="11"/>
        <color rgb="FF000000"/>
        <rFont val="Calibri"/>
      </rPr>
      <t xml:space="preserve">
</t>
    </r>
    <r>
      <rPr>
        <sz val="11"/>
        <color rgb="FF000000"/>
        <rFont val="Calibri"/>
      </rPr>
      <t>SLES for vRealize systems providing tools to interface with audit information will leverage user permissions and roles identifying the user accessing the tools and the corresponding rights the user has in order to make access decisions regarding the deletion of audit tools.</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</si>
  <si>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r>
      <rPr>
        <sz val="11"/>
        <color rgb="FF000000"/>
        <rFont val="Calibri"/>
      </rPr>
      <t>The following command will list which audit files on the system where the ownership has been modified:</t>
    </r>
    <r>
      <rPr>
        <sz val="11"/>
        <color rgb="FF000000"/>
        <rFont val="Calibri"/>
      </rPr>
      <t xml:space="preserve">
</t>
    </r>
    <r>
      <rPr>
        <sz val="11"/>
        <color rgb="FF000000"/>
        <rFont val="Calibri"/>
      </rPr>
      <t># rpm -V audit | grep '^.....U'</t>
    </r>
    <r>
      <rPr>
        <sz val="11"/>
        <color rgb="FF000000"/>
        <rFont val="Calibri"/>
      </rPr>
      <t xml:space="preserve">
</t>
    </r>
    <r>
      <rPr>
        <sz val="11"/>
        <color rgb="FF000000"/>
        <rFont val="Calibri"/>
      </rPr>
      <t>If there is output, this is a finding.</t>
    </r>
  </si>
  <si>
    <t>V-88641</t>
  </si>
  <si>
    <r>
      <rPr>
        <sz val="11"/>
        <rFont val="Calibri"/>
      </rPr>
      <t>The SLES for vRealize must enforce password complexity by requiring that at least one special character be used.</t>
    </r>
  </si>
  <si>
    <r>
      <rPr>
        <sz val="11"/>
        <color rgb="FF000000"/>
        <rFont val="Calibri"/>
      </rPr>
      <t>Configure SLES for vRealize to enforce password complexity by requiring that at least one special character be used by running the following command:</t>
    </r>
    <r>
      <rPr>
        <sz val="11"/>
        <color rgb="FF000000"/>
        <rFont val="Calibri"/>
      </rPr>
      <t xml:space="preserve">
</t>
    </r>
    <r>
      <rPr>
        <sz val="11"/>
        <color rgb="FF000000"/>
        <rFont val="Calibri"/>
      </rPr>
      <t>If "ocredit" was not set at all in "/etc/pam.d/common-password-vmware.local" file then run the following command:</t>
    </r>
    <r>
      <rPr>
        <sz val="11"/>
        <color rgb="FF000000"/>
        <rFont val="Calibri"/>
      </rPr>
      <t xml:space="preserve">
</t>
    </r>
    <r>
      <rPr>
        <sz val="11"/>
        <color rgb="FF000000"/>
        <rFont val="Calibri"/>
      </rPr>
      <t># sed -i '/pam_cracklib.so/ s/$/ ocredit=-1/' /etc/pam.d/common-password-vmware.local</t>
    </r>
    <r>
      <rPr>
        <sz val="11"/>
        <color rgb="FF000000"/>
        <rFont val="Calibri"/>
      </rPr>
      <t xml:space="preserve">
</t>
    </r>
    <r>
      <rPr>
        <sz val="11"/>
        <color rgb="FF000000"/>
        <rFont val="Calibri"/>
      </rPr>
      <t>If "ocredit" was set incorrectly, run the following command:</t>
    </r>
    <r>
      <rPr>
        <sz val="11"/>
        <color rgb="FF000000"/>
        <rFont val="Calibri"/>
      </rPr>
      <t xml:space="preserve">
</t>
    </r>
    <r>
      <rPr>
        <sz val="11"/>
        <color rgb="FF000000"/>
        <rFont val="Calibri"/>
      </rPr>
      <t># sed -i '/pam_cracklib.so/ s/ocredit=../ocredit=-1/' /etc/pam.d/common-password-vmware.local</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</si>
  <si>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in determining how long it takes to crack a password. The more complex the password, the greater the number of possible combinations that need to be tested before the password is compromised.</t>
    </r>
    <r>
      <rPr>
        <sz val="11"/>
        <color rgb="FF000000"/>
        <rFont val="Calibri"/>
      </rPr>
      <t xml:space="preserve">
</t>
    </r>
    <r>
      <rPr>
        <sz val="11"/>
        <color rgb="FF000000"/>
        <rFont val="Calibri"/>
      </rPr>
      <t>Special characters are those characters that are not alphanumeric. Examples include: ~ ! @ # $ % ^ *.</t>
    </r>
  </si>
  <si>
    <r>
      <rPr>
        <sz val="11"/>
        <color rgb="FF000000"/>
        <rFont val="Calibri"/>
      </rPr>
      <t>Verify SLES for vRealize enforces password complexity by requiring that at least one special character be used by using the following command:</t>
    </r>
    <r>
      <rPr>
        <sz val="11"/>
        <color rgb="FF000000"/>
        <rFont val="Calibri"/>
      </rPr>
      <t xml:space="preserve">
</t>
    </r>
    <r>
      <rPr>
        <sz val="11"/>
        <color rgb="FF000000"/>
        <rFont val="Calibri"/>
      </rPr>
      <t>Check the password "ocredit" option:</t>
    </r>
    <r>
      <rPr>
        <sz val="11"/>
        <color rgb="FF000000"/>
        <rFont val="Calibri"/>
      </rPr>
      <t xml:space="preserve">
</t>
    </r>
    <r>
      <rPr>
        <sz val="11"/>
        <color rgb="FF000000"/>
        <rFont val="Calibri"/>
      </rPr>
      <t># grep pam_cracklib.so /etc/pam.d/common-password</t>
    </r>
    <r>
      <rPr>
        <sz val="11"/>
        <color rgb="FF000000"/>
        <rFont val="Calibri"/>
      </rPr>
      <t xml:space="preserve">
</t>
    </r>
    <r>
      <rPr>
        <sz val="11"/>
        <color rgb="FF000000"/>
        <rFont val="Calibri"/>
      </rPr>
      <t xml:space="preserve">Confirm the "ocredit" option is set to "-1" as in the example: </t>
    </r>
    <r>
      <rPr>
        <sz val="11"/>
        <color rgb="FF000000"/>
        <rFont val="Calibri"/>
      </rPr>
      <t xml:space="preserve">
</t>
    </r>
    <r>
      <rPr>
        <sz val="11"/>
        <color rgb="FF000000"/>
        <rFont val="Calibri"/>
      </rPr>
      <t>password requisite pam_cracklib.so ocredit=-1</t>
    </r>
    <r>
      <rPr>
        <sz val="11"/>
        <color rgb="FF000000"/>
        <rFont val="Calibri"/>
      </rPr>
      <t xml:space="preserve">
</t>
    </r>
    <r>
      <rPr>
        <sz val="11"/>
        <color rgb="FF000000"/>
        <rFont val="Calibri"/>
      </rPr>
      <t xml:space="preserve">There may be other options on the line. </t>
    </r>
    <r>
      <rPr>
        <sz val="11"/>
        <color rgb="FF000000"/>
        <rFont val="Calibri"/>
      </rPr>
      <t xml:space="preserve">
</t>
    </r>
    <r>
      <rPr>
        <sz val="11"/>
        <color rgb="FF000000"/>
        <rFont val="Calibri"/>
      </rPr>
      <t>If no such line is found, or the "ocredit" is not "-1", this is a finding.</t>
    </r>
  </si>
  <si>
    <t>V-88643</t>
  </si>
  <si>
    <r>
      <rPr>
        <sz val="11"/>
        <rFont val="Calibri"/>
      </rPr>
      <t>The SLES for vRealize must notify System Administrators and Information Systems Security Officer when accounts are created.</t>
    </r>
  </si>
  <si>
    <r>
      <rPr>
        <sz val="11"/>
        <color rgb="FF000000"/>
        <rFont val="Calibri"/>
      </rPr>
      <t>Edit the syslog configuration file and add an appropriate remote syslog server:</t>
    </r>
    <r>
      <rPr>
        <sz val="11"/>
        <color rgb="FF000000"/>
        <rFont val="Calibri"/>
      </rPr>
      <t xml:space="preserve">
</t>
    </r>
    <r>
      <rPr>
        <sz val="11"/>
        <color rgb="FF000000"/>
        <rFont val="Calibri"/>
      </rPr>
      <t>In the "/etc/syslog-ng/syslog-ng.conf" file, the remote logging entries must be uncommented and the IP address must be modified to point to the remote syslog server: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Enable this and adopt IP to send log messages to a log server.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#destination logserver { udp("10.10.10.10" port(514)); };</t>
    </r>
    <r>
      <rPr>
        <sz val="11"/>
        <color rgb="FF000000"/>
        <rFont val="Calibri"/>
      </rPr>
      <t xml:space="preserve">
</t>
    </r>
    <r>
      <rPr>
        <sz val="11"/>
        <color rgb="FF000000"/>
        <rFont val="Calibri"/>
      </rPr>
      <t>#log { source(src); destination(logserver); };</t>
    </r>
  </si>
  <si>
    <r>
      <rPr>
        <sz val="11"/>
        <color rgb="FF000000"/>
        <rFont val="Calibri"/>
      </rPr>
      <t>Once an attacker establishes initial access to a system, the attacker often attempts to create a persistent method of reestablishing access. One way to accomplish this is for the attacker to simply create a new account. Notification of account creation is one method for mitigating this risk. A comprehensive account management process will ensure an audit trail, which documents the creation of SLES for vRealize user accounts and notifies System Administrators and Information System Security Officers (ISSO) that it exists. Such a process greatly reduces the risk that accounts will be surreptitiously created and provides logging that can be used for forensic purposes.</t>
    </r>
    <r>
      <rPr>
        <sz val="11"/>
        <color rgb="FF000000"/>
        <rFont val="Calibri"/>
      </rPr>
      <t xml:space="preserve">
</t>
    </r>
    <r>
      <rPr>
        <sz val="11"/>
        <color rgb="FF000000"/>
        <rFont val="Calibri"/>
      </rPr>
      <t>To address access requirements, many SLES for vRealize systems can be integrated with enterprise-level authentication/access/auditing mechanisms that meet or exceed access control policy requirements.</t>
    </r>
  </si>
  <si>
    <r>
      <rPr>
        <sz val="11"/>
        <color rgb="FF000000"/>
        <rFont val="Calibri"/>
      </rPr>
      <t>Check the syslog configuration file for remote syslog servers:</t>
    </r>
    <r>
      <rPr>
        <sz val="11"/>
        <color rgb="FF000000"/>
        <rFont val="Calibri"/>
      </rPr>
      <t xml:space="preserve">
</t>
    </r>
    <r>
      <rPr>
        <sz val="11"/>
        <color rgb="FF000000"/>
        <rFont val="Calibri"/>
      </rPr>
      <t># cat /etc/syslog-ng/syslog-ng.conf | grep logserver</t>
    </r>
    <r>
      <rPr>
        <sz val="11"/>
        <color rgb="FF000000"/>
        <rFont val="Calibri"/>
      </rPr>
      <t xml:space="preserve">
</t>
    </r>
    <r>
      <rPr>
        <sz val="11"/>
        <color rgb="FF000000"/>
        <rFont val="Calibri"/>
      </rPr>
      <t>If no line is returned, or the "logserver" is commented out, this is a finding.</t>
    </r>
  </si>
  <si>
    <t>V-88645</t>
  </si>
  <si>
    <r>
      <rPr>
        <sz val="11"/>
        <rFont val="Calibri"/>
      </rPr>
      <t>The SLES for vRealize must notify System Administrators and Information System Security Officers when accounts are modified.</t>
    </r>
  </si>
  <si>
    <r>
      <rPr>
        <sz val="11"/>
        <color rgb="FF000000"/>
        <rFont val="Calibri"/>
      </rPr>
      <t>Once an attacker establishes initial access to a system, the attacker often attempts to create a persistent method of reestablishing access. One way to accomplish this is for the attacker to simply modify an existing account. Notification of account modification is one method for mitigating this risk. A comprehensive account management process will ensure an audit trail, which documents the creation of SLES for vRealize user accounts and notifies System Administrators and Information System Security Officers (ISSO) that it exists. Such a process greatly reduces the risk that accounts will be surreptitiously created and provides logging that can be used for forensic purposes.</t>
    </r>
    <r>
      <rPr>
        <sz val="11"/>
        <color rgb="FF000000"/>
        <rFont val="Calibri"/>
      </rPr>
      <t xml:space="preserve">
</t>
    </r>
    <r>
      <rPr>
        <sz val="11"/>
        <color rgb="FF000000"/>
        <rFont val="Calibri"/>
      </rPr>
      <t>To address access requirements, many SLES for vRealize systems can be integrated with enterprise-level authentication/access/auditing mechanisms that meet or exceed access control policy requirements.</t>
    </r>
  </si>
  <si>
    <t>V-88647</t>
  </si>
  <si>
    <r>
      <rPr>
        <sz val="11"/>
        <rFont val="Calibri"/>
      </rPr>
      <t>The SLES for vRealize must notify System Administrators and Information System Security Officers when accounts are disabled.</t>
    </r>
  </si>
  <si>
    <r>
      <rPr>
        <sz val="11"/>
        <color rgb="FF000000"/>
        <rFont val="Calibri"/>
      </rPr>
      <t>When SLES for vRealize accounts are disabled, user accessibility is affected. Accounts are utilized for identifying individual SLES for vRealize users or for identifying the SLES for vRealize processes themselves.</t>
    </r>
    <r>
      <rPr>
        <sz val="11"/>
        <color rgb="FF000000"/>
        <rFont val="Calibri"/>
      </rPr>
      <t xml:space="preserve">
</t>
    </r>
    <r>
      <rPr>
        <sz val="11"/>
        <color rgb="FF000000"/>
        <rFont val="Calibri"/>
      </rPr>
      <t>In order to detect and respond to events that affect user accessibility and system processing, operating systems must audit account disabling actions and, as required, notify System Administrators and Information System Security Officers (ISSO) so they can investigate the event. Such a capability greatly reduces the risk that operating system accessibility will be negatively affected for extended periods of time and also provides logging that can be used for forensic purposes.</t>
    </r>
    <r>
      <rPr>
        <sz val="11"/>
        <color rgb="FF000000"/>
        <rFont val="Calibri"/>
      </rPr>
      <t xml:space="preserve">
</t>
    </r>
    <r>
      <rPr>
        <sz val="11"/>
        <color rgb="FF000000"/>
        <rFont val="Calibri"/>
      </rPr>
      <t>To address access requirements, many SLES for vRealize systems can be integrated with enterprise-level authentication/access/auditing mechanisms that meet or exceed access control policy requirements.</t>
    </r>
  </si>
  <si>
    <t>V-88649</t>
  </si>
  <si>
    <r>
      <rPr>
        <sz val="11"/>
        <rFont val="Calibri"/>
      </rPr>
      <t>The SLES for vRealize must notify System Administrators and Information System Security Officers when accounts are removed.</t>
    </r>
  </si>
  <si>
    <r>
      <rPr>
        <sz val="11"/>
        <color rgb="FF000000"/>
        <rFont val="Calibri"/>
      </rPr>
      <t>When SLES for vRealize accounts are removed, user accessibility is affected. Accounts are utilized for identifying individual SLES for vRealize users or for identifying the SLES for vRealize processes themselves.</t>
    </r>
    <r>
      <rPr>
        <sz val="11"/>
        <color rgb="FF000000"/>
        <rFont val="Calibri"/>
      </rPr>
      <t xml:space="preserve">
</t>
    </r>
    <r>
      <rPr>
        <sz val="11"/>
        <color rgb="FF000000"/>
        <rFont val="Calibri"/>
      </rPr>
      <t>In order to detect and respond to events that affect user accessibility and system processing, SLES for vRealize must audit account removal actions and, as required, notify System Administrators and Information System Security Officers (ISSO) so they can investigate the event. Such a capability greatly reduces the risk that operating system accessibility will be negatively affected for extended periods of time and also provides logging that can be used for forensic purposes.</t>
    </r>
    <r>
      <rPr>
        <sz val="11"/>
        <color rgb="FF000000"/>
        <rFont val="Calibri"/>
      </rPr>
      <t xml:space="preserve">
</t>
    </r>
    <r>
      <rPr>
        <sz val="11"/>
        <color rgb="FF000000"/>
        <rFont val="Calibri"/>
      </rPr>
      <t>To address access requirements, many operating systems can be integrated with enterprise-level authentication/access/auditing mechanisms that meet or exceed access control policy requirements.</t>
    </r>
  </si>
  <si>
    <t>V-88651</t>
  </si>
  <si>
    <r>
      <rPr>
        <sz val="11"/>
        <rFont val="Calibri"/>
      </rPr>
      <t>The SLES for vRealize must use cryptographic mechanisms to protect the integrity of audit tools.</t>
    </r>
  </si>
  <si>
    <r>
      <rPr>
        <sz val="11"/>
        <color rgb="FF000000"/>
        <rFont val="Calibri"/>
      </rPr>
      <t xml:space="preserve">The RPM package management system can check the hashes of audit system package files. Run the following command to list which audit files on the system have hashes that differ from what is expected by the RPM database: </t>
    </r>
    <r>
      <rPr>
        <sz val="11"/>
        <color rgb="FF000000"/>
        <rFont val="Calibri"/>
      </rPr>
      <t xml:space="preserve">
</t>
    </r>
    <r>
      <rPr>
        <sz val="11"/>
        <color rgb="FF000000"/>
        <rFont val="Calibri"/>
      </rPr>
      <t># rpm -V audit | grep '^..5'</t>
    </r>
    <r>
      <rPr>
        <sz val="11"/>
        <color rgb="FF000000"/>
        <rFont val="Calibri"/>
      </rPr>
      <t xml:space="preserve">
</t>
    </r>
    <r>
      <rPr>
        <sz val="11"/>
        <color rgb="FF000000"/>
        <rFont val="Calibri"/>
      </rPr>
      <t xml:space="preserve">A "c" in the second column indicates that a file is a configuration file, which may appropriately be expected to change. If the file that has changed was not expected to, refresh from distribution media or online repositories. </t>
    </r>
    <r>
      <rPr>
        <sz val="11"/>
        <color rgb="FF000000"/>
        <rFont val="Calibri"/>
      </rPr>
      <t xml:space="preserve">
</t>
    </r>
    <r>
      <rPr>
        <sz val="11"/>
        <color rgb="FF000000"/>
        <rFont val="Calibri"/>
      </rPr>
      <t>rpm -Uvh [affected_package]</t>
    </r>
  </si>
  <si>
    <r>
      <rPr>
        <sz val="11"/>
        <color rgb="FF000000"/>
        <rFont val="Calibri"/>
      </rPr>
      <t>Protecting the integrity of the tools used for auditing purposes is a critical step toward ensuring the integrity of audit information. Audit information includes all information (e.g., audit records, audit settings, and audit reports) needed to successfully audit information system activity.</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r>
      <rPr>
        <sz val="11"/>
        <color rgb="FF000000"/>
        <rFont val="Calibri"/>
      </rPr>
      <t xml:space="preserve">
</t>
    </r>
    <r>
      <rPr>
        <sz val="11"/>
        <color rgb="FF000000"/>
        <rFont val="Calibri"/>
      </rPr>
      <t>It is not uncommon for attackers to replace the audit tools or inject code into the existing tools with the purpose of providing the capability to hide or erase system activity from the audit logs.</t>
    </r>
    <r>
      <rPr>
        <sz val="11"/>
        <color rgb="FF000000"/>
        <rFont val="Calibri"/>
      </rPr>
      <t xml:space="preserve">
</t>
    </r>
    <r>
      <rPr>
        <sz val="11"/>
        <color rgb="FF000000"/>
        <rFont val="Calibri"/>
      </rPr>
      <t>To address this risk, audit tools must be cryptographically signed in order to provide the capability to identify when the audit tools have been modified, manipulated, or replaced. An example is a checksum hash of the file or files.</t>
    </r>
  </si>
  <si>
    <r>
      <rPr>
        <sz val="11"/>
        <color rgb="FF000000"/>
        <rFont val="Calibri"/>
      </rPr>
      <t>The following command will list which audit files on the system have file hashes different from what is expected by the RPM database:</t>
    </r>
    <r>
      <rPr>
        <sz val="11"/>
        <color rgb="FF000000"/>
        <rFont val="Calibri"/>
      </rPr>
      <t xml:space="preserve">
</t>
    </r>
    <r>
      <rPr>
        <sz val="11"/>
        <color rgb="FF000000"/>
        <rFont val="Calibri"/>
      </rPr>
      <t># rpm -V audit | grep '$1 ~ /..5/ &amp;&amp; $2 != "c"'</t>
    </r>
    <r>
      <rPr>
        <sz val="11"/>
        <color rgb="FF000000"/>
        <rFont val="Calibri"/>
      </rPr>
      <t xml:space="preserve">
</t>
    </r>
    <r>
      <rPr>
        <sz val="11"/>
        <color rgb="FF000000"/>
        <rFont val="Calibri"/>
      </rPr>
      <t>If there is output, this is a finding.</t>
    </r>
  </si>
  <si>
    <t>V-88653</t>
  </si>
  <si>
    <r>
      <rPr>
        <sz val="11"/>
        <rFont val="Calibri"/>
      </rPr>
      <t>The SLES for vRealize must automatically terminate a user session after inactivity time-outs have expired or at shutdown.</t>
    </r>
  </si>
  <si>
    <r>
      <rPr>
        <sz val="11"/>
        <color rgb="FF000000"/>
        <rFont val="Calibri"/>
      </rPr>
      <t>Automatic session termination addresses the termination of user-initiated logical sessions in contrast to the termination of network connections that are associated with communications sessions (i.e., network disconnect). A logical session (for local, network, and remote access) is initiated whenever a user (or process acting on behalf of a user) accesses an organizational information system. Such user sessions can be terminated (and thus terminate user access) without terminating network sessions.</t>
    </r>
    <r>
      <rPr>
        <sz val="11"/>
        <color rgb="FF000000"/>
        <rFont val="Calibri"/>
      </rPr>
      <t xml:space="preserve">
</t>
    </r>
    <r>
      <rPr>
        <sz val="11"/>
        <color rgb="FF000000"/>
        <rFont val="Calibri"/>
      </rPr>
      <t>Session termination terminates all processes associated with a user's logical session except those processes that are specifically created by the user (i.e., session owner) to continue after the session is terminated.</t>
    </r>
    <r>
      <rPr>
        <sz val="11"/>
        <color rgb="FF000000"/>
        <rFont val="Calibri"/>
      </rPr>
      <t xml:space="preserve">
</t>
    </r>
    <r>
      <rPr>
        <sz val="11"/>
        <color rgb="FF000000"/>
        <rFont val="Calibri"/>
      </rPr>
      <t>Conditions or trigger events requiring automatic session termination can include, for example, organization-defined periods of user inactivity, targeted responses to certain types of incidents, and time-of-day restrictions on information system use.</t>
    </r>
    <r>
      <rPr>
        <sz val="11"/>
        <color rgb="FF000000"/>
        <rFont val="Calibri"/>
      </rPr>
      <t xml:space="preserve">
</t>
    </r>
    <r>
      <rPr>
        <sz val="11"/>
        <color rgb="FF000000"/>
        <rFont val="Calibri"/>
      </rPr>
      <t>This capability is typically reserved for specific operating system functionality where the system owner, data owner, or organization requires additional assurance.</t>
    </r>
  </si>
  <si>
    <t>V-88655</t>
  </si>
  <si>
    <r>
      <rPr>
        <sz val="11"/>
        <rFont val="Calibri"/>
      </rPr>
      <t>The SLES for vRealize must control remote access methods.</t>
    </r>
  </si>
  <si>
    <r>
      <rPr>
        <sz val="11"/>
        <color rgb="FF000000"/>
        <rFont val="Calibri"/>
      </rPr>
      <t>Edit the SSH daemon configuration with the following command:</t>
    </r>
    <r>
      <rPr>
        <sz val="11"/>
        <color rgb="FF000000"/>
        <rFont val="Calibri"/>
      </rPr>
      <t xml:space="preserve">
</t>
    </r>
    <r>
      <rPr>
        <sz val="11"/>
        <color rgb="FF000000"/>
        <rFont val="Calibri"/>
      </rPr>
      <t># sed -i "/^[^#]ListenAddress/ c\ListenAddress = 0.0.0.0" /etc/ssh/sshd_config</t>
    </r>
    <r>
      <rPr>
        <sz val="11"/>
        <color rgb="FF000000"/>
        <rFont val="Calibri"/>
      </rPr>
      <t xml:space="preserve">
</t>
    </r>
    <r>
      <rPr>
        <sz val="11"/>
        <color rgb="FF000000"/>
        <rFont val="Calibri"/>
      </rPr>
      <t>Replace "0.0.0.0" with the listening network addresses designated for management traffic.</t>
    </r>
  </si>
  <si>
    <r>
      <rPr>
        <sz val="11"/>
        <color rgb="FF000000"/>
        <rFont val="Calibri"/>
      </rPr>
      <t>Remote access services, such as those providing remote access to network devices and information systems, which lack automated control capabilities, increase risk and make remote user access management difficult at best.</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SLES for vRealize functionality (e.g., RDP) must be capable of taking enforcement action if the audit reveals unauthorized activity. Automated control of remote access sessions allows organizations to ensure ongoing compliance with remote access policies by enforcing connection rules of remote access applications on a variety of information system components (e.g., servers, workstations, notebook computers, smartphones, and tablets).</t>
    </r>
  </si>
  <si>
    <r>
      <rPr>
        <sz val="11"/>
        <color rgb="FF000000"/>
        <rFont val="Calibri"/>
      </rPr>
      <t>Check the SSH daemon configuration for listening network addresses:</t>
    </r>
    <r>
      <rPr>
        <sz val="11"/>
        <color rgb="FF000000"/>
        <rFont val="Calibri"/>
      </rPr>
      <t xml:space="preserve">
</t>
    </r>
    <r>
      <rPr>
        <sz val="11"/>
        <color rgb="FF000000"/>
        <rFont val="Calibri"/>
      </rPr>
      <t># grep -i Listen /etc/ssh/sshd_config | grep -v '^#'</t>
    </r>
    <r>
      <rPr>
        <sz val="11"/>
        <color rgb="FF000000"/>
        <rFont val="Calibri"/>
      </rPr>
      <t xml:space="preserve">
</t>
    </r>
    <r>
      <rPr>
        <sz val="11"/>
        <color rgb="FF000000"/>
        <rFont val="Calibri"/>
      </rPr>
      <t>If no configuration is returned, or if a returned "Listen" configuration contains addresses not designated for management traffic, this is a finding.</t>
    </r>
  </si>
  <si>
    <t>V-88657</t>
  </si>
  <si>
    <r>
      <rPr>
        <sz val="11"/>
        <rFont val="Calibri"/>
      </rPr>
      <t>The SLES for vRealize must audit all account enabling actions.</t>
    </r>
  </si>
  <si>
    <r>
      <rPr>
        <sz val="11"/>
        <color rgb="FF000000"/>
        <rFont val="Calibri"/>
      </rPr>
      <t>Configure execute auditing of the "usermod" and "groupmod" executables. Add the following to the "/etc/audit/audit.rules" file:</t>
    </r>
    <r>
      <rPr>
        <sz val="11"/>
        <color rgb="FF000000"/>
        <rFont val="Calibri"/>
      </rPr>
      <t xml:space="preserve">
</t>
    </r>
    <r>
      <rPr>
        <sz val="11"/>
        <color rgb="FF000000"/>
        <rFont val="Calibri"/>
      </rPr>
      <t>-w /usr/sbin/usermod -p x -k usermod</t>
    </r>
    <r>
      <rPr>
        <sz val="11"/>
        <color rgb="FF000000"/>
        <rFont val="Calibri"/>
      </rPr>
      <t xml:space="preserve">
</t>
    </r>
    <r>
      <rPr>
        <sz val="11"/>
        <color rgb="FF000000"/>
        <rFont val="Calibri"/>
      </rPr>
      <t>-w /usr/sbin/groupmod -p x -k groupmod</t>
    </r>
    <r>
      <rPr>
        <sz val="11"/>
        <color rgb="FF000000"/>
        <rFont val="Calibri"/>
      </rPr>
      <t xml:space="preserve">
</t>
    </r>
    <r>
      <rPr>
        <sz val="11"/>
        <color rgb="FF000000"/>
        <rFont val="Calibri"/>
      </rPr>
      <t>Configure execute auditing of the "userdel" and "groupdel" executables. Add the following to the "/etc/audit/audit.rules" file:</t>
    </r>
    <r>
      <rPr>
        <sz val="11"/>
        <color rgb="FF000000"/>
        <rFont val="Calibri"/>
      </rPr>
      <t xml:space="preserve">
</t>
    </r>
    <r>
      <rPr>
        <sz val="11"/>
        <color rgb="FF000000"/>
        <rFont val="Calibri"/>
      </rPr>
      <t>-w /usr/sbin/userdel -p x -k userdel</t>
    </r>
    <r>
      <rPr>
        <sz val="11"/>
        <color rgb="FF000000"/>
        <rFont val="Calibri"/>
      </rPr>
      <t xml:space="preserve">
</t>
    </r>
    <r>
      <rPr>
        <sz val="11"/>
        <color rgb="FF000000"/>
        <rFont val="Calibri"/>
      </rPr>
      <t>-w /usr/sbin/groupdel -p x -k groupdel</t>
    </r>
    <r>
      <rPr>
        <sz val="11"/>
        <color rgb="FF000000"/>
        <rFont val="Calibri"/>
      </rPr>
      <t xml:space="preserve">
</t>
    </r>
    <r>
      <rPr>
        <sz val="11"/>
        <color rgb="FF000000"/>
        <rFont val="Calibri"/>
      </rPr>
      <t>Configure execute auditing of the "useradd" and "groupadd" executables. Add the following to audit.rules:</t>
    </r>
    <r>
      <rPr>
        <sz val="11"/>
        <color rgb="FF000000"/>
        <rFont val="Calibri"/>
      </rPr>
      <t xml:space="preserve">
</t>
    </r>
    <r>
      <rPr>
        <sz val="11"/>
        <color rgb="FF000000"/>
        <rFont val="Calibri"/>
      </rPr>
      <t>-w /usr/sbin/useradd -p x -k useradd</t>
    </r>
    <r>
      <rPr>
        <sz val="11"/>
        <color rgb="FF000000"/>
        <rFont val="Calibri"/>
      </rPr>
      <t xml:space="preserve">
</t>
    </r>
    <r>
      <rPr>
        <sz val="11"/>
        <color rgb="FF000000"/>
        <rFont val="Calibri"/>
      </rPr>
      <t>-w /usr/sbin/groupadd -p x -k groupadd</t>
    </r>
    <r>
      <rPr>
        <sz val="11"/>
        <color rgb="FF000000"/>
        <rFont val="Calibri"/>
      </rPr>
      <t xml:space="preserve">
</t>
    </r>
    <r>
      <rPr>
        <sz val="11"/>
        <color rgb="FF000000"/>
        <rFont val="Calibri"/>
      </rPr>
      <t>Configure execute auditing of the "passwd" executable. Add the following to the aud.rules:</t>
    </r>
    <r>
      <rPr>
        <sz val="11"/>
        <color rgb="FF000000"/>
        <rFont val="Calibri"/>
      </rPr>
      <t xml:space="preserve">
</t>
    </r>
    <r>
      <rPr>
        <sz val="11"/>
        <color rgb="FF000000"/>
        <rFont val="Calibri"/>
      </rPr>
      <t>-w /usr/bin/passwd -p x -k passwd</t>
    </r>
    <r>
      <rPr>
        <sz val="11"/>
        <color rgb="FF000000"/>
        <rFont val="Calibri"/>
      </rPr>
      <t xml:space="preserve">
</t>
    </r>
    <r>
      <rPr>
        <sz val="11"/>
        <color rgb="FF000000"/>
        <rFont val="Calibri"/>
      </rPr>
      <t>Configure write auditing of the "passwd", "shadow", "group", and "opasswd" files. Add the following to the "/etc/audit/audit.rules" file:</t>
    </r>
    <r>
      <rPr>
        <sz val="11"/>
        <color rgb="FF000000"/>
        <rFont val="Calibri"/>
      </rPr>
      <t xml:space="preserve">
</t>
    </r>
    <r>
      <rPr>
        <sz val="11"/>
        <color rgb="FF000000"/>
        <rFont val="Calibri"/>
      </rPr>
      <t>-w /etc/passwd -p wa -k passwd</t>
    </r>
    <r>
      <rPr>
        <sz val="11"/>
        <color rgb="FF000000"/>
        <rFont val="Calibri"/>
      </rPr>
      <t xml:space="preserve">
</t>
    </r>
    <r>
      <rPr>
        <sz val="11"/>
        <color rgb="FF000000"/>
        <rFont val="Calibri"/>
      </rPr>
      <t>-w /etc/shadow -p wa -k shadow</t>
    </r>
    <r>
      <rPr>
        <sz val="11"/>
        <color rgb="FF000000"/>
        <rFont val="Calibri"/>
      </rPr>
      <t xml:space="preserve">
</t>
    </r>
    <r>
      <rPr>
        <sz val="11"/>
        <color rgb="FF000000"/>
        <rFont val="Calibri"/>
      </rPr>
      <t>-w /etc/group -p wa -k group</t>
    </r>
    <r>
      <rPr>
        <sz val="11"/>
        <color rgb="FF000000"/>
        <rFont val="Calibri"/>
      </rPr>
      <t xml:space="preserve">
</t>
    </r>
    <r>
      <rPr>
        <sz val="11"/>
        <color rgb="FF000000"/>
        <rFont val="Calibri"/>
      </rPr>
      <t>-w /etc/security/opasswd -p wa -k opasswd</t>
    </r>
    <r>
      <rPr>
        <sz val="11"/>
        <color rgb="FF000000"/>
        <rFont val="Calibri"/>
      </rPr>
      <t xml:space="preserve">
</t>
    </r>
    <r>
      <rPr>
        <sz val="11"/>
        <color rgb="FF000000"/>
        <rFont val="Calibri"/>
      </rPr>
      <t>Restart the auditd service:</t>
    </r>
    <r>
      <rPr>
        <sz val="11"/>
        <color rgb="FF000000"/>
        <rFont val="Calibri"/>
      </rPr>
      <t xml:space="preserve">
</t>
    </r>
    <r>
      <rPr>
        <sz val="11"/>
        <color rgb="FF000000"/>
        <rFont val="Calibri"/>
      </rPr>
      <t># service auditd restart</t>
    </r>
  </si>
  <si>
    <r>
      <rPr>
        <sz val="11"/>
        <color rgb="FF000000"/>
        <rFont val="Calibri"/>
      </rPr>
      <t>Once an attacker establishes initial access to a system, the attacker often attempts to create a persistent method of reestablishing access. One way to accomplish this is for the attacker to simply enable a new or disabled account. Notification of account enabling is one method for mitigating this risk. A comprehensive account management process will ensure an audit trail, which documents the creation of SLES for vRealize user accounts and notifies System Administrators and Information System Security Officers (ISSO) that it exists. Such a process greatly reduces the risk that accounts will be surreptitiously created and provides logging that can be used for forensic purposes.</t>
    </r>
    <r>
      <rPr>
        <sz val="11"/>
        <color rgb="FF000000"/>
        <rFont val="Calibri"/>
      </rPr>
      <t xml:space="preserve">
</t>
    </r>
    <r>
      <rPr>
        <sz val="11"/>
        <color rgb="FF000000"/>
        <rFont val="Calibri"/>
      </rPr>
      <t>To address access requirements, many SLES for vRealize systems can be integrated with enterprise-level authentication/access/auditing mechanisms that meet or exceed access control policy requirements.</t>
    </r>
  </si>
  <si>
    <r>
      <rPr>
        <sz val="11"/>
        <color rgb="FF000000"/>
        <rFont val="Calibri"/>
      </rPr>
      <t>Determine if execution of the usermod and groupmod executable are audited:</t>
    </r>
    <r>
      <rPr>
        <sz val="11"/>
        <color rgb="FF000000"/>
        <rFont val="Calibri"/>
      </rPr>
      <t xml:space="preserve">
</t>
    </r>
    <r>
      <rPr>
        <sz val="11"/>
        <color rgb="FF000000"/>
        <rFont val="Calibri"/>
      </rPr>
      <t># auditctl -l | egrep '(usermod|groupmod)'</t>
    </r>
    <r>
      <rPr>
        <sz val="11"/>
        <color rgb="FF000000"/>
        <rFont val="Calibri"/>
      </rPr>
      <t xml:space="preserve">
</t>
    </r>
    <r>
      <rPr>
        <sz val="11"/>
        <color rgb="FF000000"/>
        <rFont val="Calibri"/>
      </rPr>
      <t>If either "useradd" or "groupadd" are not listed with a permissions filter of at least "x", this is a finding.</t>
    </r>
    <r>
      <rPr>
        <sz val="11"/>
        <color rgb="FF000000"/>
        <rFont val="Calibri"/>
      </rPr>
      <t xml:space="preserve">
</t>
    </r>
    <r>
      <rPr>
        <sz val="11"/>
        <color rgb="FF000000"/>
        <rFont val="Calibri"/>
      </rPr>
      <t>Determine if execution of the "userdel" and "groupdel" executable are audited:</t>
    </r>
    <r>
      <rPr>
        <sz val="11"/>
        <color rgb="FF000000"/>
        <rFont val="Calibri"/>
      </rPr>
      <t xml:space="preserve">
</t>
    </r>
    <r>
      <rPr>
        <sz val="11"/>
        <color rgb="FF000000"/>
        <rFont val="Calibri"/>
      </rPr>
      <t># auditctl -l | egrep '(userdel|groupdel)'</t>
    </r>
    <r>
      <rPr>
        <sz val="11"/>
        <color rgb="FF000000"/>
        <rFont val="Calibri"/>
      </rPr>
      <t xml:space="preserve">
</t>
    </r>
    <r>
      <rPr>
        <sz val="11"/>
        <color rgb="FF000000"/>
        <rFont val="Calibri"/>
      </rPr>
      <t>If either "userdel" or "groupdel" are not listed with a permissions filter of at least "x", this is a finding.</t>
    </r>
    <r>
      <rPr>
        <sz val="11"/>
        <color rgb="FF000000"/>
        <rFont val="Calibri"/>
      </rPr>
      <t xml:space="preserve">
</t>
    </r>
    <r>
      <rPr>
        <sz val="11"/>
        <color rgb="FF000000"/>
        <rFont val="Calibri"/>
      </rPr>
      <t>Determine if execution of "useradd" and "groupadd" are audited:</t>
    </r>
    <r>
      <rPr>
        <sz val="11"/>
        <color rgb="FF000000"/>
        <rFont val="Calibri"/>
      </rPr>
      <t xml:space="preserve">
</t>
    </r>
    <r>
      <rPr>
        <sz val="11"/>
        <color rgb="FF000000"/>
        <rFont val="Calibri"/>
      </rPr>
      <t># auditctl -l | egrep '(useradd|groupadd)'</t>
    </r>
    <r>
      <rPr>
        <sz val="11"/>
        <color rgb="FF000000"/>
        <rFont val="Calibri"/>
      </rPr>
      <t xml:space="preserve">
</t>
    </r>
    <r>
      <rPr>
        <sz val="11"/>
        <color rgb="FF000000"/>
        <rFont val="Calibri"/>
      </rPr>
      <t>If either "useradd" or "groupadd" are not listed with a permissions filter of at least "x", this is a finding.</t>
    </r>
    <r>
      <rPr>
        <sz val="11"/>
        <color rgb="FF000000"/>
        <rFont val="Calibri"/>
      </rPr>
      <t xml:space="preserve">
</t>
    </r>
    <r>
      <rPr>
        <sz val="11"/>
        <color rgb="FF000000"/>
        <rFont val="Calibri"/>
      </rPr>
      <t xml:space="preserve">Determine if execution of the passwd executable is audited: </t>
    </r>
    <r>
      <rPr>
        <sz val="11"/>
        <color rgb="FF000000"/>
        <rFont val="Calibri"/>
      </rPr>
      <t xml:space="preserve">
</t>
    </r>
    <r>
      <rPr>
        <sz val="11"/>
        <color rgb="FF000000"/>
        <rFont val="Calibri"/>
      </rPr>
      <t xml:space="preserve"># auditctl -l | grep "/usr/bin/passwd" </t>
    </r>
    <r>
      <rPr>
        <sz val="11"/>
        <color rgb="FF000000"/>
        <rFont val="Calibri"/>
      </rPr>
      <t xml:space="preserve">
</t>
    </r>
    <r>
      <rPr>
        <sz val="11"/>
        <color rgb="FF000000"/>
        <rFont val="Calibri"/>
      </rPr>
      <t xml:space="preserve">If "/usr/bin/passwd" is not listed with a permissions filter of at least "x", this is a finding. </t>
    </r>
    <r>
      <rPr>
        <sz val="11"/>
        <color rgb="FF000000"/>
        <rFont val="Calibri"/>
      </rPr>
      <t xml:space="preserve">
</t>
    </r>
    <r>
      <rPr>
        <sz val="11"/>
        <color rgb="FF000000"/>
        <rFont val="Calibri"/>
      </rPr>
      <t>Determine if "/etc/passwd", "/etc/shadow", "etc/group", and "etc/security/opasswd" are audited for writing:</t>
    </r>
    <r>
      <rPr>
        <sz val="11"/>
        <color rgb="FF000000"/>
        <rFont val="Calibri"/>
      </rPr>
      <t xml:space="preserve">
</t>
    </r>
    <r>
      <rPr>
        <sz val="11"/>
        <color rgb="FF000000"/>
        <rFont val="Calibri"/>
      </rPr>
      <t># auditctl -l | egrep '(/etc/passwd|/etc/shadow|/etc/group|/etc/security/opasswd)'</t>
    </r>
    <r>
      <rPr>
        <sz val="11"/>
        <color rgb="FF000000"/>
        <rFont val="Calibri"/>
      </rPr>
      <t xml:space="preserve">
</t>
    </r>
    <r>
      <rPr>
        <sz val="11"/>
        <color rgb="FF000000"/>
        <rFont val="Calibri"/>
      </rPr>
      <t>If any of these are not listed with a permissions filter of at least "w", this is a finding.</t>
    </r>
  </si>
  <si>
    <t>V-88659</t>
  </si>
  <si>
    <r>
      <rPr>
        <sz val="11"/>
        <rFont val="Calibri"/>
      </rPr>
      <t>The SLES for vRealize must notify System Administrators and Information System Security Officers when accounts are created, or enabled when previously disabled.</t>
    </r>
  </si>
  <si>
    <r>
      <rPr>
        <sz val="11"/>
        <color rgb="FF000000"/>
        <rFont val="Calibri"/>
      </rPr>
      <t xml:space="preserve">Once an attacker establishes initial access to a system, the attacker often attempts to create a persistent method of reestablishing access. One way to accomplish this is for the attacker to simply enable a new or disabled account. Notification of account enabling is one method for mitigating this risk. A comprehensive account management process will ensure an audit trail, which documents the creation of SLES for vRealize user accounts and notifies System Administrators and Information System Security Officers (ISSO) that it exists. Such a process greatly reduces the risk that accounts will be surreptitiously enabled and provides logging that can be used for forensic purposes. </t>
    </r>
    <r>
      <rPr>
        <sz val="11"/>
        <color rgb="FF000000"/>
        <rFont val="Calibri"/>
      </rPr>
      <t xml:space="preserve">
</t>
    </r>
    <r>
      <rPr>
        <sz val="11"/>
        <color rgb="FF000000"/>
        <rFont val="Calibri"/>
      </rPr>
      <t xml:space="preserve">In order to detect and respond to events that affect user accessibility and application processing, SLES for vRealize systems must audit account enabling actions and, as required, notify the appropriate individuals so they can investigate the event. </t>
    </r>
    <r>
      <rPr>
        <sz val="11"/>
        <color rgb="FF000000"/>
        <rFont val="Calibri"/>
      </rPr>
      <t xml:space="preserve">
</t>
    </r>
    <r>
      <rPr>
        <sz val="11"/>
        <color rgb="FF000000"/>
        <rFont val="Calibri"/>
      </rPr>
      <t>To address access requirements, many operating systems can be integrated with enterprise-level authentication/access/auditing mechanisms that meet or exceed access control policy requirements.</t>
    </r>
  </si>
  <si>
    <r>
      <rPr>
        <sz val="11"/>
        <color rgb="FF000000"/>
        <rFont val="Calibri"/>
      </rPr>
      <t>Determine if execution of the "usermod" and "groupmod" executable are audited:</t>
    </r>
    <r>
      <rPr>
        <sz val="11"/>
        <color rgb="FF000000"/>
        <rFont val="Calibri"/>
      </rPr>
      <t xml:space="preserve">
</t>
    </r>
    <r>
      <rPr>
        <sz val="11"/>
        <color rgb="FF000000"/>
        <rFont val="Calibri"/>
      </rPr>
      <t># auditctl -l | egrep '(usermod|groupmod)'</t>
    </r>
    <r>
      <rPr>
        <sz val="11"/>
        <color rgb="FF000000"/>
        <rFont val="Calibri"/>
      </rPr>
      <t xml:space="preserve">
</t>
    </r>
    <r>
      <rPr>
        <sz val="11"/>
        <color rgb="FF000000"/>
        <rFont val="Calibri"/>
      </rPr>
      <t>If either "useradd" or "groupadd" are not listed with a permissions filter of at least "x", this is a finding.</t>
    </r>
    <r>
      <rPr>
        <sz val="11"/>
        <color rgb="FF000000"/>
        <rFont val="Calibri"/>
      </rPr>
      <t xml:space="preserve">
</t>
    </r>
    <r>
      <rPr>
        <sz val="11"/>
        <color rgb="FF000000"/>
        <rFont val="Calibri"/>
      </rPr>
      <t>Determine if execution of the "userdel" and "groupdel" executable are audited:</t>
    </r>
    <r>
      <rPr>
        <sz val="11"/>
        <color rgb="FF000000"/>
        <rFont val="Calibri"/>
      </rPr>
      <t xml:space="preserve">
</t>
    </r>
    <r>
      <rPr>
        <sz val="11"/>
        <color rgb="FF000000"/>
        <rFont val="Calibri"/>
      </rPr>
      <t># auditctl -l | egrep '(userdel|groupdel)'</t>
    </r>
    <r>
      <rPr>
        <sz val="11"/>
        <color rgb="FF000000"/>
        <rFont val="Calibri"/>
      </rPr>
      <t xml:space="preserve">
</t>
    </r>
    <r>
      <rPr>
        <sz val="11"/>
        <color rgb="FF000000"/>
        <rFont val="Calibri"/>
      </rPr>
      <t>If either "userdel" or "groupdel" are not listed with a permissions filter of at least "x", this is a finding.</t>
    </r>
    <r>
      <rPr>
        <sz val="11"/>
        <color rgb="FF000000"/>
        <rFont val="Calibri"/>
      </rPr>
      <t xml:space="preserve">
</t>
    </r>
    <r>
      <rPr>
        <sz val="11"/>
        <color rgb="FF000000"/>
        <rFont val="Calibri"/>
      </rPr>
      <t>Determine if execution of "useradd" and "groupadd" are audited:</t>
    </r>
    <r>
      <rPr>
        <sz val="11"/>
        <color rgb="FF000000"/>
        <rFont val="Calibri"/>
      </rPr>
      <t xml:space="preserve">
</t>
    </r>
    <r>
      <rPr>
        <sz val="11"/>
        <color rgb="FF000000"/>
        <rFont val="Calibri"/>
      </rPr>
      <t># auditctl -l | egrep '(useradd|groupadd)'</t>
    </r>
    <r>
      <rPr>
        <sz val="11"/>
        <color rgb="FF000000"/>
        <rFont val="Calibri"/>
      </rPr>
      <t xml:space="preserve">
</t>
    </r>
    <r>
      <rPr>
        <sz val="11"/>
        <color rgb="FF000000"/>
        <rFont val="Calibri"/>
      </rPr>
      <t>If either "useradd" or "groupadd" are not listed with a permissions filter of at least "x", this is a finding.</t>
    </r>
    <r>
      <rPr>
        <sz val="11"/>
        <color rgb="FF000000"/>
        <rFont val="Calibri"/>
      </rPr>
      <t xml:space="preserve">
</t>
    </r>
    <r>
      <rPr>
        <sz val="11"/>
        <color rgb="FF000000"/>
        <rFont val="Calibri"/>
      </rPr>
      <t xml:space="preserve">Determine if execution of the "passwd" executable is audited: </t>
    </r>
    <r>
      <rPr>
        <sz val="11"/>
        <color rgb="FF000000"/>
        <rFont val="Calibri"/>
      </rPr>
      <t xml:space="preserve">
</t>
    </r>
    <r>
      <rPr>
        <sz val="11"/>
        <color rgb="FF000000"/>
        <rFont val="Calibri"/>
      </rPr>
      <t xml:space="preserve"># auditctl -l | grep "/usr/bin/passwd" </t>
    </r>
    <r>
      <rPr>
        <sz val="11"/>
        <color rgb="FF000000"/>
        <rFont val="Calibri"/>
      </rPr>
      <t xml:space="preserve">
</t>
    </r>
    <r>
      <rPr>
        <sz val="11"/>
        <color rgb="FF000000"/>
        <rFont val="Calibri"/>
      </rPr>
      <t xml:space="preserve">If "/usr/bin/passwd" is not listed with a permissions filter of at least "x", this is a finding. </t>
    </r>
    <r>
      <rPr>
        <sz val="11"/>
        <color rgb="FF000000"/>
        <rFont val="Calibri"/>
      </rPr>
      <t xml:space="preserve">
</t>
    </r>
    <r>
      <rPr>
        <sz val="11"/>
        <color rgb="FF000000"/>
        <rFont val="Calibri"/>
      </rPr>
      <t>Determine if "/etc/passwd", "/etc/shadow", "/etc/group", and "/etc/security/opasswd" are audited for writing:</t>
    </r>
    <r>
      <rPr>
        <sz val="11"/>
        <color rgb="FF000000"/>
        <rFont val="Calibri"/>
      </rPr>
      <t xml:space="preserve">
</t>
    </r>
    <r>
      <rPr>
        <sz val="11"/>
        <color rgb="FF000000"/>
        <rFont val="Calibri"/>
      </rPr>
      <t># auditctl -l | egrep '(/etc/passwd|/etc/shadow|/etc/group|/etc/security/opasswd)'</t>
    </r>
    <r>
      <rPr>
        <sz val="11"/>
        <color rgb="FF000000"/>
        <rFont val="Calibri"/>
      </rPr>
      <t xml:space="preserve">
</t>
    </r>
    <r>
      <rPr>
        <sz val="11"/>
        <color rgb="FF000000"/>
        <rFont val="Calibri"/>
      </rPr>
      <t>If any of these are not listed with a permissions filter of at least "w", this is a finding.</t>
    </r>
  </si>
  <si>
    <t>V-88661</t>
  </si>
  <si>
    <r>
      <rPr>
        <sz val="11"/>
        <rFont val="Calibri"/>
      </rPr>
      <t>The SLES for vRealize must audit the execution of privileged functions.</t>
    </r>
  </si>
  <si>
    <r>
      <rPr>
        <sz val="11"/>
        <color rgb="FF000000"/>
        <rFont val="Calibri"/>
      </rPr>
      <t xml:space="preserve">At a minimum, the audit system should collect the execution of privileged commands for all users and root. To find the relevant setuid programs: </t>
    </r>
    <r>
      <rPr>
        <sz val="11"/>
        <color rgb="FF000000"/>
        <rFont val="Calibri"/>
      </rPr>
      <t xml:space="preserve">
</t>
    </r>
    <r>
      <rPr>
        <sz val="11"/>
        <color rgb="FF000000"/>
        <rFont val="Calibri"/>
      </rPr>
      <t># find / -xdev -type f -perm -4000 -o -perm -2000 2&gt;/dev/null</t>
    </r>
    <r>
      <rPr>
        <sz val="11"/>
        <color rgb="FF000000"/>
        <rFont val="Calibri"/>
      </rPr>
      <t xml:space="preserve">
</t>
    </r>
    <r>
      <rPr>
        <sz val="11"/>
        <color rgb="FF000000"/>
        <rFont val="Calibri"/>
      </rPr>
      <t xml:space="preserve">Then, for each setuid program on the system, add a line of the following form to "/etc/audit/audit.rules", where [SETUID_PROG_PATH] is the full path to each setuid program in the list: </t>
    </r>
    <r>
      <rPr>
        <sz val="11"/>
        <color rgb="FF000000"/>
        <rFont val="Calibri"/>
      </rPr>
      <t xml:space="preserve">
</t>
    </r>
    <r>
      <rPr>
        <sz val="11"/>
        <color rgb="FF000000"/>
        <rFont val="Calibri"/>
      </rPr>
      <t>-a always,exit -F path=[SETUID_PROG_PATH] -F perm=x -F auid&gt;=500 -k privileged</t>
    </r>
    <r>
      <rPr>
        <sz val="11"/>
        <color rgb="FF000000"/>
        <rFont val="Calibri"/>
      </rPr>
      <t xml:space="preserve">
</t>
    </r>
    <r>
      <rPr>
        <sz val="11"/>
        <color rgb="FF000000"/>
        <rFont val="Calibri"/>
      </rPr>
      <t>OR</t>
    </r>
    <r>
      <rPr>
        <sz val="11"/>
        <color rgb="FF000000"/>
        <rFont val="Calibri"/>
      </rPr>
      <t xml:space="preserve">
</t>
    </r>
    <r>
      <rPr>
        <sz val="11"/>
        <color rgb="FF000000"/>
        <rFont val="Calibri"/>
      </rPr>
      <t># /etc/dodscript.sh</t>
    </r>
  </si>
  <si>
    <r>
      <rPr>
        <sz val="11"/>
        <color rgb="FF000000"/>
        <rFont val="Calibri"/>
      </rPr>
      <t>Misuse of privileged functions, either intentionally or unintentionally by authorized users, or by unauthorized external entities that have compromised information system accounts, is a serious and ongoing concern and can have significant adverse impacts on organizations. Auditing the use of privileged functions is one way to detect such misuse and identify the risk from insider threats and the advanced persistent threat.</t>
    </r>
  </si>
  <si>
    <r>
      <rPr>
        <sz val="11"/>
        <color rgb="FF000000"/>
        <rFont val="Calibri"/>
      </rPr>
      <t xml:space="preserve">To verify that auditing of privileged command use is configured, run the following command to find relevant setuid programs: </t>
    </r>
    <r>
      <rPr>
        <sz val="11"/>
        <color rgb="FF000000"/>
        <rFont val="Calibri"/>
      </rPr>
      <t xml:space="preserve">
</t>
    </r>
    <r>
      <rPr>
        <sz val="11"/>
        <color rgb="FF000000"/>
        <rFont val="Calibri"/>
      </rPr>
      <t># find / -xdev -type f -perm -4000 -o -perm -2000 2&gt;/dev/null</t>
    </r>
    <r>
      <rPr>
        <sz val="11"/>
        <color rgb="FF000000"/>
        <rFont val="Calibri"/>
      </rPr>
      <t xml:space="preserve">
</t>
    </r>
    <r>
      <rPr>
        <sz val="11"/>
        <color rgb="FF000000"/>
        <rFont val="Calibri"/>
      </rPr>
      <t xml:space="preserve">Run the following command to verify entries in the audit rules for all programs found with the previous command: </t>
    </r>
    <r>
      <rPr>
        <sz val="11"/>
        <color rgb="FF000000"/>
        <rFont val="Calibri"/>
      </rPr>
      <t xml:space="preserve">
</t>
    </r>
    <r>
      <rPr>
        <sz val="11"/>
        <color rgb="FF000000"/>
        <rFont val="Calibri"/>
      </rPr>
      <t># grep path /etc/audit/audit.rules</t>
    </r>
    <r>
      <rPr>
        <sz val="11"/>
        <color rgb="FF000000"/>
        <rFont val="Calibri"/>
      </rPr>
      <t xml:space="preserve">
</t>
    </r>
    <r>
      <rPr>
        <sz val="11"/>
        <color rgb="FF000000"/>
        <rFont val="Calibri"/>
      </rPr>
      <t>It should be the case that all relevant setuid programs have a line in the audit rules. If it is not the case, this is a finding.</t>
    </r>
  </si>
  <si>
    <t>V-88663</t>
  </si>
  <si>
    <r>
      <rPr>
        <sz val="11"/>
        <rFont val="Calibri"/>
      </rPr>
      <t>The SLES for vRealize must automatically lock an account until the locked account is released by an administrator when three unsuccessful logon attempts in 15 minutes occur.</t>
    </r>
  </si>
  <si>
    <r>
      <rPr>
        <sz val="11"/>
        <color rgb="FF000000"/>
        <rFont val="Calibri"/>
      </rPr>
      <t>Edit "/etc/pam.d/common-auth" file and add the following line:</t>
    </r>
    <r>
      <rPr>
        <sz val="11"/>
        <color rgb="FF000000"/>
        <rFont val="Calibri"/>
      </rPr>
      <t xml:space="preserve">
</t>
    </r>
    <r>
      <rPr>
        <sz val="11"/>
        <color rgb="FF000000"/>
        <rFont val="Calibri"/>
      </rPr>
      <t xml:space="preserve">auth required pam_tally2.so deny=3 onerr=fail even_deny_root unlock_time=86400 root_unlock_time=300 </t>
    </r>
    <r>
      <rPr>
        <sz val="11"/>
        <color rgb="FF000000"/>
        <rFont val="Calibri"/>
      </rPr>
      <t xml:space="preserve">
</t>
    </r>
    <r>
      <rPr>
        <sz val="11"/>
        <color rgb="FF000000"/>
        <rFont val="Calibri"/>
      </rPr>
      <t>Edit "/etc/pam.d/common-account" file and add the following line:</t>
    </r>
    <r>
      <rPr>
        <sz val="11"/>
        <color rgb="FF000000"/>
        <rFont val="Calibri"/>
      </rPr>
      <t xml:space="preserve">
</t>
    </r>
    <r>
      <rPr>
        <sz val="11"/>
        <color rgb="FF000000"/>
        <rFont val="Calibri"/>
      </rPr>
      <t>account required pam_tally2.so</t>
    </r>
  </si>
  <si>
    <r>
      <rPr>
        <sz val="11"/>
        <color rgb="FF000000"/>
        <rFont val="Calibri"/>
      </rPr>
      <t>By limiting the number of failed logon attempts, the risk of unauthorized system access via user password guessing, otherwise known as brute forcing, is reduced. Limits are imposed by locking the account.</t>
    </r>
  </si>
  <si>
    <r>
      <rPr>
        <sz val="11"/>
        <color rgb="FF000000"/>
        <rFont val="Calibri"/>
      </rPr>
      <t>Check the "pam_tally2" configuration:</t>
    </r>
    <r>
      <rPr>
        <sz val="11"/>
        <color rgb="FF000000"/>
        <rFont val="Calibri"/>
      </rPr>
      <t xml:space="preserve">
</t>
    </r>
    <r>
      <rPr>
        <sz val="11"/>
        <color rgb="FF000000"/>
        <rFont val="Calibri"/>
      </rPr>
      <t># more /etc/pam.d/common-auth</t>
    </r>
    <r>
      <rPr>
        <sz val="11"/>
        <color rgb="FF000000"/>
        <rFont val="Calibri"/>
      </rPr>
      <t xml:space="preserve">
</t>
    </r>
    <r>
      <rPr>
        <sz val="11"/>
        <color rgb="FF000000"/>
        <rFont val="Calibri"/>
      </rPr>
      <t>Confirm the following line is configured:</t>
    </r>
    <r>
      <rPr>
        <sz val="11"/>
        <color rgb="FF000000"/>
        <rFont val="Calibri"/>
      </rPr>
      <t xml:space="preserve">
</t>
    </r>
    <r>
      <rPr>
        <sz val="11"/>
        <color rgb="FF000000"/>
        <rFont val="Calibri"/>
      </rPr>
      <t>auth required pam_tally2.so deny=3 onerr=fail even_deny_root unlock_ti</t>
    </r>
    <r>
      <rPr>
        <sz val="11"/>
        <color rgb="FF000000"/>
        <rFont val="Calibri"/>
      </rPr>
      <t xml:space="preserve">
</t>
    </r>
    <r>
      <rPr>
        <sz val="11"/>
        <color rgb="FF000000"/>
        <rFont val="Calibri"/>
      </rPr>
      <t>me=86400 root_unlock_time=300</t>
    </r>
    <r>
      <rPr>
        <sz val="11"/>
        <color rgb="FF000000"/>
        <rFont val="Calibri"/>
      </rPr>
      <t xml:space="preserve">
</t>
    </r>
    <r>
      <rPr>
        <sz val="11"/>
        <color rgb="FF000000"/>
        <rFont val="Calibri"/>
      </rPr>
      <t># more /etc/pam.d/common-account</t>
    </r>
    <r>
      <rPr>
        <sz val="11"/>
        <color rgb="FF000000"/>
        <rFont val="Calibri"/>
      </rPr>
      <t xml:space="preserve">
</t>
    </r>
    <r>
      <rPr>
        <sz val="11"/>
        <color rgb="FF000000"/>
        <rFont val="Calibri"/>
      </rPr>
      <t>Confirm the following line is configured:</t>
    </r>
    <r>
      <rPr>
        <sz val="11"/>
        <color rgb="FF000000"/>
        <rFont val="Calibri"/>
      </rPr>
      <t xml:space="preserve">
</t>
    </r>
    <r>
      <rPr>
        <sz val="11"/>
        <color rgb="FF000000"/>
        <rFont val="Calibri"/>
      </rPr>
      <t>account required pam_tally2.so</t>
    </r>
    <r>
      <rPr>
        <sz val="11"/>
        <color rgb="FF000000"/>
        <rFont val="Calibri"/>
      </rPr>
      <t xml:space="preserve">
</t>
    </r>
    <r>
      <rPr>
        <sz val="11"/>
        <color rgb="FF000000"/>
        <rFont val="Calibri"/>
      </rPr>
      <t>If no such lines are found, this is a finding.</t>
    </r>
  </si>
  <si>
    <t>V-88665</t>
  </si>
  <si>
    <r>
      <rPr>
        <sz val="11"/>
        <rFont val="Calibri"/>
      </rPr>
      <t>The SLES for vRealize must off-load audit records onto a different system or media from the system being audited.</t>
    </r>
  </si>
  <si>
    <r>
      <rPr>
        <sz val="11"/>
        <color rgb="FF000000"/>
        <rFont val="Calibri"/>
      </rPr>
      <t>Information stored in one location is vulnerable to accidental or incidental deletion or alteration.</t>
    </r>
    <r>
      <rPr>
        <sz val="11"/>
        <color rgb="FF000000"/>
        <rFont val="Calibri"/>
      </rPr>
      <t xml:space="preserve">
</t>
    </r>
    <r>
      <rPr>
        <sz val="11"/>
        <color rgb="FF000000"/>
        <rFont val="Calibri"/>
      </rPr>
      <t>Off-loading is a common process in information systems with limited audit storage capacity.</t>
    </r>
  </si>
  <si>
    <t>V-88667</t>
  </si>
  <si>
    <r>
      <rPr>
        <sz val="11"/>
        <rFont val="Calibri"/>
      </rPr>
      <t>The SLES for vRealize must immediately notify the SA and ISSO (at a minimum) when allocated audit record storage volume reaches 75% of the repository maximum audit record storage capacity.</t>
    </r>
  </si>
  <si>
    <r>
      <rPr>
        <sz val="11"/>
        <color rgb="FF000000"/>
        <rFont val="Calibri"/>
      </rPr>
      <t>Set the "space_left_action" parameter to the valid setting "SYSLOG", by running the following command:</t>
    </r>
    <r>
      <rPr>
        <sz val="11"/>
        <color rgb="FF000000"/>
        <rFont val="Calibri"/>
      </rPr>
      <t xml:space="preserve">
</t>
    </r>
    <r>
      <rPr>
        <sz val="11"/>
        <color rgb="FF000000"/>
        <rFont val="Calibri"/>
      </rPr>
      <t># sed -i "/^[^#]*space_left_action/ c\admin_space_left_action = SYSLOG" /etc/audit/auditd.conf</t>
    </r>
    <r>
      <rPr>
        <sz val="11"/>
        <color rgb="FF000000"/>
        <rFont val="Calibri"/>
      </rPr>
      <t xml:space="preserve">
</t>
    </r>
    <r>
      <rPr>
        <sz val="11"/>
        <color rgb="FF000000"/>
        <rFont val="Calibri"/>
      </rPr>
      <t xml:space="preserve">Restart the audit service: </t>
    </r>
    <r>
      <rPr>
        <sz val="11"/>
        <color rgb="FF000000"/>
        <rFont val="Calibri"/>
      </rPr>
      <t xml:space="preserve">
</t>
    </r>
    <r>
      <rPr>
        <sz val="11"/>
        <color rgb="FF000000"/>
        <rFont val="Calibri"/>
      </rPr>
      <t># service auditd restart</t>
    </r>
  </si>
  <si>
    <r>
      <rPr>
        <sz val="11"/>
        <color rgb="FF000000"/>
        <rFont val="Calibri"/>
      </rPr>
      <t>If security personnel are not notified immediately when storage volume reaches 75% utilization, they are unable to plan for audit record storage capacity expansion.</t>
    </r>
  </si>
  <si>
    <r>
      <rPr>
        <sz val="11"/>
        <color rgb="FF000000"/>
        <rFont val="Calibri"/>
      </rPr>
      <t>Check "/etc/audit/auditd.conf" file for the "space_left_action" parameter with the following command:</t>
    </r>
    <r>
      <rPr>
        <sz val="11"/>
        <color rgb="FF000000"/>
        <rFont val="Calibri"/>
      </rPr>
      <t xml:space="preserve">
</t>
    </r>
    <r>
      <rPr>
        <sz val="11"/>
        <color rgb="FF000000"/>
        <rFont val="Calibri"/>
      </rPr>
      <t xml:space="preserve"># cat /etc/audit/auditd.conf | grep space_left_action </t>
    </r>
    <r>
      <rPr>
        <sz val="11"/>
        <color rgb="FF000000"/>
        <rFont val="Calibri"/>
      </rPr>
      <t xml:space="preserve">
</t>
    </r>
    <r>
      <rPr>
        <sz val="11"/>
        <color rgb="FF000000"/>
        <rFont val="Calibri"/>
      </rPr>
      <t>If the "space_left_action" parameter is missing, set to "ignore", set to "suspend", set to "single", set to "halt", or is blank, this is a finding</t>
    </r>
    <r>
      <rPr>
        <sz val="11"/>
        <color rgb="FF000000"/>
        <rFont val="Calibri"/>
      </rPr>
      <t xml:space="preserve">
</t>
    </r>
    <r>
      <rPr>
        <sz val="11"/>
        <color rgb="FF000000"/>
        <rFont val="Calibri"/>
      </rPr>
      <t xml:space="preserve">Expected Result: </t>
    </r>
    <r>
      <rPr>
        <sz val="11"/>
        <color rgb="FF000000"/>
        <rFont val="Calibri"/>
      </rPr>
      <t xml:space="preserve">
</t>
    </r>
    <r>
      <rPr>
        <sz val="11"/>
        <color rgb="FF000000"/>
        <rFont val="Calibri"/>
      </rPr>
      <t>space_left_action = SYSLOG</t>
    </r>
    <r>
      <rPr>
        <sz val="11"/>
        <color rgb="FF000000"/>
        <rFont val="Calibri"/>
      </rPr>
      <t xml:space="preserve">
</t>
    </r>
    <r>
      <rPr>
        <sz val="11"/>
        <color rgb="FF000000"/>
        <rFont val="Calibri"/>
      </rPr>
      <t xml:space="preserve">Notes: </t>
    </r>
    <r>
      <rPr>
        <sz val="11"/>
        <color rgb="FF000000"/>
        <rFont val="Calibri"/>
      </rPr>
      <t xml:space="preserve">
</t>
    </r>
    <r>
      <rPr>
        <sz val="11"/>
        <color rgb="FF000000"/>
        <rFont val="Calibri"/>
      </rPr>
      <t xml:space="preserve">If the "space_left_action" parameter is set to "exec" the system executes a designated script. </t>
    </r>
    <r>
      <rPr>
        <sz val="11"/>
        <color rgb="FF000000"/>
        <rFont val="Calibri"/>
      </rPr>
      <t xml:space="preserve">
</t>
    </r>
    <r>
      <rPr>
        <sz val="11"/>
        <color rgb="FF000000"/>
        <rFont val="Calibri"/>
      </rPr>
      <t>If this script informs the SA of the event, this is not a finding.</t>
    </r>
    <r>
      <rPr>
        <sz val="11"/>
        <color rgb="FF000000"/>
        <rFont val="Calibri"/>
      </rPr>
      <t xml:space="preserve">
</t>
    </r>
    <r>
      <rPr>
        <sz val="11"/>
        <color rgb="FF000000"/>
        <rFont val="Calibri"/>
      </rPr>
      <t xml:space="preserve">If the "space_left_action" parameter is set to "email" and the "action_mail_acct" parameter is not set to the email address of the system administrator, this is a finding. </t>
    </r>
    <r>
      <rPr>
        <sz val="11"/>
        <color rgb="FF000000"/>
        <rFont val="Calibri"/>
      </rPr>
      <t xml:space="preserve">
</t>
    </r>
    <r>
      <rPr>
        <sz val="11"/>
        <color rgb="FF000000"/>
        <rFont val="Calibri"/>
      </rPr>
      <t>The "action_mail_acct" parameter, if missing, defaults to "root". Note that if the email address of the system administrator is on a remote system "sendmail" must be available.</t>
    </r>
  </si>
  <si>
    <t>V-88669</t>
  </si>
  <si>
    <r>
      <rPr>
        <sz val="11"/>
        <rFont val="Calibri"/>
      </rPr>
      <t>The SLES for vRealize must provide an immediate real-time alert to the SA and ISSO, at a minimum, of all audit failure events requiring real-time alerts.</t>
    </r>
  </si>
  <si>
    <r>
      <rPr>
        <sz val="11"/>
        <color rgb="FF000000"/>
        <rFont val="Calibri"/>
      </rPr>
      <t>It is critical for the appropriate personnel to be aware if a system is at risk of failing to process audit logs as required. Without a real-time alert, security personnel may be unaware of an impending failure of the audit capability and system operation may be adversely affected.</t>
    </r>
    <r>
      <rPr>
        <sz val="11"/>
        <color rgb="FF000000"/>
        <rFont val="Calibri"/>
      </rPr>
      <t xml:space="preserve">
</t>
    </r>
    <r>
      <rPr>
        <sz val="11"/>
        <color rgb="FF000000"/>
        <rFont val="Calibri"/>
      </rPr>
      <t>Alerts provide organizations with urgent messages. Real-time alerts provide these messages immediately (i.e., the time from event detection to alert occurs in seconds or less).</t>
    </r>
  </si>
  <si>
    <t>V-88671</t>
  </si>
  <si>
    <r>
      <rPr>
        <sz val="11"/>
        <rFont val="Calibri"/>
      </rPr>
      <t>The SLES for vRealize must, for networked systems, compare internal information system clocks at least every 24 hours with a server which is synchronized to one of the redundant United States Naval Observatory (USNO) time servers, or a time server designated for the appropriate DoD network (NIPRNet/SIPRNet), and/or the Global Positioning System (GPS).</t>
    </r>
  </si>
  <si>
    <r>
      <rPr>
        <sz val="11"/>
        <color rgb="FF000000"/>
        <rFont val="Calibri"/>
      </rPr>
      <t>To specify a remote NTP server for time synchronization, edit the file "/etc/ntp.conf". Add or correct the following lines, substituting the IP or hostname of a remote NTP server for ntpserver by using the following command:</t>
    </r>
    <r>
      <rPr>
        <sz val="11"/>
        <color rgb="FF000000"/>
        <rFont val="Calibri"/>
      </rPr>
      <t xml:space="preserve">
</t>
    </r>
    <r>
      <rPr>
        <sz val="11"/>
        <color rgb="FF000000"/>
        <rFont val="Calibri"/>
      </rPr>
      <t># echo "server [ntpserver]" &gt;&gt; /etc/ntp.conf</t>
    </r>
    <r>
      <rPr>
        <sz val="11"/>
        <color rgb="FF000000"/>
        <rFont val="Calibri"/>
      </rPr>
      <t xml:space="preserve">
</t>
    </r>
    <r>
      <rPr>
        <sz val="11"/>
        <color rgb="FF000000"/>
        <rFont val="Calibri"/>
      </rPr>
      <t>Replace [ntpserver] with one of the USNO time servers. This instructs the NTP software to contact that remote server to obtain time data.</t>
    </r>
    <r>
      <rPr>
        <sz val="11"/>
        <color rgb="FF000000"/>
        <rFont val="Calibri"/>
      </rPr>
      <t xml:space="preserve">
</t>
    </r>
    <r>
      <rPr>
        <sz val="11"/>
        <color rgb="FF000000"/>
        <rFont val="Calibri"/>
      </rPr>
      <t xml:space="preserve">Restart the service with: </t>
    </r>
    <r>
      <rPr>
        <sz val="11"/>
        <color rgb="FF000000"/>
        <rFont val="Calibri"/>
      </rPr>
      <t xml:space="preserve">
</t>
    </r>
    <r>
      <rPr>
        <sz val="11"/>
        <color rgb="FF000000"/>
        <rFont val="Calibri"/>
      </rPr>
      <t># service ntp restart</t>
    </r>
  </si>
  <si>
    <r>
      <rPr>
        <sz val="11"/>
        <color rgb="FF000000"/>
        <rFont val="Calibri"/>
      </rPr>
      <t>Inaccurate time stamps make it more difficult to correlate events and can lead to an inaccurate analysis. Determining the correct time a particular event occurred on a system is critical when conducting forensic analysis and investigating system events. Sources outside the configured acceptable allowance (drift) may be inaccurate.</t>
    </r>
    <r>
      <rPr>
        <sz val="11"/>
        <color rgb="FF000000"/>
        <rFont val="Calibri"/>
      </rPr>
      <t xml:space="preserve">
</t>
    </r>
    <r>
      <rPr>
        <sz val="11"/>
        <color rgb="FF000000"/>
        <rFont val="Calibri"/>
      </rPr>
      <t>Synchronizing internal information system clocks provides uniformity of time stamps for information systems with multiple system clocks and systems connected over a network.</t>
    </r>
    <r>
      <rPr>
        <sz val="11"/>
        <color rgb="FF000000"/>
        <rFont val="Calibri"/>
      </rPr>
      <t xml:space="preserve">
</t>
    </r>
    <r>
      <rPr>
        <sz val="11"/>
        <color rgb="FF000000"/>
        <rFont val="Calibri"/>
      </rPr>
      <t>Organizations should consider endpoints that may not have regular access to the authoritative timeserver (e.g., mobile, teleworking, and tactical endpoints).</t>
    </r>
  </si>
  <si>
    <r>
      <rPr>
        <sz val="11"/>
        <color rgb="FF000000"/>
        <rFont val="Calibri"/>
      </rPr>
      <t>A remote NTP server should be configured for time synchronization. To verify one is configured, open the following files:</t>
    </r>
    <r>
      <rPr>
        <sz val="11"/>
        <color rgb="FF000000"/>
        <rFont val="Calibri"/>
      </rPr>
      <t xml:space="preserve">
</t>
    </r>
    <r>
      <rPr>
        <sz val="11"/>
        <color rgb="FF000000"/>
        <rFont val="Calibri"/>
      </rPr>
      <t xml:space="preserve"># cat /etc/ntp.conf | grep server | grep -v '^#' </t>
    </r>
    <r>
      <rPr>
        <sz val="11"/>
        <color rgb="FF000000"/>
        <rFont val="Calibri"/>
      </rPr>
      <t xml:space="preserve">
</t>
    </r>
    <r>
      <rPr>
        <sz val="11"/>
        <color rgb="FF000000"/>
        <rFont val="Calibri"/>
      </rPr>
      <t xml:space="preserve"># cat /etc/ntp.conf | grep peer | grep -v '^#' </t>
    </r>
    <r>
      <rPr>
        <sz val="11"/>
        <color rgb="FF000000"/>
        <rFont val="Calibri"/>
      </rPr>
      <t xml:space="preserve">
</t>
    </r>
    <r>
      <rPr>
        <sz val="11"/>
        <color rgb="FF000000"/>
        <rFont val="Calibri"/>
      </rPr>
      <t xml:space="preserve"># cat /etc/ntp.conf | grep multicastclient | grep -v '^#' </t>
    </r>
    <r>
      <rPr>
        <sz val="11"/>
        <color rgb="FF000000"/>
        <rFont val="Calibri"/>
      </rPr>
      <t xml:space="preserve">
</t>
    </r>
    <r>
      <rPr>
        <sz val="11"/>
        <color rgb="FF000000"/>
        <rFont val="Calibri"/>
      </rPr>
      <t>Confirm the servers and peers or multicastclient (as applicable) are local or an authoritative U.S. DoD source.</t>
    </r>
    <r>
      <rPr>
        <sz val="11"/>
        <color rgb="FF000000"/>
        <rFont val="Calibri"/>
      </rPr>
      <t xml:space="preserve">
</t>
    </r>
    <r>
      <rPr>
        <sz val="11"/>
        <color rgb="FF000000"/>
        <rFont val="Calibri"/>
      </rPr>
      <t>If a non-local/non-authoritative time-server is used, this is a finding.</t>
    </r>
  </si>
  <si>
    <t>V-88673</t>
  </si>
  <si>
    <r>
      <rPr>
        <sz val="11"/>
        <rFont val="Calibri"/>
      </rPr>
      <t>The time synchronization configuration file (such as /etc/ntp.conf) must be owned by root.</t>
    </r>
  </si>
  <si>
    <r>
      <rPr>
        <sz val="11"/>
        <color rgb="FF000000"/>
        <rFont val="Calibri"/>
      </rPr>
      <t>Change the owner of the NTP configuration file to "root":</t>
    </r>
    <r>
      <rPr>
        <sz val="11"/>
        <color rgb="FF000000"/>
        <rFont val="Calibri"/>
      </rPr>
      <t xml:space="preserve">
</t>
    </r>
    <r>
      <rPr>
        <sz val="11"/>
        <color rgb="FF000000"/>
        <rFont val="Calibri"/>
      </rPr>
      <t># chown root /etc/ntp.conf</t>
    </r>
  </si>
  <si>
    <r>
      <rPr>
        <sz val="11"/>
        <color rgb="FF000000"/>
        <rFont val="Calibri"/>
      </rPr>
      <t>A synchronized system clock is critical for the enforcement of time-based policies and the correlation of logs and audit records with other systems. If an illicit time source is used for synchronization, the integrity of system logs and the security of the system could be compromised. If the configuration files controlling time synchronization are not owned by a system account, unauthorized modifications could result in the failure of time synchronization.</t>
    </r>
  </si>
  <si>
    <r>
      <rPr>
        <sz val="11"/>
        <color rgb="FF000000"/>
        <rFont val="Calibri"/>
      </rPr>
      <t>Check the ownership of the NTP configuration file:</t>
    </r>
    <r>
      <rPr>
        <sz val="11"/>
        <color rgb="FF000000"/>
        <rFont val="Calibri"/>
      </rPr>
      <t xml:space="preserve">
</t>
    </r>
    <r>
      <rPr>
        <sz val="11"/>
        <color rgb="FF000000"/>
        <rFont val="Calibri"/>
      </rPr>
      <t># ls -l /etc/ntp.conf</t>
    </r>
    <r>
      <rPr>
        <sz val="11"/>
        <color rgb="FF000000"/>
        <rFont val="Calibri"/>
      </rPr>
      <t xml:space="preserve">
</t>
    </r>
    <r>
      <rPr>
        <sz val="11"/>
        <color rgb="FF000000"/>
        <rFont val="Calibri"/>
      </rPr>
      <t>If the owner is not "root", this is a finding.</t>
    </r>
  </si>
  <si>
    <t>V-88675</t>
  </si>
  <si>
    <r>
      <rPr>
        <sz val="11"/>
        <rFont val="Calibri"/>
      </rPr>
      <t>The time synchronization configuration file (such as /etc/ntp.conf) must be group-owned by root, bin, sys, or system.</t>
    </r>
  </si>
  <si>
    <r>
      <rPr>
        <sz val="11"/>
        <color rgb="FF000000"/>
        <rFont val="Calibri"/>
      </rPr>
      <t>Change the group-owner of the NTP configuration file:</t>
    </r>
    <r>
      <rPr>
        <sz val="11"/>
        <color rgb="FF000000"/>
        <rFont val="Calibri"/>
      </rPr>
      <t xml:space="preserve">
</t>
    </r>
    <r>
      <rPr>
        <sz val="11"/>
        <color rgb="FF000000"/>
        <rFont val="Calibri"/>
      </rPr>
      <t># chgrp root /etc/ntp.conf</t>
    </r>
  </si>
  <si>
    <r>
      <rPr>
        <sz val="11"/>
        <color rgb="FF000000"/>
        <rFont val="Calibri"/>
      </rPr>
      <t>A synchronized system clock is critical for the enforcement of time-based policies and the correlation of logs and audit records with other systems. If an illicit time source is used for synchronization, the integrity of system logs and the security of the system could be compromised. If the configuration files controlling time synchronization are not owned by a system group, unauthorized modifications could result in the failure of time synchronization.</t>
    </r>
  </si>
  <si>
    <r>
      <rPr>
        <sz val="11"/>
        <color rgb="FF000000"/>
        <rFont val="Calibri"/>
      </rPr>
      <t>Check the group ownership of the NTP configuration file:</t>
    </r>
    <r>
      <rPr>
        <sz val="11"/>
        <color rgb="FF000000"/>
        <rFont val="Calibri"/>
      </rPr>
      <t xml:space="preserve">
</t>
    </r>
    <r>
      <rPr>
        <sz val="11"/>
        <color rgb="FF000000"/>
        <rFont val="Calibri"/>
      </rPr>
      <t># ls -lL /etc/ntp.conf</t>
    </r>
    <r>
      <rPr>
        <sz val="11"/>
        <color rgb="FF000000"/>
        <rFont val="Calibri"/>
      </rPr>
      <t xml:space="preserve">
</t>
    </r>
    <r>
      <rPr>
        <sz val="11"/>
        <color rgb="FF000000"/>
        <rFont val="Calibri"/>
      </rPr>
      <t>If the group-owner is not "root", "bin", "sys", or "system", this is a finding.</t>
    </r>
  </si>
  <si>
    <t>V-88677</t>
  </si>
  <si>
    <r>
      <rPr>
        <sz val="11"/>
        <rFont val="Calibri"/>
      </rPr>
      <t>The time synchronization configuration file (such as /etc/ntp.conf) must have mode 0640 or less permissive.</t>
    </r>
  </si>
  <si>
    <r>
      <rPr>
        <sz val="11"/>
        <color rgb="FF000000"/>
        <rFont val="Calibri"/>
      </rPr>
      <t>Change the mode of the NTP configuration file to "0640" or less permissive:</t>
    </r>
    <r>
      <rPr>
        <sz val="11"/>
        <color rgb="FF000000"/>
        <rFont val="Calibri"/>
      </rPr>
      <t xml:space="preserve">
</t>
    </r>
    <r>
      <rPr>
        <sz val="11"/>
        <color rgb="FF000000"/>
        <rFont val="Calibri"/>
      </rPr>
      <t># chmod 0640 /etc/ntp.conf</t>
    </r>
  </si>
  <si>
    <r>
      <rPr>
        <sz val="11"/>
        <color rgb="FF000000"/>
        <rFont val="Calibri"/>
      </rPr>
      <t>A synchronized system clock is critical for the enforcement of time-based policies and the correlation of logs and audit records with other systems. If an illicit time source is used for synchronization, the integrity of system logs and the security of the system could be compromised. If the configuration files controlling time synchronization are not protected, unauthorized modifications could result in the failure of time synchronization.</t>
    </r>
  </si>
  <si>
    <r>
      <rPr>
        <sz val="11"/>
        <color rgb="FF000000"/>
        <rFont val="Calibri"/>
      </rPr>
      <t>Check that the mode for the NTP configuration file is not more permissive than "0640":</t>
    </r>
    <r>
      <rPr>
        <sz val="11"/>
        <color rgb="FF000000"/>
        <rFont val="Calibri"/>
      </rPr>
      <t xml:space="preserve">
</t>
    </r>
    <r>
      <rPr>
        <sz val="11"/>
        <color rgb="FF000000"/>
        <rFont val="Calibri"/>
      </rPr>
      <t># ls -l /etc/ntp.conf</t>
    </r>
    <r>
      <rPr>
        <sz val="11"/>
        <color rgb="FF000000"/>
        <rFont val="Calibri"/>
      </rPr>
      <t xml:space="preserve">
</t>
    </r>
    <r>
      <rPr>
        <sz val="11"/>
        <color rgb="FF000000"/>
        <rFont val="Calibri"/>
      </rPr>
      <t>If the mode is more permissive than "0640", this is a finding.</t>
    </r>
  </si>
  <si>
    <t>V-88679</t>
  </si>
  <si>
    <r>
      <rPr>
        <sz val="11"/>
        <rFont val="Calibri"/>
      </rPr>
      <t>The SLES for vRealize must synchronize internal information system clocks to the authoritative time source when the time difference is greater than one second.</t>
    </r>
  </si>
  <si>
    <r>
      <rPr>
        <sz val="11"/>
        <color rgb="FF000000"/>
        <rFont val="Calibri"/>
      </rPr>
      <t xml:space="preserve">The "ntp" service can be enabled with the following command: </t>
    </r>
    <r>
      <rPr>
        <sz val="11"/>
        <color rgb="FF000000"/>
        <rFont val="Calibri"/>
      </rPr>
      <t xml:space="preserve">
</t>
    </r>
    <r>
      <rPr>
        <sz val="11"/>
        <color rgb="FF000000"/>
        <rFont val="Calibri"/>
      </rPr>
      <t xml:space="preserve"># chkconfig ntp on </t>
    </r>
    <r>
      <rPr>
        <sz val="11"/>
        <color rgb="FF000000"/>
        <rFont val="Calibri"/>
      </rPr>
      <t xml:space="preserve">
</t>
    </r>
    <r>
      <rPr>
        <sz val="11"/>
        <color rgb="FF000000"/>
        <rFont val="Calibri"/>
      </rPr>
      <t># service ntp start</t>
    </r>
  </si>
  <si>
    <r>
      <rPr>
        <sz val="11"/>
        <color rgb="FF000000"/>
        <rFont val="Calibri"/>
      </rPr>
      <t>Inaccurate time stamps make it more difficult to correlate events and can lead to an inaccurate analysis. Determining the correct time a particular event occurred on a system is critical when conducting forensic analysis and investigating system events.</t>
    </r>
    <r>
      <rPr>
        <sz val="11"/>
        <color rgb="FF000000"/>
        <rFont val="Calibri"/>
      </rPr>
      <t xml:space="preserve">
</t>
    </r>
    <r>
      <rPr>
        <sz val="11"/>
        <color rgb="FF000000"/>
        <rFont val="Calibri"/>
      </rPr>
      <t>Synchronizing internal information system clocks provides uniformity of time stamps for information systems with multiple system clocks and systems connected over a network. Organizations should consider setting time periods for different types of systems (e.g., financial, legal, or mission-critical systems).</t>
    </r>
    <r>
      <rPr>
        <sz val="11"/>
        <color rgb="FF000000"/>
        <rFont val="Calibri"/>
      </rPr>
      <t xml:space="preserve">
</t>
    </r>
    <r>
      <rPr>
        <sz val="11"/>
        <color rgb="FF000000"/>
        <rFont val="Calibri"/>
      </rPr>
      <t>Organizations should also consider endpoints that may not have regular access to the authoritative timeserver (e.g., mobile, teleworking, and tactical endpoints). This requirement is related to the comparison done every 24 hours in SRG-OS-000355 because a comparison must be done in order to determine the time difference.</t>
    </r>
  </si>
  <si>
    <r>
      <rPr>
        <sz val="11"/>
        <color rgb="FF000000"/>
        <rFont val="Calibri"/>
      </rPr>
      <t xml:space="preserve">Run the following command to determine the current status of the "ntpd" service: </t>
    </r>
    <r>
      <rPr>
        <sz val="11"/>
        <color rgb="FF000000"/>
        <rFont val="Calibri"/>
      </rPr>
      <t xml:space="preserve">
</t>
    </r>
    <r>
      <rPr>
        <sz val="11"/>
        <color rgb="FF000000"/>
        <rFont val="Calibri"/>
      </rPr>
      <t># service ntp status</t>
    </r>
    <r>
      <rPr>
        <sz val="11"/>
        <color rgb="FF000000"/>
        <rFont val="Calibri"/>
      </rPr>
      <t xml:space="preserve">
</t>
    </r>
    <r>
      <rPr>
        <sz val="11"/>
        <color rgb="FF000000"/>
        <rFont val="Calibri"/>
      </rPr>
      <t xml:space="preserve">If the service is configured, the command should show a list of the ntp servers and the status of the synchronization. </t>
    </r>
    <r>
      <rPr>
        <sz val="11"/>
        <color rgb="FF000000"/>
        <rFont val="Calibri"/>
      </rPr>
      <t xml:space="preserve">
</t>
    </r>
    <r>
      <rPr>
        <sz val="11"/>
        <color rgb="FF000000"/>
        <rFont val="Calibri"/>
      </rPr>
      <t>If nothing is returned, this is a finding.</t>
    </r>
    <r>
      <rPr>
        <sz val="11"/>
        <color rgb="FF000000"/>
        <rFont val="Calibri"/>
      </rPr>
      <t xml:space="preserve">
</t>
    </r>
    <r>
      <rPr>
        <sz val="11"/>
        <color rgb="FF000000"/>
        <rFont val="Calibri"/>
      </rPr>
      <t>If the service is configured, but does not show a status of "on", this is a finding.</t>
    </r>
  </si>
  <si>
    <t>V-88681</t>
  </si>
  <si>
    <r>
      <rPr>
        <sz val="11"/>
        <rFont val="Calibri"/>
      </rPr>
      <t>The SLES for vRealize must notify designated personnel if baseline configurations are changed in an unauthorized manner.</t>
    </r>
  </si>
  <si>
    <r>
      <rPr>
        <sz val="11"/>
        <color rgb="FF000000"/>
        <rFont val="Calibri"/>
      </rPr>
      <t>Unauthorized changes to the baseline configuration could make the system vulnerable to various attacks or allow unauthorized access to the operating system. Changes to operating system configurations can have unintended side effects, some of which may be relevant to security.</t>
    </r>
    <r>
      <rPr>
        <sz val="11"/>
        <color rgb="FF000000"/>
        <rFont val="Calibri"/>
      </rPr>
      <t xml:space="preserve">
</t>
    </r>
    <r>
      <rPr>
        <sz val="11"/>
        <color rgb="FF000000"/>
        <rFont val="Calibri"/>
      </rPr>
      <t>Detecting such changes and providing an automated response can help avoid unintended, negative consequences that could ultimately affect the security state of the SLES for vRealize. SLES for vRealize’s IMO/ISSO and SAs must be notified via email and/or monitoring system trap when there is an unauthorized modification of a configuration item.</t>
    </r>
  </si>
  <si>
    <t>V-88683</t>
  </si>
  <si>
    <r>
      <rPr>
        <sz val="11"/>
        <rFont val="Calibri"/>
      </rPr>
      <t>The SLES for vRealize must audit the enforcement actions used to restrict access associated with changes to the system.</t>
    </r>
  </si>
  <si>
    <r>
      <rPr>
        <sz val="11"/>
        <color rgb="FF000000"/>
        <rFont val="Calibri"/>
      </rPr>
      <t>Without auditing the enforcement of access restrictions against changes to the application configuration, it will be difficult to identify attempted attacks and an audit trail will not be available for forensic investigation for after-the-fact actions.</t>
    </r>
    <r>
      <rPr>
        <sz val="11"/>
        <color rgb="FF000000"/>
        <rFont val="Calibri"/>
      </rPr>
      <t xml:space="preserve">
</t>
    </r>
    <r>
      <rPr>
        <sz val="11"/>
        <color rgb="FF000000"/>
        <rFont val="Calibri"/>
      </rPr>
      <t>Enforcement actions are the methods or mechanisms used to prevent unauthorized changes to configuration settings. Enforcement action methods may be as simple as denying access to a file based on the application of file permissions (access restriction). Audit items may consist of lists of actions blocked by access restrictions or changes identified after the fact.</t>
    </r>
  </si>
  <si>
    <t>V-88685</t>
  </si>
  <si>
    <r>
      <rPr>
        <sz val="11"/>
        <rFont val="Calibri"/>
      </rPr>
      <t>The RPM package management tool must cryptographically verify the authenticity of all software packages during installation.</t>
    </r>
  </si>
  <si>
    <r>
      <rPr>
        <sz val="11"/>
        <color rgb="FF000000"/>
        <rFont val="Calibri"/>
      </rPr>
      <t>Edit the RPM configuration files containing the "nosignature" option and remove the option.</t>
    </r>
  </si>
  <si>
    <r>
      <rPr>
        <sz val="11"/>
        <color rgb="FF000000"/>
        <rFont val="Calibri"/>
      </rPr>
      <t>Changes to any software components can have significant effects on the overall security of the operating system. This requirement ensures the software has not been tampered with and that it has been provided by a trusted vendor.</t>
    </r>
    <r>
      <rPr>
        <sz val="11"/>
        <color rgb="FF000000"/>
        <rFont val="Calibri"/>
      </rPr>
      <t xml:space="preserve">
</t>
    </r>
    <r>
      <rPr>
        <sz val="11"/>
        <color rgb="FF000000"/>
        <rFont val="Calibri"/>
      </rPr>
      <t>Accordingly, patches, service packs, device drivers, or SLES for vRealize components must be signed with a certificate recognized and approved by the organization.</t>
    </r>
    <r>
      <rPr>
        <sz val="11"/>
        <color rgb="FF000000"/>
        <rFont val="Calibri"/>
      </rPr>
      <t xml:space="preserve">
</t>
    </r>
    <r>
      <rPr>
        <sz val="11"/>
        <color rgb="FF000000"/>
        <rFont val="Calibri"/>
      </rPr>
      <t>Verifying the authenticity of the software prior to installation validates the integrity of the patch or upgrade received from a vendor. This ensures the software has not been tampered with and that it has been provided by a trusted vendor. Self-signed certificates are disallowed by this requirement. SLES for vRealize should not have to verify the software again. This requirement does not mandate DoD certificates for this purpose; however, the certificate used to verify the software must be from an approved CA.</t>
    </r>
  </si>
  <si>
    <r>
      <rPr>
        <sz val="11"/>
        <color rgb="FF000000"/>
        <rFont val="Calibri"/>
      </rPr>
      <t>Verify RPM signature validation is not disabled:</t>
    </r>
    <r>
      <rPr>
        <sz val="11"/>
        <color rgb="FF000000"/>
        <rFont val="Calibri"/>
      </rPr>
      <t xml:space="preserve">
</t>
    </r>
    <r>
      <rPr>
        <sz val="11"/>
        <color rgb="FF000000"/>
        <rFont val="Calibri"/>
      </rPr>
      <t># grep nosignature /usr/lib/rpm/rpmrc ~root/.rpmrc</t>
    </r>
    <r>
      <rPr>
        <sz val="11"/>
        <color rgb="FF000000"/>
        <rFont val="Calibri"/>
      </rPr>
      <t xml:space="preserve">
</t>
    </r>
    <r>
      <rPr>
        <sz val="11"/>
        <color rgb="FF000000"/>
        <rFont val="Calibri"/>
      </rPr>
      <t>The result should either respond with no such file or directory, or an empty return.</t>
    </r>
    <r>
      <rPr>
        <sz val="11"/>
        <color rgb="FF000000"/>
        <rFont val="Calibri"/>
      </rPr>
      <t xml:space="preserve">
</t>
    </r>
    <r>
      <rPr>
        <sz val="11"/>
        <color rgb="FF000000"/>
        <rFont val="Calibri"/>
      </rPr>
      <t>If any configuration is found, this is a finding.</t>
    </r>
  </si>
  <si>
    <t>V-88687</t>
  </si>
  <si>
    <r>
      <rPr>
        <sz val="11"/>
        <rFont val="Calibri"/>
      </rPr>
      <t>The SLES for vRealize must audit all activities performed during nonlocal maintenance and diagnostic sessions.</t>
    </r>
  </si>
  <si>
    <r>
      <rPr>
        <sz val="11"/>
        <color rgb="FF000000"/>
        <rFont val="Calibri"/>
      </rPr>
      <t>Configure SLES for vRealize to log all commands run by "root" with the following command:</t>
    </r>
    <r>
      <rPr>
        <sz val="11"/>
        <color rgb="FF000000"/>
        <rFont val="Calibri"/>
      </rPr>
      <t xml:space="preserve">
</t>
    </r>
    <r>
      <rPr>
        <sz val="11"/>
        <color rgb="FF000000"/>
        <rFont val="Calibri"/>
      </rPr>
      <t># echo "-a exit,always -F arch=b64 -F euid=0 -S execve" &gt;&gt; /etc/audit/audit.rules</t>
    </r>
    <r>
      <rPr>
        <sz val="11"/>
        <color rgb="FF000000"/>
        <rFont val="Calibri"/>
      </rPr>
      <t xml:space="preserve">
</t>
    </r>
    <r>
      <rPr>
        <sz val="11"/>
        <color rgb="FF000000"/>
        <rFont val="Calibri"/>
      </rPr>
      <t># echo "-a exit,always -F arch=b32 -F euid=0 -S execve" &gt;&gt; /etc/audit/audit.rules</t>
    </r>
    <r>
      <rPr>
        <sz val="11"/>
        <color rgb="FF000000"/>
        <rFont val="Calibri"/>
      </rPr>
      <t xml:space="preserve">
</t>
    </r>
    <r>
      <rPr>
        <sz val="11"/>
        <color rgb="FF000000"/>
        <rFont val="Calibri"/>
      </rPr>
      <t xml:space="preserve">Restart the audit service: </t>
    </r>
    <r>
      <rPr>
        <sz val="11"/>
        <color rgb="FF000000"/>
        <rFont val="Calibri"/>
      </rPr>
      <t xml:space="preserve">
</t>
    </r>
    <r>
      <rPr>
        <sz val="11"/>
        <color rgb="FF000000"/>
        <rFont val="Calibri"/>
      </rPr>
      <t># service auditd restart</t>
    </r>
  </si>
  <si>
    <r>
      <rPr>
        <sz val="11"/>
        <color rgb="FF000000"/>
        <rFont val="Calibri"/>
      </rPr>
      <t>If events associated with nonlocal administrative access or diagnostic sessions are not logged, a major tool for assessing and investigating attacks would not be available.</t>
    </r>
    <r>
      <rPr>
        <sz val="11"/>
        <color rgb="FF000000"/>
        <rFont val="Calibri"/>
      </rPr>
      <t xml:space="preserve">
</t>
    </r>
    <r>
      <rPr>
        <sz val="11"/>
        <color rgb="FF000000"/>
        <rFont val="Calibri"/>
      </rPr>
      <t>This requirement addresses auditing-related issues associated with maintenance tools used specifically for diagnostic and repair actions on organizational information systems.</t>
    </r>
    <r>
      <rPr>
        <sz val="11"/>
        <color rgb="FF000000"/>
        <rFont val="Calibri"/>
      </rPr>
      <t xml:space="preserve">
</t>
    </r>
    <r>
      <rPr>
        <sz val="11"/>
        <color rgb="FF000000"/>
        <rFont val="Calibri"/>
      </rPr>
      <t>Nonlocal maintenance and diagnostic activities are those activities conducted by individuals communicating through a network, either an external network (e.g., the Internet) or an internal network. Local maintenance and diagnostic activities are those activities carried out by individuals physically present at the information system or information system component and not communicating across a network connection.</t>
    </r>
    <r>
      <rPr>
        <sz val="11"/>
        <color rgb="FF000000"/>
        <rFont val="Calibri"/>
      </rPr>
      <t xml:space="preserve">
</t>
    </r>
    <r>
      <rPr>
        <sz val="11"/>
        <color rgb="FF000000"/>
        <rFont val="Calibri"/>
      </rPr>
      <t>This requirement applies to hardware/software diagnostic test equipment or tools. This requirement does not cover hardware/software components that may support information system maintenance, yet are a part of the system, for example, the software implementing "ping," "ls," "ipconfig," or the hardware and software implementing the monitoring port of an Ethernet switch.</t>
    </r>
  </si>
  <si>
    <r>
      <rPr>
        <sz val="11"/>
        <color rgb="FF000000"/>
        <rFont val="Calibri"/>
      </rPr>
      <t>Verify that all commands run by "root" are being audited with the following command:</t>
    </r>
    <r>
      <rPr>
        <sz val="11"/>
        <color rgb="FF000000"/>
        <rFont val="Calibri"/>
      </rPr>
      <t xml:space="preserve">
</t>
    </r>
    <r>
      <rPr>
        <sz val="11"/>
        <color rgb="FF000000"/>
        <rFont val="Calibri"/>
      </rPr>
      <t># cat /etc/audit/audit.rules | grep execve</t>
    </r>
    <r>
      <rPr>
        <sz val="11"/>
        <color rgb="FF000000"/>
        <rFont val="Calibri"/>
      </rPr>
      <t xml:space="preserve">
</t>
    </r>
    <r>
      <rPr>
        <sz val="11"/>
        <color rgb="FF000000"/>
        <rFont val="Calibri"/>
      </rPr>
      <t>If the following lines are not displayed, this is a finding.</t>
    </r>
    <r>
      <rPr>
        <sz val="11"/>
        <color rgb="FF000000"/>
        <rFont val="Calibri"/>
      </rPr>
      <t xml:space="preserve">
</t>
    </r>
    <r>
      <rPr>
        <sz val="11"/>
        <color rgb="FF000000"/>
        <rFont val="Calibri"/>
      </rPr>
      <t>-a exit,always -F arch=b64 -F euid=0 -S execve</t>
    </r>
    <r>
      <rPr>
        <sz val="11"/>
        <color rgb="FF000000"/>
        <rFont val="Calibri"/>
      </rPr>
      <t xml:space="preserve">
</t>
    </r>
    <r>
      <rPr>
        <sz val="11"/>
        <color rgb="FF000000"/>
        <rFont val="Calibri"/>
      </rPr>
      <t>-a exit,always -F arch=b32 -F euid=0 -S execve</t>
    </r>
  </si>
  <si>
    <t>V-88689</t>
  </si>
  <si>
    <r>
      <rPr>
        <sz val="11"/>
        <rFont val="Calibri"/>
      </rPr>
      <t>The SLES for vRealize must implement cryptographic mechanisms to protect the integrity of nonlocal maintenance and diagnostic communications, when used for nonlocal maintenance sessions.</t>
    </r>
  </si>
  <si>
    <r>
      <rPr>
        <sz val="11"/>
        <color rgb="FF000000"/>
        <rFont val="Calibri"/>
      </rPr>
      <t xml:space="preserve">Update the Ciphers directive with the following command: </t>
    </r>
    <r>
      <rPr>
        <sz val="11"/>
        <color rgb="FF000000"/>
        <rFont val="Calibri"/>
      </rPr>
      <t xml:space="preserve">
</t>
    </r>
    <r>
      <rPr>
        <sz val="11"/>
        <color rgb="FF000000"/>
        <rFont val="Calibri"/>
      </rPr>
      <t># sed -i '/^[^#]*Ciphers/ c\Ciphers aes256-ctr,aes128-ctr' /etc/ssh/sshd_config</t>
    </r>
    <r>
      <rPr>
        <sz val="11"/>
        <color rgb="FF000000"/>
        <rFont val="Calibri"/>
      </rPr>
      <t xml:space="preserve">
</t>
    </r>
    <r>
      <rPr>
        <sz val="11"/>
        <color rgb="FF000000"/>
        <rFont val="Calibri"/>
      </rPr>
      <t xml:space="preserve">Save and close the file. Restart the sshd process: </t>
    </r>
    <r>
      <rPr>
        <sz val="11"/>
        <color rgb="FF000000"/>
        <rFont val="Calibri"/>
      </rPr>
      <t xml:space="preserve">
</t>
    </r>
    <r>
      <rPr>
        <sz val="11"/>
        <color rgb="FF000000"/>
        <rFont val="Calibri"/>
      </rPr>
      <t># service sshd restart</t>
    </r>
  </si>
  <si>
    <r>
      <rPr>
        <sz val="11"/>
        <color rgb="FF000000"/>
        <rFont val="Calibri"/>
      </rPr>
      <t xml:space="preserve">Privileged access contains control and configuration information and is particularly sensitive, so additional protections are necessary. This is maintained by using cryptographic mechanisms, such as a hash function or digital signature, to protect integrity. </t>
    </r>
    <r>
      <rPr>
        <sz val="11"/>
        <color rgb="FF000000"/>
        <rFont val="Calibri"/>
      </rPr>
      <t xml:space="preserve">
</t>
    </r>
    <r>
      <rPr>
        <sz val="11"/>
        <color rgb="FF000000"/>
        <rFont val="Calibri"/>
      </rPr>
      <t xml:space="preserve">Nonlocal maintenance and diagnostic activities are those activities conducted by individuals communicating through a network, either an external network (e.g., the Internet) or an internal network. Local maintenance and diagnostic activities are those activities carried out by individuals physically present at the information system or information system component and not communicating across a network connection. </t>
    </r>
    <r>
      <rPr>
        <sz val="11"/>
        <color rgb="FF000000"/>
        <rFont val="Calibri"/>
      </rPr>
      <t xml:space="preserve">
</t>
    </r>
    <r>
      <rPr>
        <sz val="11"/>
        <color rgb="FF000000"/>
        <rFont val="Calibri"/>
      </rPr>
      <t>The SLES for vRealize can meet this requirement through leveraging a cryptographic module. This requirement does not cover hardware/software components that may support information system maintenance, yet are a part of the system (e.g., the software implementing "ping," "ls," "ipconfig," or the hardware and software implementing the monitoring port of an Ethernet switch).</t>
    </r>
  </si>
  <si>
    <t>V-88691</t>
  </si>
  <si>
    <r>
      <rPr>
        <sz val="11"/>
        <rFont val="Calibri"/>
      </rPr>
      <t>The SLES for vRealize must implement cryptographic mechanisms to protect the confidentiality of nonlocal maintenance and diagnostic communications, when used for nonlocal maintenance sessions.</t>
    </r>
  </si>
  <si>
    <r>
      <rPr>
        <sz val="11"/>
        <color rgb="FF000000"/>
        <rFont val="Calibri"/>
      </rPr>
      <t>Edit the SSH daemon configuration and remove any MACs other than "hmac-sha1". If necessary, add a "MACs" line.</t>
    </r>
    <r>
      <rPr>
        <sz val="11"/>
        <color rgb="FF000000"/>
        <rFont val="Calibri"/>
      </rPr>
      <t xml:space="preserve">
</t>
    </r>
    <r>
      <rPr>
        <sz val="11"/>
        <color rgb="FF000000"/>
        <rFont val="Calibri"/>
      </rPr>
      <t># sed -i "/^[^#]*MACs/ c\MACs hmac-sha1" /etc/ssh/sshd_config</t>
    </r>
  </si>
  <si>
    <r>
      <rPr>
        <sz val="11"/>
        <color rgb="FF000000"/>
        <rFont val="Calibri"/>
      </rPr>
      <t>Privileged access contains control and configuration information and is particularly sensitive, so additional protections are necessary. This is maintained by using cryptographic mechanisms such as encryption to protect confidentiality.</t>
    </r>
    <r>
      <rPr>
        <sz val="11"/>
        <color rgb="FF000000"/>
        <rFont val="Calibri"/>
      </rPr>
      <t xml:space="preserve">
</t>
    </r>
    <r>
      <rPr>
        <sz val="11"/>
        <color rgb="FF000000"/>
        <rFont val="Calibri"/>
      </rPr>
      <t xml:space="preserve">Nonlocal maintenance and diagnostic activities are those activities conducted by individuals communicating through a network, either an external network (e.g., the Internet) or an internal network. Local maintenance and diagnostic activities are those activities carried out by individuals physically present at the information system or information system component and not communicating across a network connection. </t>
    </r>
    <r>
      <rPr>
        <sz val="11"/>
        <color rgb="FF000000"/>
        <rFont val="Calibri"/>
      </rPr>
      <t xml:space="preserve">
</t>
    </r>
    <r>
      <rPr>
        <sz val="11"/>
        <color rgb="FF000000"/>
        <rFont val="Calibri"/>
      </rPr>
      <t>This requirement applies to hardware/software diagnostic test equipment or tools. This requirement does not cover hardware/software components that may support information system maintenance, yet are a part of the system (e.g., the software implementing "ping," "ls," "ipconfig," or the hardware and software implementing the monitoring port of an Ethernet switch).</t>
    </r>
    <r>
      <rPr>
        <sz val="11"/>
        <color rgb="FF000000"/>
        <rFont val="Calibri"/>
      </rPr>
      <t xml:space="preserve">
</t>
    </r>
    <r>
      <rPr>
        <sz val="11"/>
        <color rgb="FF000000"/>
        <rFont val="Calibri"/>
      </rPr>
      <t>The SLES for vRealize can meet this requirement through leveraging a cryptographic module.</t>
    </r>
  </si>
  <si>
    <r>
      <rPr>
        <sz val="11"/>
        <color rgb="FF000000"/>
        <rFont val="Calibri"/>
      </rPr>
      <t>Check the SSH daemon configuration for allowed MACs:</t>
    </r>
    <r>
      <rPr>
        <sz val="11"/>
        <color rgb="FF000000"/>
        <rFont val="Calibri"/>
      </rPr>
      <t xml:space="preserve">
</t>
    </r>
    <r>
      <rPr>
        <sz val="11"/>
        <color rgb="FF000000"/>
        <rFont val="Calibri"/>
      </rPr>
      <t xml:space="preserve"># grep -i macs /etc/ssh/sshd_config | grep -v '^#' </t>
    </r>
    <r>
      <rPr>
        <sz val="11"/>
        <color rgb="FF000000"/>
        <rFont val="Calibri"/>
      </rPr>
      <t xml:space="preserve">
</t>
    </r>
    <r>
      <rPr>
        <sz val="11"/>
        <color rgb="FF000000"/>
        <rFont val="Calibri"/>
      </rPr>
      <t>If no lines are returned, or the returned MACs list contains any MAC other than "hmac-sha1", this is a finding.</t>
    </r>
  </si>
  <si>
    <t>V-88693</t>
  </si>
  <si>
    <r>
      <rPr>
        <sz val="11"/>
        <rFont val="Calibri"/>
      </rPr>
      <t>The SLES for vRealize must implement NSA-approved cryptography to protect classified information in accordance with applicable federal laws, Executive Orders, directives, policies, regulations, and standards.</t>
    </r>
  </si>
  <si>
    <r>
      <rPr>
        <sz val="11"/>
        <color rgb="FF000000"/>
        <rFont val="Calibri"/>
      </rPr>
      <t>Use of weak or untested encryption algorithms undermines the purposes of utilizing encryption to protect data. The SLES for vRealize must implement cryptographic modules adhering to the higher standards approved by the federal government since this provides assurance they have been tested and validated.</t>
    </r>
  </si>
  <si>
    <t>V-88695</t>
  </si>
  <si>
    <r>
      <rPr>
        <sz val="11"/>
        <rFont val="Calibri"/>
      </rPr>
      <t>The SLES for vRealize must protect the confidentiality and integrity of transmitted information.</t>
    </r>
  </si>
  <si>
    <r>
      <rPr>
        <sz val="11"/>
        <color rgb="FF000000"/>
        <rFont val="Calibri"/>
      </rPr>
      <t xml:space="preserve">Without protection of the transmitted information, confidentiality and integrity may be compromised because unprotected communications can be intercepted and either read or altered. </t>
    </r>
    <r>
      <rPr>
        <sz val="11"/>
        <color rgb="FF000000"/>
        <rFont val="Calibri"/>
      </rPr>
      <t xml:space="preserve">
</t>
    </r>
    <r>
      <rPr>
        <sz val="11"/>
        <color rgb="FF000000"/>
        <rFont val="Calibri"/>
      </rPr>
      <t xml:space="preserve">This requirement applies to both internal and external networks and all types of information system components from which information can be transmitted (e.g., servers, mobile devices, notebook computers, printers, copiers, scanners, and facsimile machines). Communication paths outside the physical protection of a controlled boundary are exposed to the possibility of interception and modification. </t>
    </r>
    <r>
      <rPr>
        <sz val="11"/>
        <color rgb="FF000000"/>
        <rFont val="Calibri"/>
      </rPr>
      <t xml:space="preserve">
</t>
    </r>
    <r>
      <rPr>
        <sz val="11"/>
        <color rgb="FF000000"/>
        <rFont val="Calibri"/>
      </rPr>
      <t>Protecting the confidentiality and integrity of organizational information can be accomplished by physical means (e.g., employing physical distribution systems) or by logical means (e.g., employing cryptographic techniques). If physical means of protection are employed, then logical means (cryptography) do not have to be employed, and vice versa.</t>
    </r>
  </si>
  <si>
    <t>V-88697</t>
  </si>
  <si>
    <r>
      <rPr>
        <sz val="11"/>
        <rFont val="Calibri"/>
      </rPr>
      <t>The SLES for vRealize must implement cryptographic mechanisms to prevent unauthorized disclosure of information and/or detect changes to information during transmission unless otherwise protected by alternative physical safeguards, such as, at a minimum, a Protected Distribution System (PDS).</t>
    </r>
  </si>
  <si>
    <r>
      <rPr>
        <sz val="11"/>
        <color rgb="FF000000"/>
        <rFont val="Calibri"/>
      </rPr>
      <t xml:space="preserve">Edit the SSH daemon configuration and remove any MACs other than "hmac-sha1". If necessary, add a "MACs" line. </t>
    </r>
    <r>
      <rPr>
        <sz val="11"/>
        <color rgb="FF000000"/>
        <rFont val="Calibri"/>
      </rPr>
      <t xml:space="preserve">
</t>
    </r>
    <r>
      <rPr>
        <sz val="11"/>
        <color rgb="FF000000"/>
        <rFont val="Calibri"/>
      </rPr>
      <t># sed -i "/^[^#]*MACs/ c\MACs hmac-sha1" /etc/ssh/sshd_config</t>
    </r>
  </si>
  <si>
    <r>
      <rPr>
        <sz val="11"/>
        <color rgb="FF000000"/>
        <rFont val="Calibri"/>
      </rPr>
      <t xml:space="preserve">Encrypting information for transmission protects information from unauthorized disclosure and modification. Cryptographic mechanisms implemented to protect information integrity include, for example, cryptographic hash functions that have common application in digital signatures, checksums, and message authentication codes. </t>
    </r>
    <r>
      <rPr>
        <sz val="11"/>
        <color rgb="FF000000"/>
        <rFont val="Calibri"/>
      </rPr>
      <t xml:space="preserve">
</t>
    </r>
    <r>
      <rPr>
        <sz val="11"/>
        <color rgb="FF000000"/>
        <rFont val="Calibri"/>
      </rPr>
      <t>Use of this requirement will be limited to situations where the data owner has a strict requirement for ensuring data integrity and confidentiality is maintained at every step of the data transfer and handling process. When transmitting data, operating systems need to leverage transmission protection mechanisms such as TLS, SSL VPNs, or IPsec.</t>
    </r>
    <r>
      <rPr>
        <sz val="11"/>
        <color rgb="FF000000"/>
        <rFont val="Calibri"/>
      </rPr>
      <t xml:space="preserve">
</t>
    </r>
    <r>
      <rPr>
        <sz val="11"/>
        <color rgb="FF000000"/>
        <rFont val="Calibri"/>
      </rPr>
      <t>Alternative physical protection measures include PDS. PDSs are used to transmit unencrypted classified National Security Information (NSI) through an area of lesser classification or control. Since the classified NSI is unencrypted, the PDS must provide adequate electrical, electromagnetic, and physical safeguards to deter exploitation.</t>
    </r>
  </si>
  <si>
    <t>V-88699</t>
  </si>
  <si>
    <r>
      <rPr>
        <sz val="11"/>
        <rFont val="Calibri"/>
      </rPr>
      <t>The SLES for vRealize must implement non-executable data to protect its memory from unauthorized code execution.</t>
    </r>
  </si>
  <si>
    <r>
      <rPr>
        <sz val="11"/>
        <color rgb="FF000000"/>
        <rFont val="Calibri"/>
      </rPr>
      <t>Edit the "/boot/grub/menu.lst" file and add "noexec=on" to the end of each kernel line entry. A system restart is required to implement this change.</t>
    </r>
  </si>
  <si>
    <r>
      <rPr>
        <sz val="11"/>
        <color rgb="FF000000"/>
        <rFont val="Calibri"/>
      </rPr>
      <t>Some adversaries launch attacks with the intent of executing code in non-executable regions of memory or in memory locations that are prohibited. Security safeguards employed to protect memory include, for example, data execution prevention and address space layout randomization. Data execution prevention safeguards can either be hardware-enforced or software-enforced with hardware providing the greater strength of mechanism.</t>
    </r>
    <r>
      <rPr>
        <sz val="11"/>
        <color rgb="FF000000"/>
        <rFont val="Calibri"/>
      </rPr>
      <t xml:space="preserve">
</t>
    </r>
    <r>
      <rPr>
        <sz val="11"/>
        <color rgb="FF000000"/>
        <rFont val="Calibri"/>
      </rPr>
      <t>Examples of attacks are buffer overflow attacks.</t>
    </r>
  </si>
  <si>
    <r>
      <rPr>
        <sz val="11"/>
        <color rgb="FF000000"/>
        <rFont val="Calibri"/>
      </rPr>
      <t>The stock kernel has support for non-executable program stacks compiled in by default. Verify that the option was specified when the kernel was built:</t>
    </r>
    <r>
      <rPr>
        <sz val="11"/>
        <color rgb="FF000000"/>
        <rFont val="Calibri"/>
      </rPr>
      <t xml:space="preserve">
</t>
    </r>
    <r>
      <rPr>
        <sz val="11"/>
        <color rgb="FF000000"/>
        <rFont val="Calibri"/>
      </rPr>
      <t># grep -i "execute" /var/log/boot.msg</t>
    </r>
    <r>
      <rPr>
        <sz val="11"/>
        <color rgb="FF000000"/>
        <rFont val="Calibri"/>
      </rPr>
      <t xml:space="preserve">
</t>
    </r>
    <r>
      <rPr>
        <sz val="11"/>
        <color rgb="FF000000"/>
        <rFont val="Calibri"/>
      </rPr>
      <t>The message: "NX (Execute Disable) protection: active" will be written in the boot log when compiled in the kernel. This is the default for x86_64.</t>
    </r>
    <r>
      <rPr>
        <sz val="11"/>
        <color rgb="FF000000"/>
        <rFont val="Calibri"/>
      </rPr>
      <t xml:space="preserve">
</t>
    </r>
    <r>
      <rPr>
        <sz val="11"/>
        <color rgb="FF000000"/>
        <rFont val="Calibri"/>
      </rPr>
      <t>To activate this support, the "noexec=on" kernel parameter must be specified at boot time. Check for a message with the following command:</t>
    </r>
    <r>
      <rPr>
        <sz val="11"/>
        <color rgb="FF000000"/>
        <rFont val="Calibri"/>
      </rPr>
      <t xml:space="preserve">
</t>
    </r>
    <r>
      <rPr>
        <sz val="11"/>
        <color rgb="FF000000"/>
        <rFont val="Calibri"/>
      </rPr>
      <t># grep –i "noexec" /var/log/boot.msg</t>
    </r>
    <r>
      <rPr>
        <sz val="11"/>
        <color rgb="FF000000"/>
        <rFont val="Calibri"/>
      </rPr>
      <t xml:space="preserve">
</t>
    </r>
    <r>
      <rPr>
        <sz val="11"/>
        <color rgb="FF000000"/>
        <rFont val="Calibri"/>
      </rPr>
      <t>The message: "Kernel command line: &lt;boot parameters&gt; noexec=on" will be written to the boot log when properly appended to the "/boot/grub/menu.lst" file.</t>
    </r>
    <r>
      <rPr>
        <sz val="11"/>
        <color rgb="FF000000"/>
        <rFont val="Calibri"/>
      </rPr>
      <t xml:space="preserve">
</t>
    </r>
    <r>
      <rPr>
        <sz val="11"/>
        <color rgb="FF000000"/>
        <rFont val="Calibri"/>
      </rPr>
      <t>If non-executable program stacks have not been configured, this is a finding.</t>
    </r>
  </si>
  <si>
    <t>V-88701</t>
  </si>
  <si>
    <r>
      <rPr>
        <sz val="11"/>
        <rFont val="Calibri"/>
      </rPr>
      <t>The SLES for vRealize must implement address space layout randomization to protect its memory from unauthorized code execution.</t>
    </r>
  </si>
  <si>
    <r>
      <rPr>
        <sz val="11"/>
        <color rgb="FF000000"/>
        <rFont val="Calibri"/>
      </rPr>
      <t>Run the following command:</t>
    </r>
    <r>
      <rPr>
        <sz val="11"/>
        <color rgb="FF000000"/>
        <rFont val="Calibri"/>
      </rPr>
      <t xml:space="preserve">
</t>
    </r>
    <r>
      <rPr>
        <sz val="11"/>
        <color rgb="FF000000"/>
        <rFont val="Calibri"/>
      </rPr>
      <t>#sysctl kernel.randomize_va_space=1</t>
    </r>
  </si>
  <si>
    <r>
      <rPr>
        <sz val="11"/>
        <color rgb="FF000000"/>
        <rFont val="Calibri"/>
      </rPr>
      <t>Verify "randomize_va_space" has not been changed from the default "1" setting.</t>
    </r>
    <r>
      <rPr>
        <sz val="11"/>
        <color rgb="FF000000"/>
        <rFont val="Calibri"/>
      </rPr>
      <t xml:space="preserve">
</t>
    </r>
    <r>
      <rPr>
        <sz val="11"/>
        <color rgb="FF000000"/>
        <rFont val="Calibri"/>
      </rPr>
      <t># sysctl kernel.randomize_va_space</t>
    </r>
    <r>
      <rPr>
        <sz val="11"/>
        <color rgb="FF000000"/>
        <rFont val="Calibri"/>
      </rPr>
      <t xml:space="preserve">
</t>
    </r>
    <r>
      <rPr>
        <sz val="11"/>
        <color rgb="FF000000"/>
        <rFont val="Calibri"/>
      </rPr>
      <t>If the return value is not "kernel.randomize_va_space = 1", this is a finding.</t>
    </r>
  </si>
  <si>
    <t>V-88703</t>
  </si>
  <si>
    <r>
      <rPr>
        <sz val="11"/>
        <rFont val="Calibri"/>
      </rPr>
      <t>The SLES for vRealize must shut down the information system, restart the information system, and/or notify the system administrator when anomalies in the operation of any security functions are discovered.</t>
    </r>
  </si>
  <si>
    <r>
      <rPr>
        <sz val="11"/>
        <color rgb="FF000000"/>
        <rFont val="Calibri"/>
      </rPr>
      <t xml:space="preserve">If anomalies are not acted upon, security functions may fail to secure the system. </t>
    </r>
    <r>
      <rPr>
        <sz val="11"/>
        <color rgb="FF000000"/>
        <rFont val="Calibri"/>
      </rPr>
      <t xml:space="preserve">
</t>
    </r>
    <r>
      <rPr>
        <sz val="11"/>
        <color rgb="FF000000"/>
        <rFont val="Calibri"/>
      </rPr>
      <t>Security function is defined as the hardware, software, and/or firmware of the information system responsible for enforcing the system security policy and supporting the isolation of code and data on which the protection is based. Security functionality includes, but is not limited to, establishing system accounts, configuring access authorizations (i.e., permissions, privileges), setting events to be audited, and setting intrusion detection parameters.</t>
    </r>
    <r>
      <rPr>
        <sz val="11"/>
        <color rgb="FF000000"/>
        <rFont val="Calibri"/>
      </rPr>
      <t xml:space="preserve">
</t>
    </r>
    <r>
      <rPr>
        <sz val="11"/>
        <color rgb="FF000000"/>
        <rFont val="Calibri"/>
      </rPr>
      <t>Notifications provided by information systems include messages to local computer consoles, and/or hardware indications, such as lights.</t>
    </r>
    <r>
      <rPr>
        <sz val="11"/>
        <color rgb="FF000000"/>
        <rFont val="Calibri"/>
      </rPr>
      <t xml:space="preserve">
</t>
    </r>
    <r>
      <rPr>
        <sz val="11"/>
        <color rgb="FF000000"/>
        <rFont val="Calibri"/>
      </rPr>
      <t>This capability must take into account operational requirements for availability for selecting an appropriate response. The organization may choose to shut down or restart the information system upon security function anomaly detection.</t>
    </r>
  </si>
  <si>
    <t>V-88705</t>
  </si>
  <si>
    <r>
      <rPr>
        <sz val="11"/>
        <rFont val="Calibri"/>
      </rPr>
      <t>The SLES for vRealize must generate audit records when successful/unsuccessful attempts to access security objects occur.</t>
    </r>
  </si>
  <si>
    <r>
      <rPr>
        <sz val="11"/>
        <color rgb="FF000000"/>
        <rFont val="Calibri"/>
      </rPr>
      <t xml:space="preserve">At a minimum, the audit system should collect administrator actions for all users and "root". Add the following to the "/etc/audit/audit.rules" file: </t>
    </r>
    <r>
      <rPr>
        <sz val="11"/>
        <color rgb="FF000000"/>
        <rFont val="Calibri"/>
      </rPr>
      <t xml:space="preserve">
</t>
    </r>
    <r>
      <rPr>
        <sz val="11"/>
        <color rgb="FF000000"/>
        <rFont val="Calibri"/>
      </rPr>
      <t>-w /etc/sudoers -p wa -k sudoers</t>
    </r>
    <r>
      <rPr>
        <sz val="11"/>
        <color rgb="FF000000"/>
        <rFont val="Calibri"/>
      </rPr>
      <t xml:space="preserve">
</t>
    </r>
    <r>
      <rPr>
        <sz val="11"/>
        <color rgb="FF000000"/>
        <rFont val="Calibri"/>
      </rPr>
      <t>OR</t>
    </r>
    <r>
      <rPr>
        <sz val="11"/>
        <color rgb="FF000000"/>
        <rFont val="Calibri"/>
      </rPr>
      <t xml:space="preserve">
</t>
    </r>
    <r>
      <rPr>
        <sz val="11"/>
        <color rgb="FF000000"/>
        <rFont val="Calibri"/>
      </rPr>
      <t># /etc/dodscript.sh</t>
    </r>
  </si>
  <si>
    <r>
      <rPr>
        <sz val="11"/>
        <color rgb="FF000000"/>
        <rFont val="Calibri"/>
      </rPr>
      <t xml:space="preserve">To verify that auditing is configured for system administrator actions, run the following command: </t>
    </r>
    <r>
      <rPr>
        <sz val="11"/>
        <color rgb="FF000000"/>
        <rFont val="Calibri"/>
      </rPr>
      <t xml:space="preserve">
</t>
    </r>
    <r>
      <rPr>
        <sz val="11"/>
        <color rgb="FF000000"/>
        <rFont val="Calibri"/>
      </rPr>
      <t># auditctl -l | grep "watch=/etc/sudoers"</t>
    </r>
    <r>
      <rPr>
        <sz val="11"/>
        <color rgb="FF000000"/>
        <rFont val="Calibri"/>
      </rPr>
      <t xml:space="preserve">
</t>
    </r>
    <r>
      <rPr>
        <sz val="11"/>
        <color rgb="FF000000"/>
        <rFont val="Calibri"/>
      </rPr>
      <t xml:space="preserve">The result should return a rule for sudoers, such as: </t>
    </r>
    <r>
      <rPr>
        <sz val="11"/>
        <color rgb="FF000000"/>
        <rFont val="Calibri"/>
      </rPr>
      <t xml:space="preserve">
</t>
    </r>
    <r>
      <rPr>
        <sz val="11"/>
        <color rgb="FF000000"/>
        <rFont val="Calibri"/>
      </rPr>
      <t>LIST_RULES: exit,always watch=/etc/sudoers perm=wa key=sudoers</t>
    </r>
    <r>
      <rPr>
        <sz val="11"/>
        <color rgb="FF000000"/>
        <rFont val="Calibri"/>
      </rPr>
      <t xml:space="preserve">
</t>
    </r>
    <r>
      <rPr>
        <sz val="11"/>
        <color rgb="FF000000"/>
        <rFont val="Calibri"/>
      </rPr>
      <t>If there is no output, this is a finding.</t>
    </r>
  </si>
  <si>
    <t>V-88707</t>
  </si>
  <si>
    <r>
      <rPr>
        <sz val="11"/>
        <rFont val="Calibri"/>
      </rPr>
      <t>The SLES for vRealize must generate audit records when successful/unsuccessful attempts to access categories of information (e.g., classification levels) occur.</t>
    </r>
  </si>
  <si>
    <r>
      <rPr>
        <sz val="11"/>
        <color rgb="FF000000"/>
        <rFont val="Calibri"/>
      </rPr>
      <t>Verify the SLES for vRealize produces audit records by running the following command to determine the current status of the "auditd" service:</t>
    </r>
    <r>
      <rPr>
        <sz val="11"/>
        <color rgb="FF000000"/>
        <rFont val="Calibri"/>
      </rPr>
      <t xml:space="preserve">
</t>
    </r>
    <r>
      <rPr>
        <sz val="11"/>
        <color rgb="FF000000"/>
        <rFont val="Calibri"/>
      </rPr>
      <t># service auditd status</t>
    </r>
    <r>
      <rPr>
        <sz val="11"/>
        <color rgb="FF000000"/>
        <rFont val="Calibri"/>
      </rPr>
      <t xml:space="preserve">
</t>
    </r>
    <r>
      <rPr>
        <sz val="11"/>
        <color rgb="FF000000"/>
        <rFont val="Calibri"/>
      </rPr>
      <t>If the service is enabled, the returned message must contain the following text:</t>
    </r>
    <r>
      <rPr>
        <sz val="11"/>
        <color rgb="FF000000"/>
        <rFont val="Calibri"/>
      </rPr>
      <t xml:space="preserve">
</t>
    </r>
    <r>
      <rPr>
        <sz val="11"/>
        <color rgb="FF000000"/>
        <rFont val="Calibri"/>
      </rPr>
      <t>Checking for service auditd                running</t>
    </r>
    <r>
      <rPr>
        <sz val="11"/>
        <color rgb="FF000000"/>
        <rFont val="Calibri"/>
      </rPr>
      <t xml:space="preserve">
</t>
    </r>
    <r>
      <rPr>
        <sz val="11"/>
        <color rgb="FF000000"/>
        <rFont val="Calibri"/>
      </rPr>
      <t>If the service is not running, this is a finding.</t>
    </r>
  </si>
  <si>
    <t>V-88709</t>
  </si>
  <si>
    <r>
      <rPr>
        <sz val="11"/>
        <rFont val="Calibri"/>
      </rPr>
      <t>The SLES for vRealize must generate audit records when successful/unsuccessful attempts to modify privileges occur.</t>
    </r>
  </si>
  <si>
    <r>
      <rPr>
        <sz val="11"/>
        <color rgb="FF000000"/>
        <rFont val="Calibri"/>
      </rPr>
      <t xml:space="preserve">At a minimum, the audit system should collect file permission changes for all users and "root". Add the following to the "/etc/audit/audit.rules" file: </t>
    </r>
    <r>
      <rPr>
        <sz val="11"/>
        <color rgb="FF000000"/>
        <rFont val="Calibri"/>
      </rPr>
      <t xml:space="preserve">
</t>
    </r>
    <r>
      <rPr>
        <sz val="11"/>
        <color rgb="FF000000"/>
        <rFont val="Calibri"/>
      </rPr>
      <t>-a always,exit -F arch=b64 -S chmod -F auid=0</t>
    </r>
    <r>
      <rPr>
        <sz val="11"/>
        <color rgb="FF000000"/>
        <rFont val="Calibri"/>
      </rPr>
      <t xml:space="preserve">
</t>
    </r>
    <r>
      <rPr>
        <sz val="11"/>
        <color rgb="FF000000"/>
        <rFont val="Calibri"/>
      </rPr>
      <t>-a always,exit -F arch=b64 -S chmod -F auid&gt;=500 -F auid!=4294967295</t>
    </r>
    <r>
      <rPr>
        <sz val="11"/>
        <color rgb="FF000000"/>
        <rFont val="Calibri"/>
      </rPr>
      <t xml:space="preserve">
</t>
    </r>
    <r>
      <rPr>
        <sz val="11"/>
        <color rgb="FF000000"/>
        <rFont val="Calibri"/>
      </rPr>
      <t>-a always,exit -F arch=b32 -S chmod</t>
    </r>
    <r>
      <rPr>
        <sz val="11"/>
        <color rgb="FF000000"/>
        <rFont val="Calibri"/>
      </rPr>
      <t xml:space="preserve">
</t>
    </r>
    <r>
      <rPr>
        <sz val="11"/>
        <color rgb="FF000000"/>
        <rFont val="Calibri"/>
      </rPr>
      <t>OR</t>
    </r>
    <r>
      <rPr>
        <sz val="11"/>
        <color rgb="FF000000"/>
        <rFont val="Calibri"/>
      </rPr>
      <t xml:space="preserve">
</t>
    </r>
    <r>
      <rPr>
        <sz val="11"/>
        <color rgb="FF000000"/>
        <rFont val="Calibri"/>
      </rPr>
      <t># /etc/dodscript.sh</t>
    </r>
  </si>
  <si>
    <r>
      <rPr>
        <sz val="11"/>
        <color rgb="FF000000"/>
        <rFont val="Calibri"/>
      </rPr>
      <t xml:space="preserve">To determine if SLES for vRealize is configured to audit calls to the "chmod" system call, run the following command: </t>
    </r>
    <r>
      <rPr>
        <sz val="11"/>
        <color rgb="FF000000"/>
        <rFont val="Calibri"/>
      </rPr>
      <t xml:space="preserve">
</t>
    </r>
    <r>
      <rPr>
        <sz val="11"/>
        <color rgb="FF000000"/>
        <rFont val="Calibri"/>
      </rPr>
      <t># auditctl -l | grep syscall | grep chmod</t>
    </r>
    <r>
      <rPr>
        <sz val="11"/>
        <color rgb="FF000000"/>
        <rFont val="Calibri"/>
      </rPr>
      <t xml:space="preserve">
</t>
    </r>
    <r>
      <rPr>
        <sz val="11"/>
        <color rgb="FF000000"/>
        <rFont val="Calibri"/>
      </rPr>
      <t xml:space="preserve">If the system is configured to audit this activity, it will return several lines, such as: </t>
    </r>
    <r>
      <rPr>
        <sz val="11"/>
        <color rgb="FF000000"/>
        <rFont val="Calibri"/>
      </rPr>
      <t xml:space="preserve">
</t>
    </r>
    <r>
      <rPr>
        <sz val="11"/>
        <color rgb="FF000000"/>
        <rFont val="Calibri"/>
      </rPr>
      <t>LIST_RULES: exit,always arch=3221225534 (0xc000003e) auid=0 syscall=chmod,fchmod,chown,fchown,fchownat,fchmodat</t>
    </r>
    <r>
      <rPr>
        <sz val="11"/>
        <color rgb="FF000000"/>
        <rFont val="Calibri"/>
      </rPr>
      <t xml:space="preserve">
</t>
    </r>
    <r>
      <rPr>
        <sz val="11"/>
        <color rgb="FF000000"/>
        <rFont val="Calibri"/>
      </rPr>
      <t>LIST_RULES: exit,always arch=3221225534 (0xc000003e) auid&gt;=500 (0x1f4) auid!=-1 (0xffffffff) syscall=chmod,fchmod,chown,fchown,fchownat,fchmodat</t>
    </r>
    <r>
      <rPr>
        <sz val="11"/>
        <color rgb="FF000000"/>
        <rFont val="Calibri"/>
      </rPr>
      <t xml:space="preserve">
</t>
    </r>
    <r>
      <rPr>
        <sz val="11"/>
        <color rgb="FF000000"/>
        <rFont val="Calibri"/>
      </rPr>
      <t>LIST_RULES: exit,always arch=1073741827 (0x40000003) syscall=chmod,lchown,sethostname,fchmod,fchown,adjtimex,init_module,delete_module,chown,lchown32,fchown32,chown32,setxattr,lsetxattr,fsetxattr,removexattr,lremovexattr,fremovexattr,clock_settime,fchownat,fchmodat</t>
    </r>
    <r>
      <rPr>
        <sz val="11"/>
        <color rgb="FF000000"/>
        <rFont val="Calibri"/>
      </rPr>
      <t xml:space="preserve">
</t>
    </r>
    <r>
      <rPr>
        <sz val="11"/>
        <color rgb="FF000000"/>
        <rFont val="Calibri"/>
      </rPr>
      <t>If no lines are returned, this is a finding.</t>
    </r>
  </si>
  <si>
    <t>V-88711</t>
  </si>
  <si>
    <r>
      <rPr>
        <sz val="11"/>
        <rFont val="Calibri"/>
      </rPr>
      <t>The SLES for vRealize must generate audit records when successful/unsuccessful attempts to modify security objects occur.</t>
    </r>
  </si>
  <si>
    <r>
      <rPr>
        <sz val="11"/>
        <color rgb="FF000000"/>
        <rFont val="Calibri"/>
      </rPr>
      <t xml:space="preserve">At a minimum, the audit system should collect administrator actions for all users and root. Add the following to the "/etc/audit/audit.rules" file: </t>
    </r>
    <r>
      <rPr>
        <sz val="11"/>
        <color rgb="FF000000"/>
        <rFont val="Calibri"/>
      </rPr>
      <t xml:space="preserve">
</t>
    </r>
    <r>
      <rPr>
        <sz val="11"/>
        <color rgb="FF000000"/>
        <rFont val="Calibri"/>
      </rPr>
      <t>-w /etc/sudoers -p wa -k sudoers</t>
    </r>
    <r>
      <rPr>
        <sz val="11"/>
        <color rgb="FF000000"/>
        <rFont val="Calibri"/>
      </rPr>
      <t xml:space="preserve">
</t>
    </r>
    <r>
      <rPr>
        <sz val="11"/>
        <color rgb="FF000000"/>
        <rFont val="Calibri"/>
      </rPr>
      <t>OR</t>
    </r>
    <r>
      <rPr>
        <sz val="11"/>
        <color rgb="FF000000"/>
        <rFont val="Calibri"/>
      </rPr>
      <t xml:space="preserve">
</t>
    </r>
    <r>
      <rPr>
        <sz val="11"/>
        <color rgb="FF000000"/>
        <rFont val="Calibri"/>
      </rPr>
      <t># /etc/dodscript.sh</t>
    </r>
  </si>
  <si>
    <t>V-88713</t>
  </si>
  <si>
    <r>
      <rPr>
        <sz val="11"/>
        <rFont val="Calibri"/>
      </rPr>
      <t>The SLES for vRealize must generate audit records when successful/unsuccessful attempts to modify categories of information (e.g., classification levels) occur.</t>
    </r>
  </si>
  <si>
    <t>V-88715</t>
  </si>
  <si>
    <r>
      <rPr>
        <sz val="11"/>
        <rFont val="Calibri"/>
      </rPr>
      <t>The SLES for vRealize must generate audit records when successful/unsuccessful attempts to delete privileges occur.</t>
    </r>
  </si>
  <si>
    <r>
      <rPr>
        <sz val="11"/>
        <color rgb="FF000000"/>
        <rFont val="Calibri"/>
      </rPr>
      <t xml:space="preserve">At a minimum, the SLES for vRealize audit system should collect file permission changes for all users and root. Add the following to the "/etc/audit/audit.rules" file: </t>
    </r>
    <r>
      <rPr>
        <sz val="11"/>
        <color rgb="FF000000"/>
        <rFont val="Calibri"/>
      </rPr>
      <t xml:space="preserve">
</t>
    </r>
    <r>
      <rPr>
        <sz val="11"/>
        <color rgb="FF000000"/>
        <rFont val="Calibri"/>
      </rPr>
      <t>-a always,exit -F arch=b64 -S chmod -F auid=0</t>
    </r>
    <r>
      <rPr>
        <sz val="11"/>
        <color rgb="FF000000"/>
        <rFont val="Calibri"/>
      </rPr>
      <t xml:space="preserve">
</t>
    </r>
    <r>
      <rPr>
        <sz val="11"/>
        <color rgb="FF000000"/>
        <rFont val="Calibri"/>
      </rPr>
      <t>-a always,exit -F arch=b64 -S chmod -F auid&gt;=500 -F auid!=4294967295</t>
    </r>
    <r>
      <rPr>
        <sz val="11"/>
        <color rgb="FF000000"/>
        <rFont val="Calibri"/>
      </rPr>
      <t xml:space="preserve">
</t>
    </r>
    <r>
      <rPr>
        <sz val="11"/>
        <color rgb="FF000000"/>
        <rFont val="Calibri"/>
      </rPr>
      <t>-a always,exit -F arch=b32 -S chmod</t>
    </r>
    <r>
      <rPr>
        <sz val="11"/>
        <color rgb="FF000000"/>
        <rFont val="Calibri"/>
      </rPr>
      <t xml:space="preserve">
</t>
    </r>
    <r>
      <rPr>
        <sz val="11"/>
        <color rgb="FF000000"/>
        <rFont val="Calibri"/>
      </rPr>
      <t>OR</t>
    </r>
    <r>
      <rPr>
        <sz val="11"/>
        <color rgb="FF000000"/>
        <rFont val="Calibri"/>
      </rPr>
      <t xml:space="preserve">
</t>
    </r>
    <r>
      <rPr>
        <sz val="11"/>
        <color rgb="FF000000"/>
        <rFont val="Calibri"/>
      </rPr>
      <t># /etc/dodscript.sh</t>
    </r>
  </si>
  <si>
    <t>V-88717</t>
  </si>
  <si>
    <r>
      <rPr>
        <sz val="11"/>
        <rFont val="Calibri"/>
      </rPr>
      <t>The SLES for vRealize must generate audit records when successful/unsuccessful attempts to delete security levels occur.</t>
    </r>
  </si>
  <si>
    <r>
      <rPr>
        <sz val="11"/>
        <color rgb="FF000000"/>
        <rFont val="Calibri"/>
      </rPr>
      <t>Verify the SLES for vRealize produces audit records by running the following command to determine the current status of the "auditd" service:</t>
    </r>
    <r>
      <rPr>
        <sz val="11"/>
        <color rgb="FF000000"/>
        <rFont val="Calibri"/>
      </rPr>
      <t xml:space="preserve">
</t>
    </r>
    <r>
      <rPr>
        <sz val="11"/>
        <color rgb="FF000000"/>
        <rFont val="Calibri"/>
      </rPr>
      <t># service auditd status</t>
    </r>
    <r>
      <rPr>
        <sz val="11"/>
        <color rgb="FF000000"/>
        <rFont val="Calibri"/>
      </rPr>
      <t xml:space="preserve">
</t>
    </r>
    <r>
      <rPr>
        <sz val="11"/>
        <color rgb="FF000000"/>
        <rFont val="Calibri"/>
      </rPr>
      <t>If the service is enabled, the returned message must contain the following text:</t>
    </r>
    <r>
      <rPr>
        <sz val="11"/>
        <color rgb="FF000000"/>
        <rFont val="Calibri"/>
      </rPr>
      <t xml:space="preserve">
</t>
    </r>
    <r>
      <rPr>
        <sz val="11"/>
        <color rgb="FF000000"/>
        <rFont val="Calibri"/>
      </rPr>
      <t>Checking for service   auditd   running</t>
    </r>
    <r>
      <rPr>
        <sz val="11"/>
        <color rgb="FF000000"/>
        <rFont val="Calibri"/>
      </rPr>
      <t xml:space="preserve">
</t>
    </r>
    <r>
      <rPr>
        <sz val="11"/>
        <color rgb="FF000000"/>
        <rFont val="Calibri"/>
      </rPr>
      <t>If the service is not running, this is a finding.</t>
    </r>
  </si>
  <si>
    <t>V-88719</t>
  </si>
  <si>
    <r>
      <rPr>
        <sz val="11"/>
        <rFont val="Calibri"/>
      </rPr>
      <t>The SLES for vRealize must generate audit records when successful/unsuccessful attempts to delete security objects occur.</t>
    </r>
  </si>
  <si>
    <r>
      <rPr>
        <sz val="11"/>
        <color rgb="FF000000"/>
        <rFont val="Calibri"/>
      </rPr>
      <t xml:space="preserve">At a minimum, the SLES for vRealize audit system should collect administrator actions for all users and root. Add the following to the "/etc/audit/audit.rules" file: </t>
    </r>
    <r>
      <rPr>
        <sz val="11"/>
        <color rgb="FF000000"/>
        <rFont val="Calibri"/>
      </rPr>
      <t xml:space="preserve">
</t>
    </r>
    <r>
      <rPr>
        <sz val="11"/>
        <color rgb="FF000000"/>
        <rFont val="Calibri"/>
      </rPr>
      <t>-w /etc/sudoers -p wa -k sudoers</t>
    </r>
    <r>
      <rPr>
        <sz val="11"/>
        <color rgb="FF000000"/>
        <rFont val="Calibri"/>
      </rPr>
      <t xml:space="preserve">
</t>
    </r>
    <r>
      <rPr>
        <sz val="11"/>
        <color rgb="FF000000"/>
        <rFont val="Calibri"/>
      </rPr>
      <t>OR</t>
    </r>
    <r>
      <rPr>
        <sz val="11"/>
        <color rgb="FF000000"/>
        <rFont val="Calibri"/>
      </rPr>
      <t xml:space="preserve">
</t>
    </r>
    <r>
      <rPr>
        <sz val="11"/>
        <color rgb="FF000000"/>
        <rFont val="Calibri"/>
      </rPr>
      <t># /etc/dodscript.sh</t>
    </r>
  </si>
  <si>
    <t>V-88721</t>
  </si>
  <si>
    <r>
      <rPr>
        <sz val="11"/>
        <rFont val="Calibri"/>
      </rPr>
      <t>The SLES for vRealize must generate audit records when successful/unsuccessful logon attempts occur.</t>
    </r>
  </si>
  <si>
    <r>
      <rPr>
        <sz val="11"/>
        <color rgb="FF000000"/>
        <rFont val="Calibri"/>
      </rPr>
      <t>Ensure the auditing of logins by modifying the "/etc/audit/audit.rules" file to contain:</t>
    </r>
    <r>
      <rPr>
        <sz val="11"/>
        <color rgb="FF000000"/>
        <rFont val="Calibri"/>
      </rPr>
      <t xml:space="preserve">
</t>
    </r>
    <r>
      <rPr>
        <sz val="11"/>
        <color rgb="FF000000"/>
        <rFont val="Calibri"/>
      </rPr>
      <t>-w /var/log/faillog -p wa</t>
    </r>
    <r>
      <rPr>
        <sz val="11"/>
        <color rgb="FF000000"/>
        <rFont val="Calibri"/>
      </rPr>
      <t xml:space="preserve">
</t>
    </r>
    <r>
      <rPr>
        <sz val="11"/>
        <color rgb="FF000000"/>
        <rFont val="Calibri"/>
      </rPr>
      <t>-w /var/log/lastlog -p wa</t>
    </r>
    <r>
      <rPr>
        <sz val="11"/>
        <color rgb="FF000000"/>
        <rFont val="Calibri"/>
      </rPr>
      <t xml:space="preserve">
</t>
    </r>
    <r>
      <rPr>
        <sz val="11"/>
        <color rgb="FF000000"/>
        <rFont val="Calibri"/>
      </rPr>
      <t>-w /var/log/tallylog -p wa</t>
    </r>
    <r>
      <rPr>
        <sz val="11"/>
        <color rgb="FF000000"/>
        <rFont val="Calibri"/>
      </rPr>
      <t xml:space="preserve">
</t>
    </r>
    <r>
      <rPr>
        <sz val="11"/>
        <color rgb="FF000000"/>
        <rFont val="Calibri"/>
      </rPr>
      <t>OR</t>
    </r>
    <r>
      <rPr>
        <sz val="11"/>
        <color rgb="FF000000"/>
        <rFont val="Calibri"/>
      </rPr>
      <t xml:space="preserve">
</t>
    </r>
    <r>
      <rPr>
        <sz val="11"/>
        <color rgb="FF000000"/>
        <rFont val="Calibri"/>
      </rPr>
      <t># /etc/dodscript.sh</t>
    </r>
  </si>
  <si>
    <r>
      <rPr>
        <sz val="11"/>
        <color rgb="FF000000"/>
        <rFont val="Calibri"/>
      </rPr>
      <t>The message types that are always recorded to the "/var/log/audit/audit.log" file include "LOGIN", "USER_LOGIN", "USER_START", "USER_END" among others and do not need to be added to audit.rules.</t>
    </r>
    <r>
      <rPr>
        <sz val="11"/>
        <color rgb="FF000000"/>
        <rFont val="Calibri"/>
      </rPr>
      <t xml:space="preserve">
</t>
    </r>
    <r>
      <rPr>
        <sz val="11"/>
        <color rgb="FF000000"/>
        <rFont val="Calibri"/>
      </rPr>
      <t>The log files "/var/log/faillog", "/var/log/lastlog", and "/var/log/tallylog" must be protected from tampering of the login records:</t>
    </r>
    <r>
      <rPr>
        <sz val="11"/>
        <color rgb="FF000000"/>
        <rFont val="Calibri"/>
      </rPr>
      <t xml:space="preserve">
</t>
    </r>
    <r>
      <rPr>
        <sz val="11"/>
        <color rgb="FF000000"/>
        <rFont val="Calibri"/>
      </rPr>
      <t># egrep "faillog|lastlog|tallylog" /etc/audit/audit.rules</t>
    </r>
    <r>
      <rPr>
        <sz val="11"/>
        <color rgb="FF000000"/>
        <rFont val="Calibri"/>
      </rPr>
      <t xml:space="preserve">
</t>
    </r>
    <r>
      <rPr>
        <sz val="11"/>
        <color rgb="FF000000"/>
        <rFont val="Calibri"/>
      </rPr>
      <t>If "/var/log/faillog", "/var/log/lastlog", and "/var/log/tallylog" entries do not exist, this is a finding.</t>
    </r>
  </si>
  <si>
    <t>V-88723</t>
  </si>
  <si>
    <r>
      <rPr>
        <sz val="11"/>
        <rFont val="Calibri"/>
      </rPr>
      <t>The SLES for vRealize must generate audit records for privileged activities or other system-level access.</t>
    </r>
  </si>
  <si>
    <r>
      <rPr>
        <sz val="11"/>
        <color rgb="FF000000"/>
        <rFont val="Calibri"/>
      </rPr>
      <t xml:space="preserve">At a minimum, the SLES for vRealize audit system should collect the execution of privileged commands for all users and "root". To find the relevant setuid programs: </t>
    </r>
    <r>
      <rPr>
        <sz val="11"/>
        <color rgb="FF000000"/>
        <rFont val="Calibri"/>
      </rPr>
      <t xml:space="preserve">
</t>
    </r>
    <r>
      <rPr>
        <sz val="11"/>
        <color rgb="FF000000"/>
        <rFont val="Calibri"/>
      </rPr>
      <t># find / -xdev -type f -perm -4000 -o -perm -2000 2&gt;/dev/null</t>
    </r>
    <r>
      <rPr>
        <sz val="11"/>
        <color rgb="FF000000"/>
        <rFont val="Calibri"/>
      </rPr>
      <t xml:space="preserve">
</t>
    </r>
    <r>
      <rPr>
        <sz val="11"/>
        <color rgb="FF000000"/>
        <rFont val="Calibri"/>
      </rPr>
      <t xml:space="preserve">Then, for each setuid program on the system, add a line of the following form to "/etc/audit/audit.rules", where [SETUID_PROG_PATH] is the full path to each setuid program in the list: </t>
    </r>
    <r>
      <rPr>
        <sz val="11"/>
        <color rgb="FF000000"/>
        <rFont val="Calibri"/>
      </rPr>
      <t xml:space="preserve">
</t>
    </r>
    <r>
      <rPr>
        <sz val="11"/>
        <color rgb="FF000000"/>
        <rFont val="Calibri"/>
      </rPr>
      <t>-a always,exit -F path=[SETUID_PROG_PATH] -F perm=x -F auid&gt;=500 -k privileged</t>
    </r>
    <r>
      <rPr>
        <sz val="11"/>
        <color rgb="FF000000"/>
        <rFont val="Calibri"/>
      </rPr>
      <t xml:space="preserve">
</t>
    </r>
    <r>
      <rPr>
        <sz val="11"/>
        <color rgb="FF000000"/>
        <rFont val="Calibri"/>
      </rPr>
      <t>OR</t>
    </r>
    <r>
      <rPr>
        <sz val="11"/>
        <color rgb="FF000000"/>
        <rFont val="Calibri"/>
      </rPr>
      <t xml:space="preserve">
</t>
    </r>
    <r>
      <rPr>
        <sz val="11"/>
        <color rgb="FF000000"/>
        <rFont val="Calibri"/>
      </rPr>
      <t># /etc/dodscript.sh</t>
    </r>
  </si>
  <si>
    <t>V-88725</t>
  </si>
  <si>
    <r>
      <rPr>
        <sz val="11"/>
        <rFont val="Calibri"/>
      </rPr>
      <t>The SLES for vRealize audit system must be configured to audit the loading and unloading of dynamic kernel modules.</t>
    </r>
  </si>
  <si>
    <r>
      <rPr>
        <sz val="11"/>
        <color rgb="FF000000"/>
        <rFont val="Calibri"/>
      </rPr>
      <t>Add the following to the "/etc/audit/audit.rules" file in order to capture kernel module loading and unloading events:</t>
    </r>
    <r>
      <rPr>
        <sz val="11"/>
        <color rgb="FF000000"/>
        <rFont val="Calibri"/>
      </rPr>
      <t xml:space="preserve">
</t>
    </r>
    <r>
      <rPr>
        <sz val="11"/>
        <color rgb="FF000000"/>
        <rFont val="Calibri"/>
      </rPr>
      <t>-w /sbin/insmod -p x</t>
    </r>
    <r>
      <rPr>
        <sz val="11"/>
        <color rgb="FF000000"/>
        <rFont val="Calibri"/>
      </rPr>
      <t xml:space="preserve">
</t>
    </r>
    <r>
      <rPr>
        <sz val="11"/>
        <color rgb="FF000000"/>
        <rFont val="Calibri"/>
      </rPr>
      <t>OR</t>
    </r>
    <r>
      <rPr>
        <sz val="11"/>
        <color rgb="FF000000"/>
        <rFont val="Calibri"/>
      </rPr>
      <t xml:space="preserve">
</t>
    </r>
    <r>
      <rPr>
        <sz val="11"/>
        <color rgb="FF000000"/>
        <rFont val="Calibri"/>
      </rPr>
      <t># /etc/dodscript.sh</t>
    </r>
  </si>
  <si>
    <r>
      <rPr>
        <sz val="11"/>
        <color rgb="FF000000"/>
        <rFont val="Calibri"/>
      </rPr>
      <t xml:space="preserve">Without generating audit records that are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Audit records can be generated from various components within the information system (e.g., module or policy filter).</t>
    </r>
  </si>
  <si>
    <r>
      <rPr>
        <sz val="11"/>
        <color rgb="FF000000"/>
        <rFont val="Calibri"/>
      </rPr>
      <t>Determine if "/sbin/insmod" is audited:</t>
    </r>
    <r>
      <rPr>
        <sz val="11"/>
        <color rgb="FF000000"/>
        <rFont val="Calibri"/>
      </rPr>
      <t xml:space="preserve">
</t>
    </r>
    <r>
      <rPr>
        <sz val="11"/>
        <color rgb="FF000000"/>
        <rFont val="Calibri"/>
      </rPr>
      <t># cat /etc/audit/audit.rules | grep "/sbin/insmod"</t>
    </r>
    <r>
      <rPr>
        <sz val="11"/>
        <color rgb="FF000000"/>
        <rFont val="Calibri"/>
      </rPr>
      <t xml:space="preserve">
</t>
    </r>
    <r>
      <rPr>
        <sz val="11"/>
        <color rgb="FF000000"/>
        <rFont val="Calibri"/>
      </rPr>
      <t>If the result does not start with "-w" and contain "-p x", this is a finding.</t>
    </r>
  </si>
  <si>
    <t>V-88727</t>
  </si>
  <si>
    <r>
      <rPr>
        <sz val="11"/>
        <rFont val="Calibri"/>
      </rPr>
      <t>The SLES for vRealize must generate audit records showing starting and ending time for user access to the system.</t>
    </r>
  </si>
  <si>
    <t>V-88729</t>
  </si>
  <si>
    <r>
      <rPr>
        <sz val="11"/>
        <rFont val="Calibri"/>
      </rPr>
      <t>The SLES for vRealize must generate audit records when concurrent logons to the same account occur from different sources.</t>
    </r>
  </si>
  <si>
    <t>V-88731</t>
  </si>
  <si>
    <r>
      <rPr>
        <sz val="11"/>
        <rFont val="Calibri"/>
      </rPr>
      <t>The SLES for vRealize must generate audit records when successful/unsuccessful accesses to objects occur.</t>
    </r>
  </si>
  <si>
    <t>V-88733</t>
  </si>
  <si>
    <r>
      <rPr>
        <sz val="11"/>
        <rFont val="Calibri"/>
      </rPr>
      <t>The SLES for vRealize audit system must be configured to audit failed attempts to access files and programs.</t>
    </r>
  </si>
  <si>
    <r>
      <rPr>
        <sz val="11"/>
        <color rgb="FF000000"/>
        <rFont val="Calibri"/>
      </rPr>
      <t>Edit the audit.rules file and add the following line(s) to enable auditing of failed attempts to access files and programs:</t>
    </r>
    <r>
      <rPr>
        <sz val="11"/>
        <color rgb="FF000000"/>
        <rFont val="Calibri"/>
      </rPr>
      <t xml:space="preserve">
</t>
    </r>
    <r>
      <rPr>
        <sz val="11"/>
        <color rgb="FF000000"/>
        <rFont val="Calibri"/>
      </rPr>
      <t>-a exit,always -F arch=b64 -S creat -F exit=-EPERM</t>
    </r>
    <r>
      <rPr>
        <sz val="11"/>
        <color rgb="FF000000"/>
        <rFont val="Calibri"/>
      </rPr>
      <t xml:space="preserve">
</t>
    </r>
    <r>
      <rPr>
        <sz val="11"/>
        <color rgb="FF000000"/>
        <rFont val="Calibri"/>
      </rPr>
      <t>-a exit,always -F arch=b64 -S creat -F exit=-EACCES</t>
    </r>
    <r>
      <rPr>
        <sz val="11"/>
        <color rgb="FF000000"/>
        <rFont val="Calibri"/>
      </rPr>
      <t xml:space="preserve">
</t>
    </r>
    <r>
      <rPr>
        <sz val="11"/>
        <color rgb="FF000000"/>
        <rFont val="Calibri"/>
      </rPr>
      <t>-a exit,always -F arch=b32 -S creat -F exit=-EPERM</t>
    </r>
    <r>
      <rPr>
        <sz val="11"/>
        <color rgb="FF000000"/>
        <rFont val="Calibri"/>
      </rPr>
      <t xml:space="preserve">
</t>
    </r>
    <r>
      <rPr>
        <sz val="11"/>
        <color rgb="FF000000"/>
        <rFont val="Calibri"/>
      </rPr>
      <t>-a exit,always -F arch=b32 -S creat -F exit=-EACCES</t>
    </r>
  </si>
  <si>
    <r>
      <rPr>
        <sz val="11"/>
        <color rgb="FF000000"/>
        <rFont val="Calibri"/>
      </rPr>
      <t>Unsuccessful attempts to access files could be an indicator of malicious activity on a system. Auditing these events could serve as evidence of potential system compromise.</t>
    </r>
  </si>
  <si>
    <r>
      <rPr>
        <sz val="11"/>
        <color rgb="FF000000"/>
        <rFont val="Calibri"/>
      </rPr>
      <t>Verify auditd is configured to audit failed file access attempts. There must be both an "-F exit=-EPERM" and "-F exit=-EACCES" for each access syscall:</t>
    </r>
    <r>
      <rPr>
        <sz val="11"/>
        <color rgb="FF000000"/>
        <rFont val="Calibri"/>
      </rPr>
      <t xml:space="preserve">
</t>
    </r>
    <r>
      <rPr>
        <sz val="11"/>
        <color rgb="FF000000"/>
        <rFont val="Calibri"/>
      </rPr>
      <t># cat /etc/audit.rules /etc/audit/audit.rules | grep -e "-a exit,always" | grep -e "-S creat" | grep -e "-F exit=-EPERM"</t>
    </r>
    <r>
      <rPr>
        <sz val="11"/>
        <color rgb="FF000000"/>
        <rFont val="Calibri"/>
      </rPr>
      <t xml:space="preserve">
</t>
    </r>
    <r>
      <rPr>
        <sz val="11"/>
        <color rgb="FF000000"/>
        <rFont val="Calibri"/>
      </rPr>
      <t># cat /etc/audit.rules /etc/audit/audit.rules | grep -e "-a exit,always" | grep -e "-S creat" | grep -e "-F exit=-EACCES"</t>
    </r>
    <r>
      <rPr>
        <sz val="11"/>
        <color rgb="FF000000"/>
        <rFont val="Calibri"/>
      </rPr>
      <t xml:space="preserve">
</t>
    </r>
    <r>
      <rPr>
        <sz val="11"/>
        <color rgb="FF000000"/>
        <rFont val="Calibri"/>
      </rPr>
      <t>There must be both an "-F exit=-EPERM" and "-F exit=-EACCES" for each access syscall. If not, this is a finding.</t>
    </r>
  </si>
  <si>
    <t>V-88735</t>
  </si>
  <si>
    <r>
      <rPr>
        <sz val="11"/>
        <color rgb="FF000000"/>
        <rFont val="Calibri"/>
      </rPr>
      <t>Edit the audit.rules file and add the following line(s) to enable auditing of failed attempts to access files and programs:</t>
    </r>
    <r>
      <rPr>
        <sz val="11"/>
        <color rgb="FF000000"/>
        <rFont val="Calibri"/>
      </rPr>
      <t xml:space="preserve">
</t>
    </r>
    <r>
      <rPr>
        <sz val="11"/>
        <color rgb="FF000000"/>
        <rFont val="Calibri"/>
      </rPr>
      <t>-a exit,always -F arch=b64 -S open -F exit=-EPERM</t>
    </r>
    <r>
      <rPr>
        <sz val="11"/>
        <color rgb="FF000000"/>
        <rFont val="Calibri"/>
      </rPr>
      <t xml:space="preserve">
</t>
    </r>
    <r>
      <rPr>
        <sz val="11"/>
        <color rgb="FF000000"/>
        <rFont val="Calibri"/>
      </rPr>
      <t>-a exit,always -F arch=b64 -S open -F exit=-EACCES</t>
    </r>
    <r>
      <rPr>
        <sz val="11"/>
        <color rgb="FF000000"/>
        <rFont val="Calibri"/>
      </rPr>
      <t xml:space="preserve">
</t>
    </r>
    <r>
      <rPr>
        <sz val="11"/>
        <color rgb="FF000000"/>
        <rFont val="Calibri"/>
      </rPr>
      <t>-a exit,always -F arch=b32 -S open -F exit=-EPERM</t>
    </r>
    <r>
      <rPr>
        <sz val="11"/>
        <color rgb="FF000000"/>
        <rFont val="Calibri"/>
      </rPr>
      <t xml:space="preserve">
</t>
    </r>
    <r>
      <rPr>
        <sz val="11"/>
        <color rgb="FF000000"/>
        <rFont val="Calibri"/>
      </rPr>
      <t>-a exit,always -F arch=b32 -S open -F exit=-EACCES</t>
    </r>
  </si>
  <si>
    <r>
      <rPr>
        <sz val="11"/>
        <color rgb="FF000000"/>
        <rFont val="Calibri"/>
      </rPr>
      <t>Verify auditd is configured to audit failed file access attempts. There must be both an "-F exit=-EPERM" and "-F exit=-EACCES" for each access syscall:</t>
    </r>
    <r>
      <rPr>
        <sz val="11"/>
        <color rgb="FF000000"/>
        <rFont val="Calibri"/>
      </rPr>
      <t xml:space="preserve">
</t>
    </r>
    <r>
      <rPr>
        <sz val="11"/>
        <color rgb="FF000000"/>
        <rFont val="Calibri"/>
      </rPr>
      <t># cat /etc/audit.rules /etc/audit/audit.rules | grep -e "-a exit,always" | grep -e "-S open" | grep -e "-F exit=-EPERM"</t>
    </r>
    <r>
      <rPr>
        <sz val="11"/>
        <color rgb="FF000000"/>
        <rFont val="Calibri"/>
      </rPr>
      <t xml:space="preserve">
</t>
    </r>
    <r>
      <rPr>
        <sz val="11"/>
        <color rgb="FF000000"/>
        <rFont val="Calibri"/>
      </rPr>
      <t># cat /etc/audit.rules /etc/audit/audit.rules | grep -e "-a exit,always" | grep -e "-S open" | grep -e "-F exit=-EACCES"</t>
    </r>
    <r>
      <rPr>
        <sz val="11"/>
        <color rgb="FF000000"/>
        <rFont val="Calibri"/>
      </rPr>
      <t xml:space="preserve">
</t>
    </r>
    <r>
      <rPr>
        <sz val="11"/>
        <color rgb="FF000000"/>
        <rFont val="Calibri"/>
      </rPr>
      <t>There must be both an "-F exit=-EPERM" and "-F exit=-EACCES" for each access syscall. If not, this is a finding.</t>
    </r>
  </si>
  <si>
    <t>V-88737</t>
  </si>
  <si>
    <r>
      <rPr>
        <sz val="11"/>
        <color rgb="FF000000"/>
        <rFont val="Calibri"/>
      </rPr>
      <t>Edit the audit.rules file and add the following line(s) to enable auditing of failed attempts to access files and programs:</t>
    </r>
    <r>
      <rPr>
        <sz val="11"/>
        <color rgb="FF000000"/>
        <rFont val="Calibri"/>
      </rPr>
      <t xml:space="preserve">
</t>
    </r>
    <r>
      <rPr>
        <sz val="11"/>
        <color rgb="FF000000"/>
        <rFont val="Calibri"/>
      </rPr>
      <t>-a exit,always -F arch=b64 -S openat -F success=0</t>
    </r>
    <r>
      <rPr>
        <sz val="11"/>
        <color rgb="FF000000"/>
        <rFont val="Calibri"/>
      </rPr>
      <t xml:space="preserve">
</t>
    </r>
    <r>
      <rPr>
        <sz val="11"/>
        <color rgb="FF000000"/>
        <rFont val="Calibri"/>
      </rPr>
      <t>-a exit,always -F arch=b32 -S openat -F success=0</t>
    </r>
  </si>
  <si>
    <r>
      <rPr>
        <sz val="11"/>
        <color rgb="FF000000"/>
        <rFont val="Calibri"/>
      </rPr>
      <t>Verify auditd is configured to audit failed file access attempts. There must be an audit rule for each of the access syscalls logging all failed accesses (-F success=0)</t>
    </r>
    <r>
      <rPr>
        <sz val="11"/>
        <color rgb="FF000000"/>
        <rFont val="Calibri"/>
      </rPr>
      <t xml:space="preserve">
</t>
    </r>
    <r>
      <rPr>
        <sz val="11"/>
        <color rgb="FF000000"/>
        <rFont val="Calibri"/>
      </rPr>
      <t># cat /etc/audit.rules /etc/audit/audit.rules | grep -e "-a exit,always" | grep -e "-S openat" | grep -e "-F success=0"</t>
    </r>
    <r>
      <rPr>
        <sz val="11"/>
        <color rgb="FF000000"/>
        <rFont val="Calibri"/>
      </rPr>
      <t xml:space="preserve">
</t>
    </r>
    <r>
      <rPr>
        <sz val="11"/>
        <color rgb="FF000000"/>
        <rFont val="Calibri"/>
      </rPr>
      <t>There must be an audit rule for each of the access syscalls logging all failed accesses (-F success=0). If not, this is a finding.</t>
    </r>
  </si>
  <si>
    <t>V-88739</t>
  </si>
  <si>
    <r>
      <rPr>
        <sz val="11"/>
        <color rgb="FF000000"/>
        <rFont val="Calibri"/>
      </rPr>
      <t>Edit the audit.rules file and add the following line(s) to enable auditing of failed attempts to access files and programs:</t>
    </r>
    <r>
      <rPr>
        <sz val="11"/>
        <color rgb="FF000000"/>
        <rFont val="Calibri"/>
      </rPr>
      <t xml:space="preserve">
</t>
    </r>
    <r>
      <rPr>
        <sz val="11"/>
        <color rgb="FF000000"/>
        <rFont val="Calibri"/>
      </rPr>
      <t>-a exit,always -F arch=b64 -S truncate -F success=0</t>
    </r>
    <r>
      <rPr>
        <sz val="11"/>
        <color rgb="FF000000"/>
        <rFont val="Calibri"/>
      </rPr>
      <t xml:space="preserve">
</t>
    </r>
    <r>
      <rPr>
        <sz val="11"/>
        <color rgb="FF000000"/>
        <rFont val="Calibri"/>
      </rPr>
      <t>-a exit,always -F arch=b32 -S truncate -F success=0</t>
    </r>
  </si>
  <si>
    <r>
      <rPr>
        <sz val="11"/>
        <color rgb="FF000000"/>
        <rFont val="Calibri"/>
      </rPr>
      <t>Verify auditd is configured to audit failed file access attempts. There must be an audit rule for each of the access syscalls logging all failed accesses (-F success=0)</t>
    </r>
    <r>
      <rPr>
        <sz val="11"/>
        <color rgb="FF000000"/>
        <rFont val="Calibri"/>
      </rPr>
      <t xml:space="preserve">
</t>
    </r>
    <r>
      <rPr>
        <sz val="11"/>
        <color rgb="FF000000"/>
        <rFont val="Calibri"/>
      </rPr>
      <t># cat /etc/audit.rules /etc/audit/audit.rules | grep -e "-a exit,always" | grep -e "-S truncate" | grep -e "-F success=0"</t>
    </r>
    <r>
      <rPr>
        <sz val="11"/>
        <color rgb="FF000000"/>
        <rFont val="Calibri"/>
      </rPr>
      <t xml:space="preserve">
</t>
    </r>
    <r>
      <rPr>
        <sz val="11"/>
        <color rgb="FF000000"/>
        <rFont val="Calibri"/>
      </rPr>
      <t>There must be an audit rule for each of the access syscalls logging all failed accesses (-F success=0). If not, this is a finding.</t>
    </r>
  </si>
  <si>
    <t>V-88741</t>
  </si>
  <si>
    <r>
      <rPr>
        <sz val="11"/>
        <color rgb="FF000000"/>
        <rFont val="Calibri"/>
      </rPr>
      <t>Edit the audit.rules file and add the following line(s) to enable auditing of failed attempts to access files and programs:</t>
    </r>
    <r>
      <rPr>
        <sz val="11"/>
        <color rgb="FF000000"/>
        <rFont val="Calibri"/>
      </rPr>
      <t xml:space="preserve">
</t>
    </r>
    <r>
      <rPr>
        <sz val="11"/>
        <color rgb="FF000000"/>
        <rFont val="Calibri"/>
      </rPr>
      <t>-a exit,always -F arch=b64 -S ftruncate -F success=0</t>
    </r>
    <r>
      <rPr>
        <sz val="11"/>
        <color rgb="FF000000"/>
        <rFont val="Calibri"/>
      </rPr>
      <t xml:space="preserve">
</t>
    </r>
    <r>
      <rPr>
        <sz val="11"/>
        <color rgb="FF000000"/>
        <rFont val="Calibri"/>
      </rPr>
      <t>-a exit,always -F arch=b32 -S ftruncate -F success=0</t>
    </r>
  </si>
  <si>
    <r>
      <rPr>
        <sz val="11"/>
        <color rgb="FF000000"/>
        <rFont val="Calibri"/>
      </rPr>
      <t>Verify auditd is configured to audit failed file access attempts. There must be an audit rule for each of the access syscalls logging all failed accesses (-F success=0)</t>
    </r>
    <r>
      <rPr>
        <sz val="11"/>
        <color rgb="FF000000"/>
        <rFont val="Calibri"/>
      </rPr>
      <t xml:space="preserve">
</t>
    </r>
    <r>
      <rPr>
        <sz val="11"/>
        <color rgb="FF000000"/>
        <rFont val="Calibri"/>
      </rPr>
      <t># cat /etc/audit.rules /etc/audit/audit.rules | grep -e "-a exit,always" | grep -e "-S ftruncate" | grep -e "-F success=0"</t>
    </r>
    <r>
      <rPr>
        <sz val="11"/>
        <color rgb="FF000000"/>
        <rFont val="Calibri"/>
      </rPr>
      <t xml:space="preserve">
</t>
    </r>
    <r>
      <rPr>
        <sz val="11"/>
        <color rgb="FF000000"/>
        <rFont val="Calibri"/>
      </rPr>
      <t>There must be an audit rule for each of the access syscalls logging all failed accesses (-F success=0). If not, this is a finding.</t>
    </r>
  </si>
  <si>
    <t>V-88743</t>
  </si>
  <si>
    <r>
      <rPr>
        <sz val="11"/>
        <rFont val="Calibri"/>
      </rPr>
      <t>The SLES for vRealize audit system must be configured to audit user deletions of files and programs.</t>
    </r>
  </si>
  <si>
    <r>
      <rPr>
        <sz val="11"/>
        <color rgb="FF000000"/>
        <rFont val="Calibri"/>
      </rPr>
      <t>Edit the audit.rules file and add the following line(s) to enable auditing of deletions of files and programs:</t>
    </r>
    <r>
      <rPr>
        <sz val="11"/>
        <color rgb="FF000000"/>
        <rFont val="Calibri"/>
      </rPr>
      <t xml:space="preserve">
</t>
    </r>
    <r>
      <rPr>
        <sz val="11"/>
        <color rgb="FF000000"/>
        <rFont val="Calibri"/>
      </rPr>
      <t>-a always,exit -F arch=b64 -S unlink -S unlinkat -S rename -S renameat -F auid=0</t>
    </r>
    <r>
      <rPr>
        <sz val="11"/>
        <color rgb="FF000000"/>
        <rFont val="Calibri"/>
      </rPr>
      <t xml:space="preserve">
</t>
    </r>
    <r>
      <rPr>
        <sz val="11"/>
        <color rgb="FF000000"/>
        <rFont val="Calibri"/>
      </rPr>
      <t>-a always,exit -F arch=b64 -S unlink -S unlinkat -S rename -S renameat -F auid&gt;=500 -F auid!=4294967295</t>
    </r>
    <r>
      <rPr>
        <sz val="11"/>
        <color rgb="FF000000"/>
        <rFont val="Calibri"/>
      </rPr>
      <t xml:space="preserve">
</t>
    </r>
    <r>
      <rPr>
        <sz val="11"/>
        <color rgb="FF000000"/>
        <rFont val="Calibri"/>
      </rPr>
      <t>-a always,exit -F arch=b32 -S unlink -S unlinkat -S rename -S renameat -F auid=0</t>
    </r>
    <r>
      <rPr>
        <sz val="11"/>
        <color rgb="FF000000"/>
        <rFont val="Calibri"/>
      </rPr>
      <t xml:space="preserve">
</t>
    </r>
    <r>
      <rPr>
        <sz val="11"/>
        <color rgb="FF000000"/>
        <rFont val="Calibri"/>
      </rPr>
      <t>-a always,exit -F arch=b32 -S unlink -S unlinkat -S rename -S renameat -F auid&gt;=500 -F auid!=4294967295</t>
    </r>
  </si>
  <si>
    <r>
      <rPr>
        <sz val="11"/>
        <color rgb="FF000000"/>
        <rFont val="Calibri"/>
      </rPr>
      <t>Auditing file deletions will create an audit trail for files that are removed from the system. The audit trail could aid in system troubleshooting, as well as detecting malicious processes that attempt to delete log files to conceal their presence.</t>
    </r>
  </si>
  <si>
    <r>
      <rPr>
        <sz val="11"/>
        <color rgb="FF000000"/>
        <rFont val="Calibri"/>
      </rPr>
      <t xml:space="preserve">To determine if SLES for vRealize is configured to audit calls to the "unlink" system call, run the following command: </t>
    </r>
    <r>
      <rPr>
        <sz val="11"/>
        <color rgb="FF000000"/>
        <rFont val="Calibri"/>
      </rPr>
      <t xml:space="preserve">
</t>
    </r>
    <r>
      <rPr>
        <sz val="11"/>
        <color rgb="FF000000"/>
        <rFont val="Calibri"/>
      </rPr>
      <t># auditctl -l | grep syscall | grep unlink | grep -v unlinkat</t>
    </r>
    <r>
      <rPr>
        <sz val="11"/>
        <color rgb="FF000000"/>
        <rFont val="Calibri"/>
      </rPr>
      <t xml:space="preserve">
</t>
    </r>
    <r>
      <rPr>
        <sz val="11"/>
        <color rgb="FF000000"/>
        <rFont val="Calibri"/>
      </rPr>
      <t xml:space="preserve">If the system is configured to audit this activity, it will return several lines. To determine if the system is configured to audit calls to the "unlinkat" system call, run the following command: </t>
    </r>
    <r>
      <rPr>
        <sz val="11"/>
        <color rgb="FF000000"/>
        <rFont val="Calibri"/>
      </rPr>
      <t xml:space="preserve">
</t>
    </r>
    <r>
      <rPr>
        <sz val="11"/>
        <color rgb="FF000000"/>
        <rFont val="Calibri"/>
      </rPr>
      <t># auditctl -l | grep syscall | grep unlinkat</t>
    </r>
    <r>
      <rPr>
        <sz val="11"/>
        <color rgb="FF000000"/>
        <rFont val="Calibri"/>
      </rPr>
      <t xml:space="preserve">
</t>
    </r>
    <r>
      <rPr>
        <sz val="11"/>
        <color rgb="FF000000"/>
        <rFont val="Calibri"/>
      </rPr>
      <t xml:space="preserve">If the system is configured to audit this activity, it will return several lines. To determine if the system is configured to audit calls to the "rename" system call, run the following command: </t>
    </r>
    <r>
      <rPr>
        <sz val="11"/>
        <color rgb="FF000000"/>
        <rFont val="Calibri"/>
      </rPr>
      <t xml:space="preserve">
</t>
    </r>
    <r>
      <rPr>
        <sz val="11"/>
        <color rgb="FF000000"/>
        <rFont val="Calibri"/>
      </rPr>
      <t># auditctl -l | grep syscall | grep rename | grep -v renameat</t>
    </r>
    <r>
      <rPr>
        <sz val="11"/>
        <color rgb="FF000000"/>
        <rFont val="Calibri"/>
      </rPr>
      <t xml:space="preserve">
</t>
    </r>
    <r>
      <rPr>
        <sz val="11"/>
        <color rgb="FF000000"/>
        <rFont val="Calibri"/>
      </rPr>
      <t xml:space="preserve">If the system is configured to audit this activity, it will return several lines. To determine if the system is configured to audit calls to the "renameat" system call, run the following command: </t>
    </r>
    <r>
      <rPr>
        <sz val="11"/>
        <color rgb="FF000000"/>
        <rFont val="Calibri"/>
      </rPr>
      <t xml:space="preserve">
</t>
    </r>
    <r>
      <rPr>
        <sz val="11"/>
        <color rgb="FF000000"/>
        <rFont val="Calibri"/>
      </rPr>
      <t># auditctl -l | grep syscall | grep renameat</t>
    </r>
    <r>
      <rPr>
        <sz val="11"/>
        <color rgb="FF000000"/>
        <rFont val="Calibri"/>
      </rPr>
      <t xml:space="preserve">
</t>
    </r>
    <r>
      <rPr>
        <sz val="11"/>
        <color rgb="FF000000"/>
        <rFont val="Calibri"/>
      </rPr>
      <t>If the system is configured to audit this activity, it will return several lines. If no line is returned, this is a finding.</t>
    </r>
  </si>
  <si>
    <t>V-88745</t>
  </si>
  <si>
    <r>
      <rPr>
        <sz val="11"/>
        <rFont val="Calibri"/>
      </rPr>
      <t>The SLES for vRealize audit system must be configured to audit file deletions.</t>
    </r>
  </si>
  <si>
    <r>
      <rPr>
        <sz val="11"/>
        <color rgb="FF000000"/>
        <rFont val="Calibri"/>
      </rPr>
      <t>Add the following to the "/etc/audit/audit.rules" file in order to capture file and directory deletion events:</t>
    </r>
    <r>
      <rPr>
        <sz val="11"/>
        <color rgb="FF000000"/>
        <rFont val="Calibri"/>
      </rPr>
      <t xml:space="preserve">
</t>
    </r>
    <r>
      <rPr>
        <sz val="11"/>
        <color rgb="FF000000"/>
        <rFont val="Calibri"/>
      </rPr>
      <t>-a always,exit -F arch=b64 -S rmdir -S rm</t>
    </r>
    <r>
      <rPr>
        <sz val="11"/>
        <color rgb="FF000000"/>
        <rFont val="Calibri"/>
      </rPr>
      <t xml:space="preserve">
</t>
    </r>
    <r>
      <rPr>
        <sz val="11"/>
        <color rgb="FF000000"/>
        <rFont val="Calibri"/>
      </rPr>
      <t>-a always,exit -F arch=b32 -S rmdir -S rm</t>
    </r>
  </si>
  <si>
    <r>
      <rPr>
        <sz val="11"/>
        <color rgb="FF000000"/>
        <rFont val="Calibri"/>
      </rPr>
      <t>If the SLES for vRealize system is not configured to audit certain activities and write them to an audit log, it is more difficult to detect and track system compromises and damages incurred during a system compromise.</t>
    </r>
  </si>
  <si>
    <r>
      <rPr>
        <sz val="11"/>
        <color rgb="FF000000"/>
        <rFont val="Calibri"/>
      </rPr>
      <t>Check SLES for vRealize audit configuration to determine if file and directory deletions are audited:</t>
    </r>
    <r>
      <rPr>
        <sz val="11"/>
        <color rgb="FF000000"/>
        <rFont val="Calibri"/>
      </rPr>
      <t xml:space="preserve">
</t>
    </r>
    <r>
      <rPr>
        <sz val="11"/>
        <color rgb="FF000000"/>
        <rFont val="Calibri"/>
      </rPr>
      <t># cat /etc/audit.rules /etc/audit/audit.rules | grep -e "-a exit,always" | grep -i "rmdir"</t>
    </r>
    <r>
      <rPr>
        <sz val="11"/>
        <color rgb="FF000000"/>
        <rFont val="Calibri"/>
      </rPr>
      <t xml:space="preserve">
</t>
    </r>
    <r>
      <rPr>
        <sz val="11"/>
        <color rgb="FF000000"/>
        <rFont val="Calibri"/>
      </rPr>
      <t>If no results are returned or the results do not contain "-S rmdir", this is a finding.</t>
    </r>
  </si>
  <si>
    <t>V-88747</t>
  </si>
  <si>
    <r>
      <rPr>
        <sz val="11"/>
        <rFont val="Calibri"/>
      </rPr>
      <t>Audit logs must be rotated daily.</t>
    </r>
  </si>
  <si>
    <r>
      <rPr>
        <sz val="11"/>
        <color rgb="FF000000"/>
        <rFont val="Calibri"/>
      </rPr>
      <t>Create or edit the "/etc/logrotate.d/audit" file and add the daily entry, such as:</t>
    </r>
    <r>
      <rPr>
        <sz val="11"/>
        <color rgb="FF000000"/>
        <rFont val="Calibri"/>
      </rPr>
      <t xml:space="preserve">
</t>
    </r>
    <r>
      <rPr>
        <sz val="11"/>
        <color rgb="FF000000"/>
        <rFont val="Calibri"/>
      </rPr>
      <t>/var/log/audit/audit.log {</t>
    </r>
    <r>
      <rPr>
        <sz val="11"/>
        <color rgb="FF000000"/>
        <rFont val="Calibri"/>
      </rPr>
      <t xml:space="preserve">
</t>
    </r>
    <r>
      <rPr>
        <sz val="11"/>
        <color rgb="FF000000"/>
        <rFont val="Calibri"/>
      </rPr>
      <t>compress</t>
    </r>
    <r>
      <rPr>
        <sz val="11"/>
        <color rgb="FF000000"/>
        <rFont val="Calibri"/>
      </rPr>
      <t xml:space="preserve">
</t>
    </r>
    <r>
      <rPr>
        <sz val="11"/>
        <color rgb="FF000000"/>
        <rFont val="Calibri"/>
      </rPr>
      <t>dateext</t>
    </r>
    <r>
      <rPr>
        <sz val="11"/>
        <color rgb="FF000000"/>
        <rFont val="Calibri"/>
      </rPr>
      <t xml:space="preserve">
</t>
    </r>
    <r>
      <rPr>
        <sz val="11"/>
        <color rgb="FF000000"/>
        <rFont val="Calibri"/>
      </rPr>
      <t>rotate 15</t>
    </r>
    <r>
      <rPr>
        <sz val="11"/>
        <color rgb="FF000000"/>
        <rFont val="Calibri"/>
      </rPr>
      <t xml:space="preserve">
</t>
    </r>
    <r>
      <rPr>
        <sz val="11"/>
        <color rgb="FF000000"/>
        <rFont val="Calibri"/>
      </rPr>
      <t>daily</t>
    </r>
    <r>
      <rPr>
        <sz val="11"/>
        <color rgb="FF000000"/>
        <rFont val="Calibri"/>
      </rPr>
      <t xml:space="preserve">
</t>
    </r>
    <r>
      <rPr>
        <sz val="11"/>
        <color rgb="FF000000"/>
        <rFont val="Calibri"/>
      </rPr>
      <t>missingok</t>
    </r>
    <r>
      <rPr>
        <sz val="11"/>
        <color rgb="FF000000"/>
        <rFont val="Calibri"/>
      </rPr>
      <t xml:space="preserve">
</t>
    </r>
    <r>
      <rPr>
        <sz val="11"/>
        <color rgb="FF000000"/>
        <rFont val="Calibri"/>
      </rPr>
      <t>notifempty</t>
    </r>
    <r>
      <rPr>
        <sz val="11"/>
        <color rgb="FF000000"/>
        <rFont val="Calibri"/>
      </rPr>
      <t xml:space="preserve">
</t>
    </r>
    <r>
      <rPr>
        <sz val="11"/>
        <color rgb="FF000000"/>
        <rFont val="Calibri"/>
      </rPr>
      <t>create 600 root root</t>
    </r>
    <r>
      <rPr>
        <sz val="11"/>
        <color rgb="FF000000"/>
        <rFont val="Calibri"/>
      </rPr>
      <t xml:space="preserve">
</t>
    </r>
    <r>
      <rPr>
        <sz val="11"/>
        <color rgb="FF000000"/>
        <rFont val="Calibri"/>
      </rPr>
      <t>sharedscripts</t>
    </r>
    <r>
      <rPr>
        <sz val="11"/>
        <color rgb="FF000000"/>
        <rFont val="Calibri"/>
      </rPr>
      <t xml:space="preserve">
</t>
    </r>
    <r>
      <rPr>
        <sz val="11"/>
        <color rgb="FF000000"/>
        <rFont val="Calibri"/>
      </rPr>
      <t>postrotate</t>
    </r>
    <r>
      <rPr>
        <sz val="11"/>
        <color rgb="FF000000"/>
        <rFont val="Calibri"/>
      </rPr>
      <t xml:space="preserve">
</t>
    </r>
    <r>
      <rPr>
        <sz val="11"/>
        <color rgb="FF000000"/>
        <rFont val="Calibri"/>
      </rPr>
      <t>/sbin/service auditd restart 2&gt; /dev/null &gt; /dev/null || true</t>
    </r>
    <r>
      <rPr>
        <sz val="11"/>
        <color rgb="FF000000"/>
        <rFont val="Calibri"/>
      </rPr>
      <t xml:space="preserve">
</t>
    </r>
    <r>
      <rPr>
        <sz val="11"/>
        <color rgb="FF000000"/>
        <rFont val="Calibri"/>
      </rPr>
      <t>endscript</t>
    </r>
    <r>
      <rPr>
        <sz val="11"/>
        <color rgb="FF000000"/>
        <rFont val="Calibri"/>
      </rPr>
      <t xml:space="preserve">
</t>
    </r>
    <r>
      <rPr>
        <sz val="11"/>
        <color rgb="FF000000"/>
        <rFont val="Calibri"/>
      </rPr>
      <t>}</t>
    </r>
  </si>
  <si>
    <r>
      <rPr>
        <sz val="11"/>
        <color rgb="FF000000"/>
        <rFont val="Calibri"/>
      </rPr>
      <t>Rotate audit logs daily to preserve audit file system space and to conform to the DISA requirement. If it is not rotated daily and moved to another location, then there is more of a chance for the compromise of audit data by malicious users.</t>
    </r>
  </si>
  <si>
    <r>
      <rPr>
        <sz val="11"/>
        <color rgb="FF000000"/>
        <rFont val="Calibri"/>
      </rPr>
      <t>Check for a logrotate entry that rotates audit logs.</t>
    </r>
    <r>
      <rPr>
        <sz val="11"/>
        <color rgb="FF000000"/>
        <rFont val="Calibri"/>
      </rPr>
      <t xml:space="preserve">
</t>
    </r>
    <r>
      <rPr>
        <sz val="11"/>
        <color rgb="FF000000"/>
        <rFont val="Calibri"/>
      </rPr>
      <t># ls -l /etc/logrotate.d/audit</t>
    </r>
    <r>
      <rPr>
        <sz val="11"/>
        <color rgb="FF000000"/>
        <rFont val="Calibri"/>
      </rPr>
      <t xml:space="preserve">
</t>
    </r>
    <r>
      <rPr>
        <sz val="11"/>
        <color rgb="FF000000"/>
        <rFont val="Calibri"/>
      </rPr>
      <t>If it exists, check for the presence of the daily rotate flag:</t>
    </r>
    <r>
      <rPr>
        <sz val="11"/>
        <color rgb="FF000000"/>
        <rFont val="Calibri"/>
      </rPr>
      <t xml:space="preserve">
</t>
    </r>
    <r>
      <rPr>
        <sz val="11"/>
        <color rgb="FF000000"/>
        <rFont val="Calibri"/>
      </rPr>
      <t># egrep "daily" /etc/logrotate.d/audit</t>
    </r>
    <r>
      <rPr>
        <sz val="11"/>
        <color rgb="FF000000"/>
        <rFont val="Calibri"/>
      </rPr>
      <t xml:space="preserve">
</t>
    </r>
    <r>
      <rPr>
        <sz val="11"/>
        <color rgb="FF000000"/>
        <rFont val="Calibri"/>
      </rPr>
      <t xml:space="preserve">The command should produce a "daily" entry in the logrotate file for the audit daemon. </t>
    </r>
    <r>
      <rPr>
        <sz val="11"/>
        <color rgb="FF000000"/>
        <rFont val="Calibri"/>
      </rPr>
      <t xml:space="preserve">
</t>
    </r>
    <r>
      <rPr>
        <sz val="11"/>
        <color rgb="FF000000"/>
        <rFont val="Calibri"/>
      </rPr>
      <t>If the daily entry is missing, this is a finding.</t>
    </r>
  </si>
  <si>
    <t>V-88749</t>
  </si>
  <si>
    <r>
      <rPr>
        <sz val="11"/>
        <rFont val="Calibri"/>
      </rPr>
      <t>The SLES for vRealize must generate audit records for all direct access to the information system.</t>
    </r>
  </si>
  <si>
    <t>V-88751</t>
  </si>
  <si>
    <r>
      <rPr>
        <sz val="11"/>
        <rFont val="Calibri"/>
      </rPr>
      <t>The SLES for vRealize must generate audit records for all account creations, modifications, disabling, and termination events.</t>
    </r>
  </si>
  <si>
    <r>
      <rPr>
        <sz val="11"/>
        <color rgb="FF000000"/>
        <rFont val="Calibri"/>
      </rPr>
      <t>Configure execute auditing of the "usermod" and "groupmod" executables. Add the following to the "/etc/audit/audit.rules" file:</t>
    </r>
    <r>
      <rPr>
        <sz val="11"/>
        <color rgb="FF000000"/>
        <rFont val="Calibri"/>
      </rPr>
      <t xml:space="preserve">
</t>
    </r>
    <r>
      <rPr>
        <sz val="11"/>
        <color rgb="FF000000"/>
        <rFont val="Calibri"/>
      </rPr>
      <t>-w /usr/sbin/usermod -p x -k usermod</t>
    </r>
    <r>
      <rPr>
        <sz val="11"/>
        <color rgb="FF000000"/>
        <rFont val="Calibri"/>
      </rPr>
      <t xml:space="preserve">
</t>
    </r>
    <r>
      <rPr>
        <sz val="11"/>
        <color rgb="FF000000"/>
        <rFont val="Calibri"/>
      </rPr>
      <t>-w /usr/sbin/groupmod -p x -k groupmod</t>
    </r>
    <r>
      <rPr>
        <sz val="11"/>
        <color rgb="FF000000"/>
        <rFont val="Calibri"/>
      </rPr>
      <t xml:space="preserve">
</t>
    </r>
    <r>
      <rPr>
        <sz val="11"/>
        <color rgb="FF000000"/>
        <rFont val="Calibri"/>
      </rPr>
      <t>Configure execute auditing of the "userdel" and "groupdel" executables. Add the following to the "/etc/audit/audit.rules" file:</t>
    </r>
    <r>
      <rPr>
        <sz val="11"/>
        <color rgb="FF000000"/>
        <rFont val="Calibri"/>
      </rPr>
      <t xml:space="preserve">
</t>
    </r>
    <r>
      <rPr>
        <sz val="11"/>
        <color rgb="FF000000"/>
        <rFont val="Calibri"/>
      </rPr>
      <t>-w /usr/sbin/userdel -p x -k userdel</t>
    </r>
    <r>
      <rPr>
        <sz val="11"/>
        <color rgb="FF000000"/>
        <rFont val="Calibri"/>
      </rPr>
      <t xml:space="preserve">
</t>
    </r>
    <r>
      <rPr>
        <sz val="11"/>
        <color rgb="FF000000"/>
        <rFont val="Calibri"/>
      </rPr>
      <t>-w /usr/sbin/groupdel -p x -k groupdel</t>
    </r>
    <r>
      <rPr>
        <sz val="11"/>
        <color rgb="FF000000"/>
        <rFont val="Calibri"/>
      </rPr>
      <t xml:space="preserve">
</t>
    </r>
    <r>
      <rPr>
        <sz val="11"/>
        <color rgb="FF000000"/>
        <rFont val="Calibri"/>
      </rPr>
      <t>Configure execute auditing of the "useradd" and "groupadd" executables. Add the following to audit.rules:</t>
    </r>
    <r>
      <rPr>
        <sz val="11"/>
        <color rgb="FF000000"/>
        <rFont val="Calibri"/>
      </rPr>
      <t xml:space="preserve">
</t>
    </r>
    <r>
      <rPr>
        <sz val="11"/>
        <color rgb="FF000000"/>
        <rFont val="Calibri"/>
      </rPr>
      <t>-w /usr/sbin/useradd -p x -k useradd</t>
    </r>
    <r>
      <rPr>
        <sz val="11"/>
        <color rgb="FF000000"/>
        <rFont val="Calibri"/>
      </rPr>
      <t xml:space="preserve">
</t>
    </r>
    <r>
      <rPr>
        <sz val="11"/>
        <color rgb="FF000000"/>
        <rFont val="Calibri"/>
      </rPr>
      <t>-w /usr/sbin/groupadd -p x -k groupadd</t>
    </r>
    <r>
      <rPr>
        <sz val="11"/>
        <color rgb="FF000000"/>
        <rFont val="Calibri"/>
      </rPr>
      <t xml:space="preserve">
</t>
    </r>
    <r>
      <rPr>
        <sz val="11"/>
        <color rgb="FF000000"/>
        <rFont val="Calibri"/>
      </rPr>
      <t>Configure execute auditing of the "passwd" executable. Add the following to audit.rules:</t>
    </r>
    <r>
      <rPr>
        <sz val="11"/>
        <color rgb="FF000000"/>
        <rFont val="Calibri"/>
      </rPr>
      <t xml:space="preserve">
</t>
    </r>
    <r>
      <rPr>
        <sz val="11"/>
        <color rgb="FF000000"/>
        <rFont val="Calibri"/>
      </rPr>
      <t>-w /usr/bin/passwd -p x -k passwd</t>
    </r>
    <r>
      <rPr>
        <sz val="11"/>
        <color rgb="FF000000"/>
        <rFont val="Calibri"/>
      </rPr>
      <t xml:space="preserve">
</t>
    </r>
    <r>
      <rPr>
        <sz val="11"/>
        <color rgb="FF000000"/>
        <rFont val="Calibri"/>
      </rPr>
      <t>Configure write auditing of the "passwd", "shadow", "group", and "opasswd" files. Add the following to the "/etc/audit/audit.rules" file:</t>
    </r>
    <r>
      <rPr>
        <sz val="11"/>
        <color rgb="FF000000"/>
        <rFont val="Calibri"/>
      </rPr>
      <t xml:space="preserve">
</t>
    </r>
    <r>
      <rPr>
        <sz val="11"/>
        <color rgb="FF000000"/>
        <rFont val="Calibri"/>
      </rPr>
      <t>-w /etc/passwd -p wa -k passwd</t>
    </r>
    <r>
      <rPr>
        <sz val="11"/>
        <color rgb="FF000000"/>
        <rFont val="Calibri"/>
      </rPr>
      <t xml:space="preserve">
</t>
    </r>
    <r>
      <rPr>
        <sz val="11"/>
        <color rgb="FF000000"/>
        <rFont val="Calibri"/>
      </rPr>
      <t>-w /etc/shadow -p wa -k shadow</t>
    </r>
    <r>
      <rPr>
        <sz val="11"/>
        <color rgb="FF000000"/>
        <rFont val="Calibri"/>
      </rPr>
      <t xml:space="preserve">
</t>
    </r>
    <r>
      <rPr>
        <sz val="11"/>
        <color rgb="FF000000"/>
        <rFont val="Calibri"/>
      </rPr>
      <t>-w /etc/group -p wa -k group</t>
    </r>
    <r>
      <rPr>
        <sz val="11"/>
        <color rgb="FF000000"/>
        <rFont val="Calibri"/>
      </rPr>
      <t xml:space="preserve">
</t>
    </r>
    <r>
      <rPr>
        <sz val="11"/>
        <color rgb="FF000000"/>
        <rFont val="Calibri"/>
      </rPr>
      <t>-w /etc/security/opasswd -p wa -k opasswd</t>
    </r>
    <r>
      <rPr>
        <sz val="11"/>
        <color rgb="FF000000"/>
        <rFont val="Calibri"/>
      </rPr>
      <t xml:space="preserve">
</t>
    </r>
    <r>
      <rPr>
        <sz val="11"/>
        <color rgb="FF000000"/>
        <rFont val="Calibri"/>
      </rPr>
      <t>Restart the auditd service:</t>
    </r>
    <r>
      <rPr>
        <sz val="11"/>
        <color rgb="FF000000"/>
        <rFont val="Calibri"/>
      </rPr>
      <t xml:space="preserve">
</t>
    </r>
    <r>
      <rPr>
        <sz val="11"/>
        <color rgb="FF000000"/>
        <rFont val="Calibri"/>
      </rPr>
      <t># service auditd restart</t>
    </r>
    <r>
      <rPr>
        <sz val="11"/>
        <color rgb="FF000000"/>
        <rFont val="Calibri"/>
      </rPr>
      <t xml:space="preserve">
</t>
    </r>
    <r>
      <rPr>
        <sz val="11"/>
        <color rgb="FF000000"/>
        <rFont val="Calibri"/>
      </rPr>
      <t>OR</t>
    </r>
    <r>
      <rPr>
        <sz val="11"/>
        <color rgb="FF000000"/>
        <rFont val="Calibri"/>
      </rPr>
      <t xml:space="preserve">
</t>
    </r>
    <r>
      <rPr>
        <sz val="11"/>
        <color rgb="FF000000"/>
        <rFont val="Calibri"/>
      </rPr>
      <t># /etc/dodscript.sh</t>
    </r>
  </si>
  <si>
    <r>
      <rPr>
        <sz val="11"/>
        <color rgb="FF000000"/>
        <rFont val="Calibri"/>
      </rPr>
      <t>Determine if execution of the "usermod" and "groupmod" executable are audited:</t>
    </r>
    <r>
      <rPr>
        <sz val="11"/>
        <color rgb="FF000000"/>
        <rFont val="Calibri"/>
      </rPr>
      <t xml:space="preserve">
</t>
    </r>
    <r>
      <rPr>
        <sz val="11"/>
        <color rgb="FF000000"/>
        <rFont val="Calibri"/>
      </rPr>
      <t># auditctl -l | egrep '(usermod|groupmod)'</t>
    </r>
    <r>
      <rPr>
        <sz val="11"/>
        <color rgb="FF000000"/>
        <rFont val="Calibri"/>
      </rPr>
      <t xml:space="preserve">
</t>
    </r>
    <r>
      <rPr>
        <sz val="11"/>
        <color rgb="FF000000"/>
        <rFont val="Calibri"/>
      </rPr>
      <t>If either "useradd" or "groupadd" are not listed with a permissions filter of at least "x", this is a finding.</t>
    </r>
    <r>
      <rPr>
        <sz val="11"/>
        <color rgb="FF000000"/>
        <rFont val="Calibri"/>
      </rPr>
      <t xml:space="preserve">
</t>
    </r>
    <r>
      <rPr>
        <sz val="11"/>
        <color rgb="FF000000"/>
        <rFont val="Calibri"/>
      </rPr>
      <t>Determine if execution of the "userdel" and "groupdel" executable are audited:</t>
    </r>
    <r>
      <rPr>
        <sz val="11"/>
        <color rgb="FF000000"/>
        <rFont val="Calibri"/>
      </rPr>
      <t xml:space="preserve">
</t>
    </r>
    <r>
      <rPr>
        <sz val="11"/>
        <color rgb="FF000000"/>
        <rFont val="Calibri"/>
      </rPr>
      <t># auditctl -l | egrep '(userdel|groupdel)'</t>
    </r>
    <r>
      <rPr>
        <sz val="11"/>
        <color rgb="FF000000"/>
        <rFont val="Calibri"/>
      </rPr>
      <t xml:space="preserve">
</t>
    </r>
    <r>
      <rPr>
        <sz val="11"/>
        <color rgb="FF000000"/>
        <rFont val="Calibri"/>
      </rPr>
      <t>If either "userdel" or "groupdel" are not listed with a permissions filter of at least "x", this is a finding.</t>
    </r>
    <r>
      <rPr>
        <sz val="11"/>
        <color rgb="FF000000"/>
        <rFont val="Calibri"/>
      </rPr>
      <t xml:space="preserve">
</t>
    </r>
    <r>
      <rPr>
        <sz val="11"/>
        <color rgb="FF000000"/>
        <rFont val="Calibri"/>
      </rPr>
      <t>Determine if execution of "useradd" and "groupadd" are audited:</t>
    </r>
    <r>
      <rPr>
        <sz val="11"/>
        <color rgb="FF000000"/>
        <rFont val="Calibri"/>
      </rPr>
      <t xml:space="preserve">
</t>
    </r>
    <r>
      <rPr>
        <sz val="11"/>
        <color rgb="FF000000"/>
        <rFont val="Calibri"/>
      </rPr>
      <t># auditctl -l | egrep '(useradd|groupadd)'</t>
    </r>
    <r>
      <rPr>
        <sz val="11"/>
        <color rgb="FF000000"/>
        <rFont val="Calibri"/>
      </rPr>
      <t xml:space="preserve">
</t>
    </r>
    <r>
      <rPr>
        <sz val="11"/>
        <color rgb="FF000000"/>
        <rFont val="Calibri"/>
      </rPr>
      <t>If either "useradd" or "groupadd" are not listed with a permissions filter of at least "x", this is a finding.</t>
    </r>
    <r>
      <rPr>
        <sz val="11"/>
        <color rgb="FF000000"/>
        <rFont val="Calibri"/>
      </rPr>
      <t xml:space="preserve">
</t>
    </r>
    <r>
      <rPr>
        <sz val="11"/>
        <color rgb="FF000000"/>
        <rFont val="Calibri"/>
      </rPr>
      <t xml:space="preserve">Determine if execution of the passwd executable is audited: </t>
    </r>
    <r>
      <rPr>
        <sz val="11"/>
        <color rgb="FF000000"/>
        <rFont val="Calibri"/>
      </rPr>
      <t xml:space="preserve">
</t>
    </r>
    <r>
      <rPr>
        <sz val="11"/>
        <color rgb="FF000000"/>
        <rFont val="Calibri"/>
      </rPr>
      <t xml:space="preserve"># auditctl -l | grep "/usr/bin/passwd" </t>
    </r>
    <r>
      <rPr>
        <sz val="11"/>
        <color rgb="FF000000"/>
        <rFont val="Calibri"/>
      </rPr>
      <t xml:space="preserve">
</t>
    </r>
    <r>
      <rPr>
        <sz val="11"/>
        <color rgb="FF000000"/>
        <rFont val="Calibri"/>
      </rPr>
      <t>If "/usr/bin/passwd" is not listed with a permissions filter of at least "x", this is a finding.</t>
    </r>
    <r>
      <rPr>
        <sz val="11"/>
        <color rgb="FF000000"/>
        <rFont val="Calibri"/>
      </rPr>
      <t xml:space="preserve">
</t>
    </r>
    <r>
      <rPr>
        <sz val="11"/>
        <color rgb="FF000000"/>
        <rFont val="Calibri"/>
      </rPr>
      <t>Determine if "/etc/passwd", "/etc/shadow", "/etc/group", and "/etc/security/opasswd" are audited for writing:</t>
    </r>
    <r>
      <rPr>
        <sz val="11"/>
        <color rgb="FF000000"/>
        <rFont val="Calibri"/>
      </rPr>
      <t xml:space="preserve">
</t>
    </r>
    <r>
      <rPr>
        <sz val="11"/>
        <color rgb="FF000000"/>
        <rFont val="Calibri"/>
      </rPr>
      <t># auditctl -l | egrep '(/etc/passwd|/etc/shadow|/etc/group|/etc/security/opasswd)'</t>
    </r>
    <r>
      <rPr>
        <sz val="11"/>
        <color rgb="FF000000"/>
        <rFont val="Calibri"/>
      </rPr>
      <t xml:space="preserve">
</t>
    </r>
    <r>
      <rPr>
        <sz val="11"/>
        <color rgb="FF000000"/>
        <rFont val="Calibri"/>
      </rPr>
      <t>If any of these are not listed with a permissions filter of at least "w", this is a finding.</t>
    </r>
  </si>
  <si>
    <t>V-88753</t>
  </si>
  <si>
    <r>
      <rPr>
        <sz val="11"/>
        <rFont val="Calibri"/>
      </rPr>
      <t>The SLES for vRealize must generate audit records for all kernel module load, unload, and restart actions, and also for all program initiations.</t>
    </r>
  </si>
  <si>
    <r>
      <rPr>
        <sz val="11"/>
        <color rgb="FF000000"/>
        <rFont val="Calibri"/>
      </rPr>
      <t>Add the following to "/etc/audit/audit.rules" in order to capture kernel module loading and unloading events:</t>
    </r>
    <r>
      <rPr>
        <sz val="11"/>
        <color rgb="FF000000"/>
        <rFont val="Calibri"/>
      </rPr>
      <t xml:space="preserve">
</t>
    </r>
    <r>
      <rPr>
        <sz val="11"/>
        <color rgb="FF000000"/>
        <rFont val="Calibri"/>
      </rPr>
      <t>-w /sbin/insmod -p x</t>
    </r>
    <r>
      <rPr>
        <sz val="11"/>
        <color rgb="FF000000"/>
        <rFont val="Calibri"/>
      </rPr>
      <t xml:space="preserve">
</t>
    </r>
    <r>
      <rPr>
        <sz val="11"/>
        <color rgb="FF000000"/>
        <rFont val="Calibri"/>
      </rPr>
      <t>OR</t>
    </r>
    <r>
      <rPr>
        <sz val="11"/>
        <color rgb="FF000000"/>
        <rFont val="Calibri"/>
      </rPr>
      <t xml:space="preserve">
</t>
    </r>
    <r>
      <rPr>
        <sz val="11"/>
        <color rgb="FF000000"/>
        <rFont val="Calibri"/>
      </rPr>
      <t># /etc/dodscript.sh</t>
    </r>
  </si>
  <si>
    <t>V-88755</t>
  </si>
  <si>
    <r>
      <rPr>
        <sz val="11"/>
        <rFont val="Calibri"/>
      </rPr>
      <t>The SLES for vRealize must implement NIST FIPS-validated cryptography for the following: to provision digital signatures, to generate cryptographic hashes, and to protect unclassified information requiring confidentiality and cryptographic protection in accordance with applicable federal laws, Executive Orders, directives, policies, regulations, and standards.</t>
    </r>
  </si>
  <si>
    <t>V-88757</t>
  </si>
  <si>
    <r>
      <rPr>
        <sz val="11"/>
        <rFont val="Calibri"/>
      </rPr>
      <t>The SLES for vRealize must, at a minimum, off-load interconnected systems in real time and off-load standalone systems weekly.</t>
    </r>
  </si>
  <si>
    <t>V-88759</t>
  </si>
  <si>
    <r>
      <rPr>
        <sz val="11"/>
        <rFont val="Calibri"/>
      </rPr>
      <t>The SLES for vRealize must prevent the use of dictionary words for passwords.</t>
    </r>
  </si>
  <si>
    <r>
      <rPr>
        <sz val="11"/>
        <color rgb="FF000000"/>
        <rFont val="Calibri"/>
      </rPr>
      <t>Edit "/etc/pam.d/common-password" and configure "pam_cracklib" by adding a line such as "password requisite pam_cracklib.so".</t>
    </r>
  </si>
  <si>
    <r>
      <rPr>
        <sz val="11"/>
        <color rgb="FF000000"/>
        <rFont val="Calibri"/>
      </rPr>
      <t>If SLES for vRealize system allows the user to select passwords based on dictionary words, then this increases the chances of password compromise by increasing the opportunity for successful guesses and brute-force attacks.</t>
    </r>
  </si>
  <si>
    <r>
      <rPr>
        <sz val="11"/>
        <color rgb="FF000000"/>
        <rFont val="Calibri"/>
      </rPr>
      <t>Check "/etc/pam.d/common-password" for "pam_cracklib" configuration:</t>
    </r>
    <r>
      <rPr>
        <sz val="11"/>
        <color rgb="FF000000"/>
        <rFont val="Calibri"/>
      </rPr>
      <t xml:space="preserve">
</t>
    </r>
    <r>
      <rPr>
        <sz val="11"/>
        <color rgb="FF000000"/>
        <rFont val="Calibri"/>
      </rPr>
      <t># grep pam_cracklib /etc/pam.d/common-password*</t>
    </r>
    <r>
      <rPr>
        <sz val="11"/>
        <color rgb="FF000000"/>
        <rFont val="Calibri"/>
      </rPr>
      <t xml:space="preserve">
</t>
    </r>
    <r>
      <rPr>
        <sz val="11"/>
        <color rgb="FF000000"/>
        <rFont val="Calibri"/>
      </rPr>
      <t>If "pam_cracklib" is not present, this is a finding.</t>
    </r>
    <r>
      <rPr>
        <sz val="11"/>
        <color rgb="FF000000"/>
        <rFont val="Calibri"/>
      </rPr>
      <t xml:space="preserve">
</t>
    </r>
    <r>
      <rPr>
        <sz val="11"/>
        <color rgb="FF000000"/>
        <rFont val="Calibri"/>
      </rPr>
      <t>Ensure the passwd command uses the common-password settings.</t>
    </r>
    <r>
      <rPr>
        <sz val="11"/>
        <color rgb="FF000000"/>
        <rFont val="Calibri"/>
      </rPr>
      <t xml:space="preserve">
</t>
    </r>
    <r>
      <rPr>
        <sz val="11"/>
        <color rgb="FF000000"/>
        <rFont val="Calibri"/>
      </rPr>
      <t># grep common-password /etc/pam.d/passwd</t>
    </r>
    <r>
      <rPr>
        <sz val="11"/>
        <color rgb="FF000000"/>
        <rFont val="Calibri"/>
      </rPr>
      <t xml:space="preserve">
</t>
    </r>
    <r>
      <rPr>
        <sz val="11"/>
        <color rgb="FF000000"/>
        <rFont val="Calibri"/>
      </rPr>
      <t>If a line "password include common-password" is not found then the password checks in common-password will not be applied to new passwords, this is a finding.</t>
    </r>
  </si>
  <si>
    <t>V-88761</t>
  </si>
  <si>
    <r>
      <rPr>
        <sz val="11"/>
        <color rgb="FF000000"/>
        <rFont val="Calibri"/>
      </rPr>
      <t>Configure SLES for vRealize to prevent the use of dictionary words for passwords.</t>
    </r>
    <r>
      <rPr>
        <sz val="11"/>
        <color rgb="FF000000"/>
        <rFont val="Calibri"/>
      </rPr>
      <t xml:space="preserve">
</t>
    </r>
    <r>
      <rPr>
        <sz val="11"/>
        <color rgb="FF000000"/>
        <rFont val="Calibri"/>
      </rPr>
      <t xml:space="preserve">Edit the file "/etc/pam.d/common-password". Configure "common-password" by adding a line such as: </t>
    </r>
    <r>
      <rPr>
        <sz val="11"/>
        <color rgb="FF000000"/>
        <rFont val="Calibri"/>
      </rPr>
      <t xml:space="preserve">
</t>
    </r>
    <r>
      <rPr>
        <sz val="11"/>
        <color rgb="FF000000"/>
        <rFont val="Calibri"/>
      </rPr>
      <t>password  required pam_cracklib.so</t>
    </r>
    <r>
      <rPr>
        <sz val="11"/>
        <color rgb="FF000000"/>
        <rFont val="Calibri"/>
      </rPr>
      <t xml:space="preserve">
</t>
    </r>
    <r>
      <rPr>
        <sz val="11"/>
        <color rgb="FF000000"/>
        <rFont val="Calibri"/>
      </rPr>
      <t>Save the changes made to the file "/etc/pam.d/common-password".</t>
    </r>
  </si>
  <si>
    <r>
      <rPr>
        <sz val="11"/>
        <color rgb="FF000000"/>
        <rFont val="Calibri"/>
      </rPr>
      <t>If SLES for vRealize allows the user to select passwords based on dictionary words, then this increases the chances of password compromise by increasing the opportunity for successful guesses and brute-force attacks.</t>
    </r>
  </si>
  <si>
    <r>
      <rPr>
        <sz val="11"/>
        <color rgb="FF000000"/>
        <rFont val="Calibri"/>
      </rPr>
      <t xml:space="preserve">Verify the module "pam_cracklib.so" is present. </t>
    </r>
    <r>
      <rPr>
        <sz val="11"/>
        <color rgb="FF000000"/>
        <rFont val="Calibri"/>
      </rPr>
      <t xml:space="preserve">
</t>
    </r>
    <r>
      <rPr>
        <sz val="11"/>
        <color rgb="FF000000"/>
        <rFont val="Calibri"/>
      </rPr>
      <t xml:space="preserve">Procedure: </t>
    </r>
    <r>
      <rPr>
        <sz val="11"/>
        <color rgb="FF000000"/>
        <rFont val="Calibri"/>
      </rPr>
      <t xml:space="preserve">
</t>
    </r>
    <r>
      <rPr>
        <sz val="11"/>
        <color rgb="FF000000"/>
        <rFont val="Calibri"/>
      </rPr>
      <t># ls /lib/security/</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Confirm that "pam_cracklib.so" is present in the directory listing. </t>
    </r>
    <r>
      <rPr>
        <sz val="11"/>
        <color rgb="FF000000"/>
        <rFont val="Calibri"/>
      </rPr>
      <t xml:space="preserve">
</t>
    </r>
    <r>
      <rPr>
        <sz val="11"/>
        <color rgb="FF000000"/>
        <rFont val="Calibri"/>
      </rPr>
      <t>If "pam_cracklib.so"  is not present, this is a finding.</t>
    </r>
    <r>
      <rPr>
        <sz val="11"/>
        <color rgb="FF000000"/>
        <rFont val="Calibri"/>
      </rPr>
      <t xml:space="preserve">
</t>
    </r>
    <r>
      <rPr>
        <sz val="11"/>
        <color rgb="FF000000"/>
        <rFont val="Calibri"/>
      </rPr>
      <t>Verify the file "/etc/pam.d/common-password" is configured.</t>
    </r>
    <r>
      <rPr>
        <sz val="11"/>
        <color rgb="FF000000"/>
        <rFont val="Calibri"/>
      </rPr>
      <t xml:space="preserve">
</t>
    </r>
    <r>
      <rPr>
        <sz val="11"/>
        <color rgb="FF000000"/>
        <rFont val="Calibri"/>
      </rPr>
      <t xml:space="preserve">Procedure: </t>
    </r>
    <r>
      <rPr>
        <sz val="11"/>
        <color rgb="FF000000"/>
        <rFont val="Calibri"/>
      </rPr>
      <t xml:space="preserve">
</t>
    </r>
    <r>
      <rPr>
        <sz val="11"/>
        <color rgb="FF000000"/>
        <rFont val="Calibri"/>
      </rPr>
      <t># grep pam_cracklib /etc/pam.d/common-password*</t>
    </r>
    <r>
      <rPr>
        <sz val="11"/>
        <color rgb="FF000000"/>
        <rFont val="Calibri"/>
      </rPr>
      <t xml:space="preserve">
</t>
    </r>
    <r>
      <rPr>
        <sz val="11"/>
        <color rgb="FF000000"/>
        <rFont val="Calibri"/>
      </rPr>
      <t>If a line containing "password required pam_cracklib.so" is not present, this is a finding.</t>
    </r>
  </si>
  <si>
    <t>V-88763</t>
  </si>
  <si>
    <r>
      <rPr>
        <sz val="11"/>
        <color rgb="FF000000"/>
        <rFont val="Calibri"/>
      </rPr>
      <t>Configure SLES for vRealize to prevent the use of dictionary words for passwords. Procedure:</t>
    </r>
    <r>
      <rPr>
        <sz val="11"/>
        <color rgb="FF000000"/>
        <rFont val="Calibri"/>
      </rPr>
      <t xml:space="preserve">
</t>
    </r>
    <r>
      <rPr>
        <sz val="11"/>
        <color rgb="FF000000"/>
        <rFont val="Calibri"/>
      </rPr>
      <t xml:space="preserve">Edit the file "/etc/pam.d/passwd". Configure "passwd" by adding a line such as: </t>
    </r>
    <r>
      <rPr>
        <sz val="11"/>
        <color rgb="FF000000"/>
        <rFont val="Calibri"/>
      </rPr>
      <t xml:space="preserve">
</t>
    </r>
    <r>
      <rPr>
        <sz val="11"/>
        <color rgb="FF000000"/>
        <rFont val="Calibri"/>
      </rPr>
      <t>password include common-password</t>
    </r>
    <r>
      <rPr>
        <sz val="11"/>
        <color rgb="FF000000"/>
        <rFont val="Calibri"/>
      </rPr>
      <t xml:space="preserve">
</t>
    </r>
    <r>
      <rPr>
        <sz val="11"/>
        <color rgb="FF000000"/>
        <rFont val="Calibri"/>
      </rPr>
      <t>Save the changes made to the file.</t>
    </r>
  </si>
  <si>
    <r>
      <rPr>
        <sz val="11"/>
        <color rgb="FF000000"/>
        <rFont val="Calibri"/>
      </rPr>
      <t>Verify the "passwd" command uses the "common-password" settings.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common-password /etc/pam.d/passwd</t>
    </r>
    <r>
      <rPr>
        <sz val="11"/>
        <color rgb="FF000000"/>
        <rFont val="Calibri"/>
      </rPr>
      <t xml:space="preserve">
</t>
    </r>
    <r>
      <rPr>
        <sz val="11"/>
        <color rgb="FF000000"/>
        <rFont val="Calibri"/>
      </rPr>
      <t>If line "password include common-password" is not found then the password checks in common-password will not be applied to new passwords, and this is a finding.</t>
    </r>
  </si>
  <si>
    <t>V-88765</t>
  </si>
  <si>
    <r>
      <rPr>
        <sz val="11"/>
        <rFont val="Calibri"/>
      </rPr>
      <t>The SLES for vRealize must enforce a delay of at least 4 seconds between logon prompts following a failed logon attempt.</t>
    </r>
  </si>
  <si>
    <r>
      <rPr>
        <sz val="11"/>
        <color rgb="FF000000"/>
        <rFont val="Calibri"/>
      </rPr>
      <t>Add the "pam_faildelay" module and set the "FAIL_DELAY" variable.</t>
    </r>
    <r>
      <rPr>
        <sz val="11"/>
        <color rgb="FF000000"/>
        <rFont val="Calibri"/>
      </rPr>
      <t xml:space="preserve">
</t>
    </r>
    <r>
      <rPr>
        <sz val="11"/>
        <color rgb="FF000000"/>
        <rFont val="Calibri"/>
      </rPr>
      <t>Edit the "/etc/login.defs" file and set the value of the "FAIL_DELAY" variable to "4" or more.</t>
    </r>
    <r>
      <rPr>
        <sz val="11"/>
        <color rgb="FF000000"/>
        <rFont val="Calibri"/>
      </rPr>
      <t xml:space="preserve">
</t>
    </r>
    <r>
      <rPr>
        <sz val="11"/>
        <color rgb="FF000000"/>
        <rFont val="Calibri"/>
      </rPr>
      <t xml:space="preserve">Edit "/etc/pam.d/common-auth" and add a "pam_faildelay" entry if one does not exist, such as: </t>
    </r>
    <r>
      <rPr>
        <sz val="11"/>
        <color rgb="FF000000"/>
        <rFont val="Calibri"/>
      </rPr>
      <t xml:space="preserve">
</t>
    </r>
    <r>
      <rPr>
        <sz val="11"/>
        <color rgb="FF000000"/>
        <rFont val="Calibri"/>
      </rPr>
      <t>auth optional pam_faildelay.so</t>
    </r>
  </si>
  <si>
    <r>
      <rPr>
        <sz val="11"/>
        <color rgb="FF000000"/>
        <rFont val="Calibri"/>
      </rPr>
      <t>Limiting the number of logon attempts over a certain time interval reduces the chances that an unauthorized user may gain access to an account.</t>
    </r>
  </si>
  <si>
    <r>
      <rPr>
        <sz val="11"/>
        <color rgb="FF000000"/>
        <rFont val="Calibri"/>
      </rPr>
      <t>Check the value of the "FAIL_DELAY" variable and the ability to use it:</t>
    </r>
    <r>
      <rPr>
        <sz val="11"/>
        <color rgb="FF000000"/>
        <rFont val="Calibri"/>
      </rPr>
      <t xml:space="preserve">
</t>
    </r>
    <r>
      <rPr>
        <sz val="11"/>
        <color rgb="FF000000"/>
        <rFont val="Calibri"/>
      </rPr>
      <t xml:space="preserve"># grep FAIL_DELAY /etc/login.defs </t>
    </r>
    <r>
      <rPr>
        <sz val="11"/>
        <color rgb="FF000000"/>
        <rFont val="Calibri"/>
      </rPr>
      <t xml:space="preserve">
</t>
    </r>
    <r>
      <rPr>
        <sz val="11"/>
        <color rgb="FF000000"/>
        <rFont val="Calibri"/>
      </rPr>
      <t>The following result should be displayed:</t>
    </r>
    <r>
      <rPr>
        <sz val="11"/>
        <color rgb="FF000000"/>
        <rFont val="Calibri"/>
      </rPr>
      <t xml:space="preserve">
</t>
    </r>
    <r>
      <rPr>
        <sz val="11"/>
        <color rgb="FF000000"/>
        <rFont val="Calibri"/>
      </rPr>
      <t>FAIL_DELAY 4</t>
    </r>
    <r>
      <rPr>
        <sz val="11"/>
        <color rgb="FF000000"/>
        <rFont val="Calibri"/>
      </rPr>
      <t xml:space="preserve">
</t>
    </r>
    <r>
      <rPr>
        <sz val="11"/>
        <color rgb="FF000000"/>
        <rFont val="Calibri"/>
      </rPr>
      <t>If the value does not exist, or is less than "4", this is a finding.</t>
    </r>
    <r>
      <rPr>
        <sz val="11"/>
        <color rgb="FF000000"/>
        <rFont val="Calibri"/>
      </rPr>
      <t xml:space="preserve">
</t>
    </r>
    <r>
      <rPr>
        <sz val="11"/>
        <color rgb="FF000000"/>
        <rFont val="Calibri"/>
      </rPr>
      <t>Check for the use of "pam_faildelay":</t>
    </r>
    <r>
      <rPr>
        <sz val="11"/>
        <color rgb="FF000000"/>
        <rFont val="Calibri"/>
      </rPr>
      <t xml:space="preserve">
</t>
    </r>
    <r>
      <rPr>
        <sz val="11"/>
        <color rgb="FF000000"/>
        <rFont val="Calibri"/>
      </rPr>
      <t># grep pam_faildelay /etc/pam.d/common-auth*</t>
    </r>
    <r>
      <rPr>
        <sz val="11"/>
        <color rgb="FF000000"/>
        <rFont val="Calibri"/>
      </rPr>
      <t xml:space="preserve">
</t>
    </r>
    <r>
      <rPr>
        <sz val="11"/>
        <color rgb="FF000000"/>
        <rFont val="Calibri"/>
      </rPr>
      <t>The following result should be displayed:</t>
    </r>
    <r>
      <rPr>
        <sz val="11"/>
        <color rgb="FF000000"/>
        <rFont val="Calibri"/>
      </rPr>
      <t xml:space="preserve">
</t>
    </r>
    <r>
      <rPr>
        <sz val="11"/>
        <color rgb="FF000000"/>
        <rFont val="Calibri"/>
      </rPr>
      <t>/etc/pam.d/common-auth:auth optional pam_faildelay.so</t>
    </r>
    <r>
      <rPr>
        <sz val="11"/>
        <color rgb="FF000000"/>
        <rFont val="Calibri"/>
      </rPr>
      <t xml:space="preserve">
</t>
    </r>
    <r>
      <rPr>
        <sz val="11"/>
        <color rgb="FF000000"/>
        <rFont val="Calibri"/>
      </rPr>
      <t>If the "pam_faildelay.so" module is not listed or is commented out, this is a finding.</t>
    </r>
  </si>
  <si>
    <t>V-88767</t>
  </si>
  <si>
    <r>
      <rPr>
        <sz val="11"/>
        <color rgb="FF000000"/>
        <rFont val="Calibri"/>
      </rPr>
      <t xml:space="preserve">Configure SLES for vRealize to enforce a delay of at least "4" seconds between logon prompts following a failed logon attempt. </t>
    </r>
    <r>
      <rPr>
        <sz val="11"/>
        <color rgb="FF000000"/>
        <rFont val="Calibri"/>
      </rPr>
      <t xml:space="preserve">
</t>
    </r>
    <r>
      <rPr>
        <sz val="11"/>
        <color rgb="FF000000"/>
        <rFont val="Calibri"/>
      </rPr>
      <t xml:space="preserve">Set the parameter "FAIL_DELAY" to a value of "4" or greater. </t>
    </r>
    <r>
      <rPr>
        <sz val="11"/>
        <color rgb="FF000000"/>
        <rFont val="Calibri"/>
      </rPr>
      <t xml:space="preserve">
</t>
    </r>
    <r>
      <rPr>
        <sz val="11"/>
        <color rgb="FF000000"/>
        <rFont val="Calibri"/>
      </rPr>
      <t xml:space="preserve">Edit the file "/etc/login.defs". Set the parameter "FAIL_DELAY" to a value of "4" or greater. </t>
    </r>
    <r>
      <rPr>
        <sz val="11"/>
        <color rgb="FF000000"/>
        <rFont val="Calibri"/>
      </rPr>
      <t xml:space="preserve">
</t>
    </r>
    <r>
      <rPr>
        <sz val="11"/>
        <color rgb="FF000000"/>
        <rFont val="Calibri"/>
      </rPr>
      <t xml:space="preserve">The typical configuration looks something like this: </t>
    </r>
    <r>
      <rPr>
        <sz val="11"/>
        <color rgb="FF000000"/>
        <rFont val="Calibri"/>
      </rPr>
      <t xml:space="preserve">
</t>
    </r>
    <r>
      <rPr>
        <sz val="11"/>
        <color rgb="FF000000"/>
        <rFont val="Calibri"/>
      </rPr>
      <t>FAIL_DELAY    4</t>
    </r>
    <r>
      <rPr>
        <sz val="11"/>
        <color rgb="FF000000"/>
        <rFont val="Calibri"/>
      </rPr>
      <t xml:space="preserve">
</t>
    </r>
    <r>
      <rPr>
        <sz val="11"/>
        <color rgb="FF000000"/>
        <rFont val="Calibri"/>
      </rPr>
      <t>Save the changes made to the file.</t>
    </r>
  </si>
  <si>
    <r>
      <rPr>
        <sz val="11"/>
        <color rgb="FF000000"/>
        <rFont val="Calibri"/>
      </rPr>
      <t>Verify the SLES for vRealize enforces a delay of at least "4" seconds between logon prompts following a failed logon attempt.</t>
    </r>
    <r>
      <rPr>
        <sz val="11"/>
        <color rgb="FF000000"/>
        <rFont val="Calibri"/>
      </rPr>
      <t xml:space="preserve">
</t>
    </r>
    <r>
      <rPr>
        <sz val="11"/>
        <color rgb="FF000000"/>
        <rFont val="Calibri"/>
      </rPr>
      <t xml:space="preserve">Review the file "/etc/login.defs" and verify the parameter "FAIL_DELAY" is a value of "4" or greater. </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FAIL_DELAY /etc/login.defs</t>
    </r>
    <r>
      <rPr>
        <sz val="11"/>
        <color rgb="FF000000"/>
        <rFont val="Calibri"/>
      </rPr>
      <t xml:space="preserve">
</t>
    </r>
    <r>
      <rPr>
        <sz val="11"/>
        <color rgb="FF000000"/>
        <rFont val="Calibri"/>
      </rPr>
      <t xml:space="preserve">The typical configuration looks something like this: </t>
    </r>
    <r>
      <rPr>
        <sz val="11"/>
        <color rgb="FF000000"/>
        <rFont val="Calibri"/>
      </rPr>
      <t xml:space="preserve">
</t>
    </r>
    <r>
      <rPr>
        <sz val="11"/>
        <color rgb="FF000000"/>
        <rFont val="Calibri"/>
      </rPr>
      <t>FAIL_DELAY    4</t>
    </r>
    <r>
      <rPr>
        <sz val="11"/>
        <color rgb="FF000000"/>
        <rFont val="Calibri"/>
      </rPr>
      <t xml:space="preserve">
</t>
    </r>
    <r>
      <rPr>
        <sz val="11"/>
        <color rgb="FF000000"/>
        <rFont val="Calibri"/>
      </rPr>
      <t>If the parameter "FAIL_DELAY" does not exists, or is less than "4", this is a finding.</t>
    </r>
  </si>
  <si>
    <t>V-88769</t>
  </si>
  <si>
    <r>
      <rPr>
        <sz val="11"/>
        <color rgb="FF000000"/>
        <rFont val="Calibri"/>
      </rPr>
      <t>Configure SLES for vRealize to enforce a delay of at least "4" seconds between logon prompts following a failed logon attempt with the following command:</t>
    </r>
    <r>
      <rPr>
        <sz val="11"/>
        <color rgb="FF000000"/>
        <rFont val="Calibri"/>
      </rPr>
      <t xml:space="preserve">
</t>
    </r>
    <r>
      <rPr>
        <sz val="11"/>
        <color rgb="FF000000"/>
        <rFont val="Calibri"/>
      </rPr>
      <t># sed -i "/^[^#]*pam_faildelay.so/ c\auth required pam_faildelay.so delay=4000000" /etc/pam.d/common-auth-vmware.local</t>
    </r>
  </si>
  <si>
    <r>
      <rPr>
        <sz val="11"/>
        <color rgb="FF000000"/>
        <rFont val="Calibri"/>
      </rPr>
      <t>Verify SLES for vRealize enforces a delay of at least "4" seconds between logon prompts following a failed logon attempt.</t>
    </r>
    <r>
      <rPr>
        <sz val="11"/>
        <color rgb="FF000000"/>
        <rFont val="Calibri"/>
      </rPr>
      <t xml:space="preserve">
</t>
    </r>
    <r>
      <rPr>
        <sz val="11"/>
        <color rgb="FF000000"/>
        <rFont val="Calibri"/>
      </rPr>
      <t>Verify the use of the "pam_faildelay" module.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pam_faildelay /etc/pam.d/common-auth*</t>
    </r>
    <r>
      <rPr>
        <sz val="11"/>
        <color rgb="FF000000"/>
        <rFont val="Calibri"/>
      </rPr>
      <t xml:space="preserve">
</t>
    </r>
    <r>
      <rPr>
        <sz val="11"/>
        <color rgb="FF000000"/>
        <rFont val="Calibri"/>
      </rPr>
      <t>The typical configuration looks something like this:</t>
    </r>
    <r>
      <rPr>
        <sz val="11"/>
        <color rgb="FF000000"/>
        <rFont val="Calibri"/>
      </rPr>
      <t xml:space="preserve">
</t>
    </r>
    <r>
      <rPr>
        <sz val="11"/>
        <color rgb="FF000000"/>
        <rFont val="Calibri"/>
      </rPr>
      <t>#delay is in micro seconds</t>
    </r>
    <r>
      <rPr>
        <sz val="11"/>
        <color rgb="FF000000"/>
        <rFont val="Calibri"/>
      </rPr>
      <t xml:space="preserve">
</t>
    </r>
    <r>
      <rPr>
        <sz val="11"/>
        <color rgb="FF000000"/>
        <rFont val="Calibri"/>
      </rPr>
      <t>auth    required    pam_faildelay.so    delay=4000000</t>
    </r>
    <r>
      <rPr>
        <sz val="11"/>
        <color rgb="FF000000"/>
        <rFont val="Calibri"/>
      </rPr>
      <t xml:space="preserve">
</t>
    </r>
    <r>
      <rPr>
        <sz val="11"/>
        <color rgb="FF000000"/>
        <rFont val="Calibri"/>
      </rPr>
      <t>If the line is not present, this is a finding.</t>
    </r>
  </si>
  <si>
    <t>V-88771</t>
  </si>
  <si>
    <r>
      <rPr>
        <sz val="11"/>
        <rFont val="Calibri"/>
      </rPr>
      <t>The SLES for vRealize must be configured in accordance with the security configuration settings based on DoD security configuration or implementation guidance, including STIGs, NSA configuration guides, CTOs, and DTMs.</t>
    </r>
  </si>
  <si>
    <r>
      <rPr>
        <sz val="11"/>
        <color rgb="FF000000"/>
        <rFont val="Calibri"/>
      </rPr>
      <t>Configure SLES for vRealize in accordance with the security configuration settings based on DoD security configuration or implementation guidance, including STIGs, NSA configuration guides, CTOs, and DTMs.</t>
    </r>
  </si>
  <si>
    <r>
      <rPr>
        <sz val="11"/>
        <color rgb="FF000000"/>
        <rFont val="Calibri"/>
      </rPr>
      <t>Configuring the operating system to implement organization-wide security implementation guides and security checklists ensures compliance with federal standards and establishes a common security baseline across DoD that reflects the most restrictive security posture consistent with operational requirements.</t>
    </r>
    <r>
      <rPr>
        <sz val="11"/>
        <color rgb="FF000000"/>
        <rFont val="Calibri"/>
      </rPr>
      <t xml:space="preserve">
</t>
    </r>
    <r>
      <rPr>
        <sz val="11"/>
        <color rgb="FF000000"/>
        <rFont val="Calibri"/>
      </rPr>
      <t>Configuration settings are the set of parameters that can be changed in hardware, software, or firmware components of the system that affect the security posture and/or functionality of the system. Security-related parameters are those parameters impacting the security state of the system, including the parameters required to satisfy other security control requirements. Security-related parameters include, for example: registry settings; account, file, directory permission settings; and settings for functions, ports, protocols, services, and remote connections.</t>
    </r>
  </si>
  <si>
    <r>
      <rPr>
        <sz val="11"/>
        <color rgb="FF000000"/>
        <rFont val="Calibri"/>
      </rPr>
      <t xml:space="preserve">Verify SLES for vRealize is configured in accordance with the security configuration settings based on DoD security configuration or implementation guidance, including STIGs, NSA configuration guides, CTOs, and DTMs. </t>
    </r>
    <r>
      <rPr>
        <sz val="11"/>
        <color rgb="FF000000"/>
        <rFont val="Calibri"/>
      </rPr>
      <t xml:space="preserve">
</t>
    </r>
    <r>
      <rPr>
        <sz val="11"/>
        <color rgb="FF000000"/>
        <rFont val="Calibri"/>
      </rPr>
      <t>If it is not, this is a finding.</t>
    </r>
  </si>
  <si>
    <t>V-88773</t>
  </si>
  <si>
    <r>
      <rPr>
        <sz val="11"/>
        <rFont val="Calibri"/>
      </rPr>
      <t>The SLES for vRealize must define default permissions for all authenticated users in such a way that the user can only read and modify their own files.</t>
    </r>
  </si>
  <si>
    <r>
      <rPr>
        <sz val="11"/>
        <color rgb="FF000000"/>
        <rFont val="Calibri"/>
      </rPr>
      <t>To configure the correct UMASK setting run the following command:</t>
    </r>
    <r>
      <rPr>
        <sz val="11"/>
        <color rgb="FF000000"/>
        <rFont val="Calibri"/>
      </rPr>
      <t xml:space="preserve">
</t>
    </r>
    <r>
      <rPr>
        <sz val="11"/>
        <color rgb="FF000000"/>
        <rFont val="Calibri"/>
      </rPr>
      <t># sed -i "/^[^#]*UMASK/ c\UMASK 077" /etc/login.defs</t>
    </r>
    <r>
      <rPr>
        <sz val="11"/>
        <color rgb="FF000000"/>
        <rFont val="Calibri"/>
      </rPr>
      <t xml:space="preserve">
</t>
    </r>
    <r>
      <rPr>
        <sz val="11"/>
        <color rgb="FF000000"/>
        <rFont val="Calibri"/>
      </rPr>
      <t>NOTE: Setting "UMASK 077" will break upgrades and other possible functionality within the product. When making upgrades to the system, you will need to revert this UMASK setting to the default for the duration of upgrades and then re-apply.</t>
    </r>
  </si>
  <si>
    <r>
      <rPr>
        <sz val="11"/>
        <color rgb="FF000000"/>
        <rFont val="Calibri"/>
      </rPr>
      <t>Setting the most restrictive default permissions ensures that when new accounts are created they do not have unnecessary access.</t>
    </r>
  </si>
  <si>
    <r>
      <rPr>
        <sz val="11"/>
        <color rgb="FF000000"/>
        <rFont val="Calibri"/>
      </rPr>
      <t>Check for the configured umask value in login.defs with the following command:</t>
    </r>
    <r>
      <rPr>
        <sz val="11"/>
        <color rgb="FF000000"/>
        <rFont val="Calibri"/>
      </rPr>
      <t xml:space="preserve">
</t>
    </r>
    <r>
      <rPr>
        <sz val="11"/>
        <color rgb="FF000000"/>
        <rFont val="Calibri"/>
      </rPr>
      <t># grep UMASK /etc/login.defs</t>
    </r>
    <r>
      <rPr>
        <sz val="11"/>
        <color rgb="FF000000"/>
        <rFont val="Calibri"/>
      </rPr>
      <t xml:space="preserve">
</t>
    </r>
    <r>
      <rPr>
        <sz val="11"/>
        <color rgb="FF000000"/>
        <rFont val="Calibri"/>
      </rPr>
      <t>If the default umask is not "077", this a finding.</t>
    </r>
    <r>
      <rPr>
        <sz val="11"/>
        <color rgb="FF000000"/>
        <rFont val="Calibri"/>
      </rPr>
      <t xml:space="preserve">
</t>
    </r>
    <r>
      <rPr>
        <sz val="11"/>
        <color rgb="FF000000"/>
        <rFont val="Calibri"/>
      </rPr>
      <t>Note: If the default umask is "000" or allows for the creation of world-writable files this becomes a CAT I finding.</t>
    </r>
  </si>
  <si>
    <t>V-88775</t>
  </si>
  <si>
    <r>
      <rPr>
        <sz val="11"/>
        <rFont val="Calibri"/>
      </rPr>
      <t>tc Server UI must limit the number of maximum concurrent connections permitted.</t>
    </r>
  </si>
  <si>
    <t>VMware vRealize Operations Manager 6.x tc Server</t>
  </si>
  <si>
    <r>
      <rPr>
        <sz val="11"/>
        <color rgb="FF000000"/>
        <rFont val="Calibri"/>
      </rPr>
      <t>Navigate to and open /usr/lib/vmware-vcops/tomcat-web-app/conf/server.xml.</t>
    </r>
    <r>
      <rPr>
        <sz val="11"/>
        <color rgb="FF000000"/>
        <rFont val="Calibri"/>
      </rPr>
      <t xml:space="preserve">
</t>
    </r>
    <r>
      <rPr>
        <sz val="11"/>
        <color rgb="FF000000"/>
        <rFont val="Calibri"/>
      </rPr>
      <t>Navigate to and locate &lt;Executor&gt;.</t>
    </r>
    <r>
      <rPr>
        <sz val="11"/>
        <color rgb="FF000000"/>
        <rFont val="Calibri"/>
      </rPr>
      <t xml:space="preserve">
</t>
    </r>
    <r>
      <rPr>
        <sz val="11"/>
        <color rgb="FF000000"/>
        <rFont val="Calibri"/>
      </rPr>
      <t>Configure the &lt;Executor&gt; with the value 'maxThreads= "300"'.</t>
    </r>
    <r>
      <rPr>
        <sz val="11"/>
        <color rgb="FF000000"/>
        <rFont val="Calibri"/>
      </rPr>
      <t xml:space="preserve">
</t>
    </r>
    <r>
      <rPr>
        <sz val="11"/>
        <color rgb="FF000000"/>
        <rFont val="Calibri"/>
      </rPr>
      <t>Note: The &lt;Executor&gt; node should be configured per the below:</t>
    </r>
    <r>
      <rPr>
        <sz val="11"/>
        <color rgb="FF000000"/>
        <rFont val="Calibri"/>
      </rPr>
      <t xml:space="preserve">
</t>
    </r>
    <r>
      <rPr>
        <sz val="11"/>
        <color rgb="FF000000"/>
        <rFont val="Calibri"/>
      </rPr>
      <t xml:space="preserve">        &lt;Executor maxThreads="300"</t>
    </r>
    <r>
      <rPr>
        <sz val="11"/>
        <color rgb="FF000000"/>
        <rFont val="Calibri"/>
      </rPr>
      <t xml:space="preserve">
</t>
    </r>
    <r>
      <rPr>
        <sz val="11"/>
        <color rgb="FF000000"/>
        <rFont val="Calibri"/>
      </rPr>
      <t xml:space="preserve">                  minSpareThreads="50"</t>
    </r>
    <r>
      <rPr>
        <sz val="11"/>
        <color rgb="FF000000"/>
        <rFont val="Calibri"/>
      </rPr>
      <t xml:space="preserve">
</t>
    </r>
    <r>
      <rPr>
        <sz val="11"/>
        <color rgb="FF000000"/>
        <rFont val="Calibri"/>
      </rPr>
      <t xml:space="preserve">                  name="tomcatThreadPool"</t>
    </r>
    <r>
      <rPr>
        <sz val="11"/>
        <color rgb="FF000000"/>
        <rFont val="Calibri"/>
      </rPr>
      <t xml:space="preserve">
</t>
    </r>
    <r>
      <rPr>
        <sz val="11"/>
        <color rgb="FF000000"/>
        <rFont val="Calibri"/>
      </rPr>
      <t xml:space="preserve">                  namePrefix="tomcat-http--"/&gt;</t>
    </r>
  </si>
  <si>
    <r>
      <rPr>
        <sz val="11"/>
        <color rgb="FF000000"/>
        <rFont val="Calibri"/>
      </rPr>
      <t>Resource exhaustion can occur when an unlimited number of concurrent requests are allowed on a website, facilitating a denial-of-service attack. Mitigating this kind of attack will include limiting the number of concurrent HTTP/HTTPS requests. Mitigating this kind of attack will include limiting the number of concurrent HTTP/HTTPS requests. Each incoming request requires a thread for the duration of that request. If more simultaneous requests are received than can be handled by the currently available request processing threads, additional threads will be created up to the value of the “maxThreads” attribute.</t>
    </r>
  </si>
  <si>
    <r>
      <rPr>
        <sz val="11"/>
        <color rgb="FF000000"/>
        <rFont val="Calibri"/>
      </rPr>
      <t>At the command prompt, execute the following command:</t>
    </r>
    <r>
      <rPr>
        <sz val="11"/>
        <color rgb="FF000000"/>
        <rFont val="Calibri"/>
      </rPr>
      <t xml:space="preserve">
</t>
    </r>
    <r>
      <rPr>
        <sz val="11"/>
        <color rgb="FF000000"/>
        <rFont val="Calibri"/>
      </rPr>
      <t>grep maxThreads /usr/lib/vmware-vcops/tomcat-web-app/conf/server.xml</t>
    </r>
    <r>
      <rPr>
        <sz val="11"/>
        <color rgb="FF000000"/>
        <rFont val="Calibri"/>
      </rPr>
      <t xml:space="preserve">
</t>
    </r>
    <r>
      <rPr>
        <sz val="11"/>
        <color rgb="FF000000"/>
        <rFont val="Calibri"/>
      </rPr>
      <t>If the value of “maxThreads” is not “300” or is missing, this is a finding.</t>
    </r>
  </si>
  <si>
    <t>V-88777</t>
  </si>
  <si>
    <r>
      <rPr>
        <sz val="11"/>
        <rFont val="Calibri"/>
      </rPr>
      <t>tc Server CaSa must limit the number of maximum concurrent connections permitted.</t>
    </r>
  </si>
  <si>
    <r>
      <rPr>
        <sz val="11"/>
        <color rgb="FF000000"/>
        <rFont val="Calibri"/>
      </rPr>
      <t>Navigate to and open /usr/lib/vmware-casa/casa-webapp/conf/server.xml.</t>
    </r>
    <r>
      <rPr>
        <sz val="11"/>
        <color rgb="FF000000"/>
        <rFont val="Calibri"/>
      </rPr>
      <t xml:space="preserve">
</t>
    </r>
    <r>
      <rPr>
        <sz val="11"/>
        <color rgb="FF000000"/>
        <rFont val="Calibri"/>
      </rPr>
      <t>Navigate to and locate &lt;Executor&gt;.</t>
    </r>
    <r>
      <rPr>
        <sz val="11"/>
        <color rgb="FF000000"/>
        <rFont val="Calibri"/>
      </rPr>
      <t xml:space="preserve">
</t>
    </r>
    <r>
      <rPr>
        <sz val="11"/>
        <color rgb="FF000000"/>
        <rFont val="Calibri"/>
      </rPr>
      <t>Configure the &lt;Executor&gt; with the value 'maxThreads="300"'.</t>
    </r>
    <r>
      <rPr>
        <sz val="11"/>
        <color rgb="FF000000"/>
        <rFont val="Calibri"/>
      </rPr>
      <t xml:space="preserve">
</t>
    </r>
    <r>
      <rPr>
        <sz val="11"/>
        <color rgb="FF000000"/>
        <rFont val="Calibri"/>
      </rPr>
      <t>Note: The &lt;Executor&gt; node should be configured per the below:</t>
    </r>
    <r>
      <rPr>
        <sz val="11"/>
        <color rgb="FF000000"/>
        <rFont val="Calibri"/>
      </rPr>
      <t xml:space="preserve">
</t>
    </r>
    <r>
      <rPr>
        <sz val="11"/>
        <color rgb="FF000000"/>
        <rFont val="Calibri"/>
      </rPr>
      <t xml:space="preserve">        &lt;Executor maxThreads="300"</t>
    </r>
    <r>
      <rPr>
        <sz val="11"/>
        <color rgb="FF000000"/>
        <rFont val="Calibri"/>
      </rPr>
      <t xml:space="preserve">
</t>
    </r>
    <r>
      <rPr>
        <sz val="11"/>
        <color rgb="FF000000"/>
        <rFont val="Calibri"/>
      </rPr>
      <t xml:space="preserve">                  minSpareThreads="50"</t>
    </r>
    <r>
      <rPr>
        <sz val="11"/>
        <color rgb="FF000000"/>
        <rFont val="Calibri"/>
      </rPr>
      <t xml:space="preserve">
</t>
    </r>
    <r>
      <rPr>
        <sz val="11"/>
        <color rgb="FF000000"/>
        <rFont val="Calibri"/>
      </rPr>
      <t xml:space="preserve">                  name="tomcatThreadPool"</t>
    </r>
    <r>
      <rPr>
        <sz val="11"/>
        <color rgb="FF000000"/>
        <rFont val="Calibri"/>
      </rPr>
      <t xml:space="preserve">
</t>
    </r>
    <r>
      <rPr>
        <sz val="11"/>
        <color rgb="FF000000"/>
        <rFont val="Calibri"/>
      </rPr>
      <t xml:space="preserve">                  namePrefix="tomcat-http--"/&gt;</t>
    </r>
  </si>
  <si>
    <r>
      <rPr>
        <sz val="11"/>
        <color rgb="FF000000"/>
        <rFont val="Calibri"/>
      </rPr>
      <t>Resource exhaustion can occur when an unlimited number of concurrent requests are allowed on a website, facilitating a denial-of-service attack. Mitigating this kind of attack will include limiting the number of concurrent HTTP/HTTPS requests.</t>
    </r>
    <r>
      <rPr>
        <sz val="11"/>
        <color rgb="FF000000"/>
        <rFont val="Calibri"/>
      </rPr>
      <t xml:space="preserve">
</t>
    </r>
    <r>
      <rPr>
        <sz val="11"/>
        <color rgb="FF000000"/>
        <rFont val="Calibri"/>
      </rPr>
      <t>Mitigating this kind of attack will include limiting the number of concurrent HTTP/HTTPS requests. Each incoming request requires a thread for the duration of that request. If more simultaneous requests are received than can be handled by the currently available request processing threads, additional threads will be created up to the value of the “maxThreads” attribute.</t>
    </r>
  </si>
  <si>
    <r>
      <rPr>
        <sz val="11"/>
        <color rgb="FF000000"/>
        <rFont val="Calibri"/>
      </rPr>
      <t>At the command prompt, execute the following command:</t>
    </r>
    <r>
      <rPr>
        <sz val="11"/>
        <color rgb="FF000000"/>
        <rFont val="Calibri"/>
      </rPr>
      <t xml:space="preserve">
</t>
    </r>
    <r>
      <rPr>
        <sz val="11"/>
        <color rgb="FF000000"/>
        <rFont val="Calibri"/>
      </rPr>
      <t>grep maxThreads /usr/lib/vmware-casa/casa-webapp/conf/server.xml</t>
    </r>
    <r>
      <rPr>
        <sz val="11"/>
        <color rgb="FF000000"/>
        <rFont val="Calibri"/>
      </rPr>
      <t xml:space="preserve">
</t>
    </r>
    <r>
      <rPr>
        <sz val="11"/>
        <color rgb="FF000000"/>
        <rFont val="Calibri"/>
      </rPr>
      <t>If the value of “maxThreads” is not “300” or is missing, this is a finding.</t>
    </r>
  </si>
  <si>
    <t>V-88779</t>
  </si>
  <si>
    <r>
      <rPr>
        <sz val="11"/>
        <rFont val="Calibri"/>
      </rPr>
      <t>tc Server API must limit the number of maximum concurrent connections permitted.</t>
    </r>
  </si>
  <si>
    <r>
      <rPr>
        <sz val="11"/>
        <color rgb="FF000000"/>
        <rFont val="Calibri"/>
      </rPr>
      <t>Navigate to and open /usr/lib/vmware-vcops/tomcat-enterprise/conf/server.xml.</t>
    </r>
    <r>
      <rPr>
        <sz val="11"/>
        <color rgb="FF000000"/>
        <rFont val="Calibri"/>
      </rPr>
      <t xml:space="preserve">
</t>
    </r>
    <r>
      <rPr>
        <sz val="11"/>
        <color rgb="FF000000"/>
        <rFont val="Calibri"/>
      </rPr>
      <t>Navigate to and locate &lt;Executor&gt;.</t>
    </r>
    <r>
      <rPr>
        <sz val="11"/>
        <color rgb="FF000000"/>
        <rFont val="Calibri"/>
      </rPr>
      <t xml:space="preserve">
</t>
    </r>
    <r>
      <rPr>
        <sz val="11"/>
        <color rgb="FF000000"/>
        <rFont val="Calibri"/>
      </rPr>
      <t>Configure the &lt;Executor&gt; with the value 'maxThreads="300"'.</t>
    </r>
    <r>
      <rPr>
        <sz val="11"/>
        <color rgb="FF000000"/>
        <rFont val="Calibri"/>
      </rPr>
      <t xml:space="preserve">
</t>
    </r>
    <r>
      <rPr>
        <sz val="11"/>
        <color rgb="FF000000"/>
        <rFont val="Calibri"/>
      </rPr>
      <t>Note: The &lt;Executor&gt; node should be configured per the below:</t>
    </r>
    <r>
      <rPr>
        <sz val="11"/>
        <color rgb="FF000000"/>
        <rFont val="Calibri"/>
      </rPr>
      <t xml:space="preserve">
</t>
    </r>
    <r>
      <rPr>
        <sz val="11"/>
        <color rgb="FF000000"/>
        <rFont val="Calibri"/>
      </rPr>
      <t xml:space="preserve">        &lt;Executor maxThreads="300"</t>
    </r>
    <r>
      <rPr>
        <sz val="11"/>
        <color rgb="FF000000"/>
        <rFont val="Calibri"/>
      </rPr>
      <t xml:space="preserve">
</t>
    </r>
    <r>
      <rPr>
        <sz val="11"/>
        <color rgb="FF000000"/>
        <rFont val="Calibri"/>
      </rPr>
      <t xml:space="preserve">                  minSpareThreads="50"</t>
    </r>
    <r>
      <rPr>
        <sz val="11"/>
        <color rgb="FF000000"/>
        <rFont val="Calibri"/>
      </rPr>
      <t xml:space="preserve">
</t>
    </r>
    <r>
      <rPr>
        <sz val="11"/>
        <color rgb="FF000000"/>
        <rFont val="Calibri"/>
      </rPr>
      <t xml:space="preserve">                  name="tomcatThreadPool"</t>
    </r>
    <r>
      <rPr>
        <sz val="11"/>
        <color rgb="FF000000"/>
        <rFont val="Calibri"/>
      </rPr>
      <t xml:space="preserve">
</t>
    </r>
    <r>
      <rPr>
        <sz val="11"/>
        <color rgb="FF000000"/>
        <rFont val="Calibri"/>
      </rPr>
      <t xml:space="preserve">                  namePrefix="tomcat-http--"/&gt;</t>
    </r>
  </si>
  <si>
    <r>
      <rPr>
        <sz val="11"/>
        <color rgb="FF000000"/>
        <rFont val="Calibri"/>
      </rPr>
      <t>At the command prompt, execute the following command:</t>
    </r>
    <r>
      <rPr>
        <sz val="11"/>
        <color rgb="FF000000"/>
        <rFont val="Calibri"/>
      </rPr>
      <t xml:space="preserve">
</t>
    </r>
    <r>
      <rPr>
        <sz val="11"/>
        <color rgb="FF000000"/>
        <rFont val="Calibri"/>
      </rPr>
      <t>grep maxThreads /usr/lib/vmware-vcops/tomcat-enterprise/conf/server.xml</t>
    </r>
    <r>
      <rPr>
        <sz val="11"/>
        <color rgb="FF000000"/>
        <rFont val="Calibri"/>
      </rPr>
      <t xml:space="preserve">
</t>
    </r>
    <r>
      <rPr>
        <sz val="11"/>
        <color rgb="FF000000"/>
        <rFont val="Calibri"/>
      </rPr>
      <t>If the value of “maxThreads” is not “300” or is missing, this is a finding.</t>
    </r>
  </si>
  <si>
    <t>V-88781</t>
  </si>
  <si>
    <r>
      <rPr>
        <sz val="11"/>
        <rFont val="Calibri"/>
      </rPr>
      <t>tc Server UI must limit the amount of time that each TCP connection is kept alive.</t>
    </r>
  </si>
  <si>
    <r>
      <rPr>
        <sz val="11"/>
        <color rgb="FF000000"/>
        <rFont val="Calibri"/>
      </rPr>
      <t>Navigate to and open /usr/lib/vmware-vcops/tomcat-web-app/conf/server.xml.</t>
    </r>
    <r>
      <rPr>
        <sz val="11"/>
        <color rgb="FF000000"/>
        <rFont val="Calibri"/>
      </rPr>
      <t xml:space="preserve">
</t>
    </r>
    <r>
      <rPr>
        <sz val="11"/>
        <color rgb="FF000000"/>
        <rFont val="Calibri"/>
      </rPr>
      <t>Navigate to each of the &lt;Connector&gt; nodes.</t>
    </r>
    <r>
      <rPr>
        <sz val="11"/>
        <color rgb="FF000000"/>
        <rFont val="Calibri"/>
      </rPr>
      <t xml:space="preserve">
</t>
    </r>
    <r>
      <rPr>
        <sz val="11"/>
        <color rgb="FF000000"/>
        <rFont val="Calibri"/>
      </rPr>
      <t>Configure each &lt;Connector&gt; with the value 'connectionTimeout="20000"'.</t>
    </r>
  </si>
  <si>
    <r>
      <rPr>
        <sz val="11"/>
        <color rgb="FF000000"/>
        <rFont val="Calibri"/>
      </rPr>
      <t>Denial of Service is one threat against web servers. Many DoS attacks attempt to consume web server resources in such a way that no more resources are available to satisfy legitimate requests. Mitigation against these threats is to take steps to limit the number of resources that can be consumed in certain ways.</t>
    </r>
    <r>
      <rPr>
        <sz val="11"/>
        <color rgb="FF000000"/>
        <rFont val="Calibri"/>
      </rPr>
      <t xml:space="preserve">
</t>
    </r>
    <r>
      <rPr>
        <sz val="11"/>
        <color rgb="FF000000"/>
        <rFont val="Calibri"/>
      </rPr>
      <t>tc Server provides the “connectionTimeout” attribute. This sets the number of milliseconds tc Server will wait, after accepting a connection, for the request URI line to be presented. This timeout will also be used when reading the request body (if any).</t>
    </r>
  </si>
  <si>
    <r>
      <rPr>
        <sz val="11"/>
        <color rgb="FF000000"/>
        <rFont val="Calibri"/>
      </rPr>
      <t>Navigate to and open /usr/lib/vmware-vcops/tomcat-web-app/conf/server.xml.</t>
    </r>
    <r>
      <rPr>
        <sz val="11"/>
        <color rgb="FF000000"/>
        <rFont val="Calibri"/>
      </rPr>
      <t xml:space="preserve">
</t>
    </r>
    <r>
      <rPr>
        <sz val="11"/>
        <color rgb="FF000000"/>
        <rFont val="Calibri"/>
      </rPr>
      <t>Navigate to each of the &lt;Connector&gt; nodes.</t>
    </r>
    <r>
      <rPr>
        <sz val="11"/>
        <color rgb="FF000000"/>
        <rFont val="Calibri"/>
      </rPr>
      <t xml:space="preserve">
</t>
    </r>
    <r>
      <rPr>
        <sz val="11"/>
        <color rgb="FF000000"/>
        <rFont val="Calibri"/>
      </rPr>
      <t>If the value of “connectionTimeout” is not set to “20000” or is missing, this is a finding.</t>
    </r>
  </si>
  <si>
    <t>V-88783</t>
  </si>
  <si>
    <r>
      <rPr>
        <sz val="11"/>
        <rFont val="Calibri"/>
      </rPr>
      <t>tc Server CaSa must limit the amount of time that each TCP connection is kept alive.</t>
    </r>
  </si>
  <si>
    <r>
      <rPr>
        <sz val="11"/>
        <color rgb="FF000000"/>
        <rFont val="Calibri"/>
      </rPr>
      <t>Navigate to and open /usr/lib/vmware-casa/casa-webapp/conf/server.xml.</t>
    </r>
    <r>
      <rPr>
        <sz val="11"/>
        <color rgb="FF000000"/>
        <rFont val="Calibri"/>
      </rPr>
      <t xml:space="preserve">
</t>
    </r>
    <r>
      <rPr>
        <sz val="11"/>
        <color rgb="FF000000"/>
        <rFont val="Calibri"/>
      </rPr>
      <t>Navigate to each of the &lt;Connector&gt; nodes.</t>
    </r>
    <r>
      <rPr>
        <sz val="11"/>
        <color rgb="FF000000"/>
        <rFont val="Calibri"/>
      </rPr>
      <t xml:space="preserve">
</t>
    </r>
    <r>
      <rPr>
        <sz val="11"/>
        <color rgb="FF000000"/>
        <rFont val="Calibri"/>
      </rPr>
      <t>Configure each &lt;Connector&gt; with the value 'connectionTimeout="20000"'.</t>
    </r>
  </si>
  <si>
    <r>
      <rPr>
        <sz val="11"/>
        <color rgb="FF000000"/>
        <rFont val="Calibri"/>
      </rPr>
      <t>Navigate to and open /usr/lib/vmware-casa/casa-webapp/conf/server.xml.</t>
    </r>
    <r>
      <rPr>
        <sz val="11"/>
        <color rgb="FF000000"/>
        <rFont val="Calibri"/>
      </rPr>
      <t xml:space="preserve">
</t>
    </r>
    <r>
      <rPr>
        <sz val="11"/>
        <color rgb="FF000000"/>
        <rFont val="Calibri"/>
      </rPr>
      <t>Navigate to each of the &lt;Connector&gt; nodes.</t>
    </r>
    <r>
      <rPr>
        <sz val="11"/>
        <color rgb="FF000000"/>
        <rFont val="Calibri"/>
      </rPr>
      <t xml:space="preserve">
</t>
    </r>
    <r>
      <rPr>
        <sz val="11"/>
        <color rgb="FF000000"/>
        <rFont val="Calibri"/>
      </rPr>
      <t>If the value of “connectionTimeout” is not set to “20000” or is missing, this is a finding.</t>
    </r>
  </si>
  <si>
    <t>V-88785</t>
  </si>
  <si>
    <r>
      <rPr>
        <sz val="11"/>
        <rFont val="Calibri"/>
      </rPr>
      <t>tc Server API must limit the amount of time that each TCP connection is kept alive.</t>
    </r>
  </si>
  <si>
    <r>
      <rPr>
        <sz val="11"/>
        <color rgb="FF000000"/>
        <rFont val="Calibri"/>
      </rPr>
      <t>Navigate to and open /usr/lib/vmware-vcops/tomcat-enterprise/conf/server.xml.</t>
    </r>
    <r>
      <rPr>
        <sz val="11"/>
        <color rgb="FF000000"/>
        <rFont val="Calibri"/>
      </rPr>
      <t xml:space="preserve">
</t>
    </r>
    <r>
      <rPr>
        <sz val="11"/>
        <color rgb="FF000000"/>
        <rFont val="Calibri"/>
      </rPr>
      <t>Navigate to each of the &lt;Connector&gt; nodes.</t>
    </r>
    <r>
      <rPr>
        <sz val="11"/>
        <color rgb="FF000000"/>
        <rFont val="Calibri"/>
      </rPr>
      <t xml:space="preserve">
</t>
    </r>
    <r>
      <rPr>
        <sz val="11"/>
        <color rgb="FF000000"/>
        <rFont val="Calibri"/>
      </rPr>
      <t>Configure each &lt;Connector&gt; with the value 'connectionTimeout="20000"'.</t>
    </r>
  </si>
  <si>
    <r>
      <rPr>
        <sz val="11"/>
        <color rgb="FF000000"/>
        <rFont val="Calibri"/>
      </rPr>
      <t>Navigate to and open /usr/lib/vmware-vcops/tomcat-enterprise/conf/server.xml.</t>
    </r>
    <r>
      <rPr>
        <sz val="11"/>
        <color rgb="FF000000"/>
        <rFont val="Calibri"/>
      </rPr>
      <t xml:space="preserve">
</t>
    </r>
    <r>
      <rPr>
        <sz val="11"/>
        <color rgb="FF000000"/>
        <rFont val="Calibri"/>
      </rPr>
      <t>Navigate to each of the &lt;Connector&gt; nodes.</t>
    </r>
    <r>
      <rPr>
        <sz val="11"/>
        <color rgb="FF000000"/>
        <rFont val="Calibri"/>
      </rPr>
      <t xml:space="preserve">
</t>
    </r>
    <r>
      <rPr>
        <sz val="11"/>
        <color rgb="FF000000"/>
        <rFont val="Calibri"/>
      </rPr>
      <t>If the value of “connectionTimeout” is not set to “20000” or is missing, this is a finding.</t>
    </r>
  </si>
  <si>
    <t>V-88787</t>
  </si>
  <si>
    <r>
      <rPr>
        <sz val="11"/>
        <rFont val="Calibri"/>
      </rPr>
      <t>tc Server UI must limit the number of times that each TCP connection is kept alive.</t>
    </r>
  </si>
  <si>
    <r>
      <rPr>
        <sz val="11"/>
        <color rgb="FF000000"/>
        <rFont val="Calibri"/>
      </rPr>
      <t>Navigate to and open /usr/lib/vmware-vcops/tomcat-web-app/conf/server.xml.</t>
    </r>
    <r>
      <rPr>
        <sz val="11"/>
        <color rgb="FF000000"/>
        <rFont val="Calibri"/>
      </rPr>
      <t xml:space="preserve">
</t>
    </r>
    <r>
      <rPr>
        <sz val="11"/>
        <color rgb="FF000000"/>
        <rFont val="Calibri"/>
      </rPr>
      <t>Navigate to each of the &lt;Connector&gt; nodes.</t>
    </r>
    <r>
      <rPr>
        <sz val="11"/>
        <color rgb="FF000000"/>
        <rFont val="Calibri"/>
      </rPr>
      <t xml:space="preserve">
</t>
    </r>
    <r>
      <rPr>
        <sz val="11"/>
        <color rgb="FF000000"/>
        <rFont val="Calibri"/>
      </rPr>
      <t>Configure each &lt;Connector&gt; with the value 'maxKeepAliveRequests="15"'.</t>
    </r>
  </si>
  <si>
    <r>
      <rPr>
        <sz val="11"/>
        <color rgb="FF000000"/>
        <rFont val="Calibri"/>
      </rPr>
      <t>KeepAlive provides long-lived HTTP sessions that allow multiple requests to be sent over the same connection. Enabling KeepAlive mitigates the effects of several types of denial-of-service attacks.</t>
    </r>
    <r>
      <rPr>
        <sz val="11"/>
        <color rgb="FF000000"/>
        <rFont val="Calibri"/>
      </rPr>
      <t xml:space="preserve">
</t>
    </r>
    <r>
      <rPr>
        <sz val="11"/>
        <color rgb="FF000000"/>
        <rFont val="Calibri"/>
      </rPr>
      <t>An advantage of KeepAlive is the reduced latency in subsequent requests (no handshaking). However, a disadvantage is that server resources are not available to handle other requests while a connection is maintained between the server and the client.</t>
    </r>
    <r>
      <rPr>
        <sz val="11"/>
        <color rgb="FF000000"/>
        <rFont val="Calibri"/>
      </rPr>
      <t xml:space="preserve">
</t>
    </r>
    <r>
      <rPr>
        <sz val="11"/>
        <color rgb="FF000000"/>
        <rFont val="Calibri"/>
      </rPr>
      <t>tc Server can be configured to limit the number of subsequent requests that one client can submit to the server over an established connection. This limit helps provide a balance between the advantages of KeepAlive, while not allowing any one connection being held too long by any one client. “maxKeepAliveRequests” is the tc Server attribute which sets this limit.</t>
    </r>
  </si>
  <si>
    <r>
      <rPr>
        <sz val="11"/>
        <color rgb="FF000000"/>
        <rFont val="Calibri"/>
      </rPr>
      <t>Navigate to and open /usr/lib/vmware-vcops/tomcat-web-app/conf/server.xml.</t>
    </r>
    <r>
      <rPr>
        <sz val="11"/>
        <color rgb="FF000000"/>
        <rFont val="Calibri"/>
      </rPr>
      <t xml:space="preserve">
</t>
    </r>
    <r>
      <rPr>
        <sz val="11"/>
        <color rgb="FF000000"/>
        <rFont val="Calibri"/>
      </rPr>
      <t>Navigate to each of the &lt;Connector&gt; nodes.</t>
    </r>
    <r>
      <rPr>
        <sz val="11"/>
        <color rgb="FF000000"/>
        <rFont val="Calibri"/>
      </rPr>
      <t xml:space="preserve">
</t>
    </r>
    <r>
      <rPr>
        <sz val="11"/>
        <color rgb="FF000000"/>
        <rFont val="Calibri"/>
      </rPr>
      <t>If the value of “maxKeepAliveRequests” is not set to “15” or is missing, this is a finding.</t>
    </r>
  </si>
  <si>
    <t>V-88789</t>
  </si>
  <si>
    <r>
      <rPr>
        <sz val="11"/>
        <rFont val="Calibri"/>
      </rPr>
      <t>tc Server CaSa must limit the number of times that each TCP connection is kept alive.</t>
    </r>
  </si>
  <si>
    <r>
      <rPr>
        <sz val="11"/>
        <color rgb="FF000000"/>
        <rFont val="Calibri"/>
      </rPr>
      <t>Navigate to and open /usr/lib/vmware-casa/casa-webapp/conf/server.xml.</t>
    </r>
    <r>
      <rPr>
        <sz val="11"/>
        <color rgb="FF000000"/>
        <rFont val="Calibri"/>
      </rPr>
      <t xml:space="preserve">
</t>
    </r>
    <r>
      <rPr>
        <sz val="11"/>
        <color rgb="FF000000"/>
        <rFont val="Calibri"/>
      </rPr>
      <t>Navigate to each of the &lt;Connector&gt; nodes.</t>
    </r>
    <r>
      <rPr>
        <sz val="11"/>
        <color rgb="FF000000"/>
        <rFont val="Calibri"/>
      </rPr>
      <t xml:space="preserve">
</t>
    </r>
    <r>
      <rPr>
        <sz val="11"/>
        <color rgb="FF000000"/>
        <rFont val="Calibri"/>
      </rPr>
      <t>Configure each &lt;Connector&gt; with the value 'maxKeepAliveRequests="15"'.</t>
    </r>
  </si>
  <si>
    <r>
      <rPr>
        <sz val="11"/>
        <color rgb="FF000000"/>
        <rFont val="Calibri"/>
      </rPr>
      <t>KeepAlive provides long-lived HTTP sessions that allow multiple requests to be sent over the same connection. Enabling KeepAlive mitigates the effects of several types of denial-of-service attacks.</t>
    </r>
    <r>
      <rPr>
        <sz val="11"/>
        <color rgb="FF000000"/>
        <rFont val="Calibri"/>
      </rPr>
      <t xml:space="preserve">
</t>
    </r>
    <r>
      <rPr>
        <sz val="11"/>
        <color rgb="FF000000"/>
        <rFont val="Calibri"/>
      </rPr>
      <t>An advantage of KeepAlive is the reduced latency in subsequent requests (no handshaking). However, a disadvantage is that server resources are not available to handle other requests while a connection is maintained between the server and the client.</t>
    </r>
    <r>
      <rPr>
        <sz val="11"/>
        <color rgb="FF000000"/>
        <rFont val="Calibri"/>
      </rPr>
      <t xml:space="preserve">
</t>
    </r>
    <r>
      <rPr>
        <sz val="11"/>
        <color rgb="FF000000"/>
        <rFont val="Calibri"/>
      </rPr>
      <t>tc Server can be configured to limit the number of subsequent requests that one client can submit to the server over an established connection. This limit helps provide a balance between the advantages of KeepAlive, while not allowing any one connection being held too long by any one client. “maxKeepAliveRequests” is the tc Server attribute that sets this limit.</t>
    </r>
  </si>
  <si>
    <r>
      <rPr>
        <sz val="11"/>
        <color rgb="FF000000"/>
        <rFont val="Calibri"/>
      </rPr>
      <t>Navigate to and open /usr/lib/vmware-casa/casa-webapp/conf/server.xml.</t>
    </r>
    <r>
      <rPr>
        <sz val="11"/>
        <color rgb="FF000000"/>
        <rFont val="Calibri"/>
      </rPr>
      <t xml:space="preserve">
</t>
    </r>
    <r>
      <rPr>
        <sz val="11"/>
        <color rgb="FF000000"/>
        <rFont val="Calibri"/>
      </rPr>
      <t>Navigate to each of the &lt;Connector&gt; nodes.</t>
    </r>
    <r>
      <rPr>
        <sz val="11"/>
        <color rgb="FF000000"/>
        <rFont val="Calibri"/>
      </rPr>
      <t xml:space="preserve">
</t>
    </r>
    <r>
      <rPr>
        <sz val="11"/>
        <color rgb="FF000000"/>
        <rFont val="Calibri"/>
      </rPr>
      <t>If the value of “maxKeepAliveRequests” is not set to “15” or is missing, this is a finding.</t>
    </r>
  </si>
  <si>
    <t>V-88791</t>
  </si>
  <si>
    <r>
      <rPr>
        <sz val="11"/>
        <rFont val="Calibri"/>
      </rPr>
      <t>tc Server API must limit the number of times that each TCP connection is kept alive.</t>
    </r>
  </si>
  <si>
    <r>
      <rPr>
        <sz val="11"/>
        <color rgb="FF000000"/>
        <rFont val="Calibri"/>
      </rPr>
      <t>Navigate to and open /usr/lib/vmware-vcops/tomcat-enterprise/conf/server.xml.</t>
    </r>
    <r>
      <rPr>
        <sz val="11"/>
        <color rgb="FF000000"/>
        <rFont val="Calibri"/>
      </rPr>
      <t xml:space="preserve">
</t>
    </r>
    <r>
      <rPr>
        <sz val="11"/>
        <color rgb="FF000000"/>
        <rFont val="Calibri"/>
      </rPr>
      <t>Navigate to each of the &lt;Connector&gt; nodes.</t>
    </r>
    <r>
      <rPr>
        <sz val="11"/>
        <color rgb="FF000000"/>
        <rFont val="Calibri"/>
      </rPr>
      <t xml:space="preserve">
</t>
    </r>
    <r>
      <rPr>
        <sz val="11"/>
        <color rgb="FF000000"/>
        <rFont val="Calibri"/>
      </rPr>
      <t>Configure each &lt;Connector&gt; with the value 'maxKeepAliveRequests="15"'.</t>
    </r>
  </si>
  <si>
    <r>
      <rPr>
        <sz val="11"/>
        <color rgb="FF000000"/>
        <rFont val="Calibri"/>
      </rPr>
      <t>Navigate to and open /usr/lib/vmware-vcops/tomcat-enterprise/conf/server.xml.</t>
    </r>
    <r>
      <rPr>
        <sz val="11"/>
        <color rgb="FF000000"/>
        <rFont val="Calibri"/>
      </rPr>
      <t xml:space="preserve">
</t>
    </r>
    <r>
      <rPr>
        <sz val="11"/>
        <color rgb="FF000000"/>
        <rFont val="Calibri"/>
      </rPr>
      <t>Navigate to each of the &lt;Connector&gt; nodes.</t>
    </r>
    <r>
      <rPr>
        <sz val="11"/>
        <color rgb="FF000000"/>
        <rFont val="Calibri"/>
      </rPr>
      <t xml:space="preserve">
</t>
    </r>
    <r>
      <rPr>
        <sz val="11"/>
        <color rgb="FF000000"/>
        <rFont val="Calibri"/>
      </rPr>
      <t>If the value of “maxKeepAliveRequests” is not set to “15” or is missing, this is a finding.</t>
    </r>
  </si>
  <si>
    <t>V-88793</t>
  </si>
  <si>
    <r>
      <rPr>
        <sz val="11"/>
        <rFont val="Calibri"/>
      </rPr>
      <t>tc Server UI must perform server-side session management.</t>
    </r>
  </si>
  <si>
    <r>
      <rPr>
        <sz val="11"/>
        <color rgb="FF000000"/>
        <rFont val="Calibri"/>
      </rPr>
      <t>Navigate to and open /usr/lib/vmware-vcops/tomcat-web-app/conf/context.xml.</t>
    </r>
    <r>
      <rPr>
        <sz val="11"/>
        <color rgb="FF000000"/>
        <rFont val="Calibri"/>
      </rPr>
      <t xml:space="preserve">
</t>
    </r>
    <r>
      <rPr>
        <sz val="11"/>
        <color rgb="FF000000"/>
        <rFont val="Calibri"/>
      </rPr>
      <t>Navigate to and locate the &lt;Context&gt; node.</t>
    </r>
    <r>
      <rPr>
        <sz val="11"/>
        <color rgb="FF000000"/>
        <rFont val="Calibri"/>
      </rPr>
      <t xml:space="preserve">
</t>
    </r>
    <r>
      <rPr>
        <sz val="11"/>
        <color rgb="FF000000"/>
        <rFont val="Calibri"/>
      </rPr>
      <t>Remove the value 'cookies="false"' from the &lt;Context&gt; node.</t>
    </r>
  </si>
  <si>
    <r>
      <rPr>
        <sz val="11"/>
        <color rgb="FF000000"/>
        <rFont val="Calibri"/>
      </rPr>
      <t>Cookies are a common way to save session state over the HTTP(S) protocol. If an attacker can compromise session data stored in a cookie, they are better able to launch an attack against the server and its applications.</t>
    </r>
    <r>
      <rPr>
        <sz val="11"/>
        <color rgb="FF000000"/>
        <rFont val="Calibri"/>
      </rPr>
      <t xml:space="preserve">
</t>
    </r>
    <r>
      <rPr>
        <sz val="11"/>
        <color rgb="FF000000"/>
        <rFont val="Calibri"/>
      </rPr>
      <t>Session cookies stored on the server are more secure than cookies stored on the client. Therefore, tc Server must be configured correctly in order to generate and manage session cookies on the server. Managing cookies on the server provides a layer of defense to vRealize Operations.</t>
    </r>
    <r>
      <rPr>
        <sz val="11"/>
        <color rgb="FF000000"/>
        <rFont val="Calibri"/>
      </rPr>
      <t xml:space="preserve">
</t>
    </r>
    <r>
      <rPr>
        <sz val="11"/>
        <color rgb="FF000000"/>
        <rFont val="Calibri"/>
      </rPr>
      <t>By default, tc Server is designed to manage cookies on the server. However, incorrect configuration can turn off the default feature.</t>
    </r>
  </si>
  <si>
    <r>
      <rPr>
        <sz val="11"/>
        <color rgb="FF000000"/>
        <rFont val="Calibri"/>
      </rPr>
      <t>At the command prompt, execute the following command:</t>
    </r>
    <r>
      <rPr>
        <sz val="11"/>
        <color rgb="FF000000"/>
        <rFont val="Calibri"/>
      </rPr>
      <t xml:space="preserve">
</t>
    </r>
    <r>
      <rPr>
        <sz val="11"/>
        <color rgb="FF000000"/>
        <rFont val="Calibri"/>
      </rPr>
      <t>grep -E 'cookies=.false' /usr/lib/vmware-vcops/tomcat-web-app/conf/context.xml</t>
    </r>
    <r>
      <rPr>
        <sz val="11"/>
        <color rgb="FF000000"/>
        <rFont val="Calibri"/>
      </rPr>
      <t xml:space="preserve">
</t>
    </r>
    <r>
      <rPr>
        <sz val="11"/>
        <color rgb="FF000000"/>
        <rFont val="Calibri"/>
      </rPr>
      <t>If the command produces any output, this is a finding.</t>
    </r>
  </si>
  <si>
    <t>V-88795</t>
  </si>
  <si>
    <r>
      <rPr>
        <sz val="11"/>
        <rFont val="Calibri"/>
      </rPr>
      <t>tc Server CaSa must perform server-side session management.</t>
    </r>
  </si>
  <si>
    <r>
      <rPr>
        <sz val="11"/>
        <color rgb="FF000000"/>
        <rFont val="Calibri"/>
      </rPr>
      <t>Navigate to and open /usr/lib/vmware-casa/casa-webapp/conf/context.xml.</t>
    </r>
    <r>
      <rPr>
        <sz val="11"/>
        <color rgb="FF000000"/>
        <rFont val="Calibri"/>
      </rPr>
      <t xml:space="preserve">
</t>
    </r>
    <r>
      <rPr>
        <sz val="11"/>
        <color rgb="FF000000"/>
        <rFont val="Calibri"/>
      </rPr>
      <t>Navigate to and locate the &lt;Context&gt; node.</t>
    </r>
    <r>
      <rPr>
        <sz val="11"/>
        <color rgb="FF000000"/>
        <rFont val="Calibri"/>
      </rPr>
      <t xml:space="preserve">
</t>
    </r>
    <r>
      <rPr>
        <sz val="11"/>
        <color rgb="FF000000"/>
        <rFont val="Calibri"/>
      </rPr>
      <t>Remove the value 'cookies="false"' from the &lt;Context&gt; node.</t>
    </r>
  </si>
  <si>
    <r>
      <rPr>
        <sz val="11"/>
        <color rgb="FF000000"/>
        <rFont val="Calibri"/>
      </rPr>
      <t>Cookies are a common way to save session state over the HTTP(S) protocol. If an attacker can compromise session data stored in a cookie, they are better able to launch an attack against the server and its applications.</t>
    </r>
    <r>
      <rPr>
        <sz val="11"/>
        <color rgb="FF000000"/>
        <rFont val="Calibri"/>
      </rPr>
      <t xml:space="preserve">
</t>
    </r>
    <r>
      <rPr>
        <sz val="11"/>
        <color rgb="FF000000"/>
        <rFont val="Calibri"/>
      </rPr>
      <t>Session cookies stored on the server are more secure than cookies stored on the client. Therefore, tc Server must be configured correctly in order to generate and manage session cookies on the server. Managing cookies on the server provides a layer of defense to vRealize Automation.</t>
    </r>
    <r>
      <rPr>
        <sz val="11"/>
        <color rgb="FF000000"/>
        <rFont val="Calibri"/>
      </rPr>
      <t xml:space="preserve">
</t>
    </r>
    <r>
      <rPr>
        <sz val="11"/>
        <color rgb="FF000000"/>
        <rFont val="Calibri"/>
      </rPr>
      <t>By default, tc Server is designed to manage cookies on the server. However, incorrect configuration can turn off the default feature.</t>
    </r>
  </si>
  <si>
    <r>
      <rPr>
        <sz val="11"/>
        <color rgb="FF000000"/>
        <rFont val="Calibri"/>
      </rPr>
      <t>At the command prompt, execute the following command:</t>
    </r>
    <r>
      <rPr>
        <sz val="11"/>
        <color rgb="FF000000"/>
        <rFont val="Calibri"/>
      </rPr>
      <t xml:space="preserve">
</t>
    </r>
    <r>
      <rPr>
        <sz val="11"/>
        <color rgb="FF000000"/>
        <rFont val="Calibri"/>
      </rPr>
      <t>grep -E 'cookies=.false' /usr/lib/vmware-casa/casa-webapp/conf/context.xml</t>
    </r>
    <r>
      <rPr>
        <sz val="11"/>
        <color rgb="FF000000"/>
        <rFont val="Calibri"/>
      </rPr>
      <t xml:space="preserve">
</t>
    </r>
    <r>
      <rPr>
        <sz val="11"/>
        <color rgb="FF000000"/>
        <rFont val="Calibri"/>
      </rPr>
      <t>If the command produces any output, this is a finding.</t>
    </r>
  </si>
  <si>
    <t>V-88797</t>
  </si>
  <si>
    <r>
      <rPr>
        <sz val="11"/>
        <rFont val="Calibri"/>
      </rPr>
      <t>tc Server API must perform server-side session management.</t>
    </r>
  </si>
  <si>
    <r>
      <rPr>
        <sz val="11"/>
        <color rgb="FF000000"/>
        <rFont val="Calibri"/>
      </rPr>
      <t>Navigate to and open /usr/lib/vmware-vcops/tomcat-enterprise/conf/context.xml.</t>
    </r>
    <r>
      <rPr>
        <sz val="11"/>
        <color rgb="FF000000"/>
        <rFont val="Calibri"/>
      </rPr>
      <t xml:space="preserve">
</t>
    </r>
    <r>
      <rPr>
        <sz val="11"/>
        <color rgb="FF000000"/>
        <rFont val="Calibri"/>
      </rPr>
      <t>Navigate to and locate the &lt;Context&gt; node.</t>
    </r>
    <r>
      <rPr>
        <sz val="11"/>
        <color rgb="FF000000"/>
        <rFont val="Calibri"/>
      </rPr>
      <t xml:space="preserve">
</t>
    </r>
    <r>
      <rPr>
        <sz val="11"/>
        <color rgb="FF000000"/>
        <rFont val="Calibri"/>
      </rPr>
      <t>Remove the value 'cookies="false"' from the &lt;Context&gt; node.</t>
    </r>
  </si>
  <si>
    <r>
      <rPr>
        <sz val="11"/>
        <color rgb="FF000000"/>
        <rFont val="Calibri"/>
      </rPr>
      <t>At the command prompt, execute the following command:</t>
    </r>
    <r>
      <rPr>
        <sz val="11"/>
        <color rgb="FF000000"/>
        <rFont val="Calibri"/>
      </rPr>
      <t xml:space="preserve">
</t>
    </r>
    <r>
      <rPr>
        <sz val="11"/>
        <color rgb="FF000000"/>
        <rFont val="Calibri"/>
      </rPr>
      <t>grep -E 'cookies=.false' /usr/lib/vmware-vcops/tomcat-enterprise/conf/context.xml</t>
    </r>
    <r>
      <rPr>
        <sz val="11"/>
        <color rgb="FF000000"/>
        <rFont val="Calibri"/>
      </rPr>
      <t xml:space="preserve">
</t>
    </r>
    <r>
      <rPr>
        <sz val="11"/>
        <color rgb="FF000000"/>
        <rFont val="Calibri"/>
      </rPr>
      <t>If the command produces any output, this is a finding.</t>
    </r>
  </si>
  <si>
    <t>V-88799</t>
  </si>
  <si>
    <r>
      <rPr>
        <sz val="11"/>
        <rFont val="Calibri"/>
      </rPr>
      <t>tc Server UI must be configured with FIPS 140-2 compliant ciphers for HTTPS connections.</t>
    </r>
  </si>
  <si>
    <r>
      <rPr>
        <sz val="11"/>
        <color rgb="FF000000"/>
        <rFont val="Calibri"/>
      </rPr>
      <t>Navigate to and open /usr/lib/vmware-vcops/tomcat-web-app/conf/catalina.properties.</t>
    </r>
    <r>
      <rPr>
        <sz val="11"/>
        <color rgb="FF000000"/>
        <rFont val="Calibri"/>
      </rPr>
      <t xml:space="preserve">
</t>
    </r>
    <r>
      <rPr>
        <sz val="11"/>
        <color rgb="FF000000"/>
        <rFont val="Calibri"/>
      </rPr>
      <t>Navigate to and locate “vmware-ssl.ssl.ciphers.list”.</t>
    </r>
    <r>
      <rPr>
        <sz val="11"/>
        <color rgb="FF000000"/>
        <rFont val="Calibri"/>
      </rPr>
      <t xml:space="preserve">
</t>
    </r>
    <r>
      <rPr>
        <sz val="11"/>
        <color rgb="FF000000"/>
        <rFont val="Calibri"/>
      </rPr>
      <t>Configure the “vmware-ssl.ssl.ciphers.list” with FIPS 140-2 compliant ciphers.</t>
    </r>
  </si>
  <si>
    <r>
      <rPr>
        <sz val="11"/>
        <color rgb="FF000000"/>
        <rFont val="Calibri"/>
      </rPr>
      <t>Encryption of data-in-flight is an essential element of protecting information confidentiality. If a web server uses weak or outdated encryption algorithms, then the server's communications can potentially be compromised.</t>
    </r>
    <r>
      <rPr>
        <sz val="11"/>
        <color rgb="FF000000"/>
        <rFont val="Calibri"/>
      </rPr>
      <t xml:space="preserve">
</t>
    </r>
    <r>
      <rPr>
        <sz val="11"/>
        <color rgb="FF000000"/>
        <rFont val="Calibri"/>
      </rPr>
      <t>The US Federal Information Processing Standards (FIPS) publication 140-2, Security Requirements for Cryptographic Modules (FIPS 140-2) identifies eleven areas for a cryptographic module used inside a security system that protects information. FIPS 140-2- approved ciphers provide the maximum level of encryption possible for a private web server.</t>
    </r>
    <r>
      <rPr>
        <sz val="11"/>
        <color rgb="FF000000"/>
        <rFont val="Calibri"/>
      </rPr>
      <t xml:space="preserve">
</t>
    </r>
    <r>
      <rPr>
        <sz val="11"/>
        <color rgb="FF000000"/>
        <rFont val="Calibri"/>
      </rPr>
      <t>Configuration of ciphers used by tc Server are set in the “catalina.properties” file. Only those ciphers specified in the configuration file, and which are available in the installed OpenSSL library, will be used by tc Server while encrypting data for transmission.</t>
    </r>
  </si>
  <si>
    <r>
      <rPr>
        <sz val="11"/>
        <color rgb="FF000000"/>
        <rFont val="Calibri"/>
      </rPr>
      <t>At the command prompt, execute the following command:</t>
    </r>
    <r>
      <rPr>
        <sz val="11"/>
        <color rgb="FF000000"/>
        <rFont val="Calibri"/>
      </rPr>
      <t xml:space="preserve">
</t>
    </r>
    <r>
      <rPr>
        <sz val="11"/>
        <color rgb="FF000000"/>
        <rFont val="Calibri"/>
      </rPr>
      <t>grep vmware-ssl.ssl.ciphers.list /usr/lib/vmware-vcops/tomcat-web-app/conf/catalina.properties</t>
    </r>
    <r>
      <rPr>
        <sz val="11"/>
        <color rgb="FF000000"/>
        <rFont val="Calibri"/>
      </rPr>
      <t xml:space="preserve">
</t>
    </r>
    <r>
      <rPr>
        <sz val="11"/>
        <color rgb="FF000000"/>
        <rFont val="Calibri"/>
      </rPr>
      <t>If the value of “vmware-ssl.ssl.ciphers.list” does not match the list of FIPS 140-2 ciphers or is missing, this is a finding.</t>
    </r>
    <r>
      <rPr>
        <sz val="11"/>
        <color rgb="FF000000"/>
        <rFont val="Calibri"/>
      </rPr>
      <t xml:space="preserve">
</t>
    </r>
    <r>
      <rPr>
        <sz val="11"/>
        <color rgb="FF000000"/>
        <rFont val="Calibri"/>
      </rPr>
      <t>Note: To view a list of FIPS 140-2 ciphers, at the command prompt execute the following command:</t>
    </r>
    <r>
      <rPr>
        <sz val="11"/>
        <color rgb="FF000000"/>
        <rFont val="Calibri"/>
      </rPr>
      <t xml:space="preserve">
</t>
    </r>
    <r>
      <rPr>
        <sz val="11"/>
        <color rgb="FF000000"/>
        <rFont val="Calibri"/>
      </rPr>
      <t>openssl ciphers 'FIPS'</t>
    </r>
  </si>
  <si>
    <t>V-88801</t>
  </si>
  <si>
    <r>
      <rPr>
        <sz val="11"/>
        <rFont val="Calibri"/>
      </rPr>
      <t>tc Server CaSa must be configured with FIPS 140-2 compliant ciphers for HTTPS connections.</t>
    </r>
  </si>
  <si>
    <r>
      <rPr>
        <sz val="11"/>
        <color rgb="FF000000"/>
        <rFont val="Calibri"/>
      </rPr>
      <t>Navigate to and open /usr/lib/vmware-casa/casa-webapp/conf/catalina.properties.</t>
    </r>
    <r>
      <rPr>
        <sz val="11"/>
        <color rgb="FF000000"/>
        <rFont val="Calibri"/>
      </rPr>
      <t xml:space="preserve">
</t>
    </r>
    <r>
      <rPr>
        <sz val="11"/>
        <color rgb="FF000000"/>
        <rFont val="Calibri"/>
      </rPr>
      <t>Navigate to and locate “vmware-casa.ssl.ciphers.list”.</t>
    </r>
    <r>
      <rPr>
        <sz val="11"/>
        <color rgb="FF000000"/>
        <rFont val="Calibri"/>
      </rPr>
      <t xml:space="preserve">
</t>
    </r>
    <r>
      <rPr>
        <sz val="11"/>
        <color rgb="FF000000"/>
        <rFont val="Calibri"/>
      </rPr>
      <t>Configure the “vmware-casa.ssl.ciphers.list” with FIPS 140-2 compliant ciphers.</t>
    </r>
  </si>
  <si>
    <r>
      <rPr>
        <sz val="11"/>
        <color rgb="FF000000"/>
        <rFont val="Calibri"/>
      </rPr>
      <t>At the command prompt, execute the following command:</t>
    </r>
    <r>
      <rPr>
        <sz val="11"/>
        <color rgb="FF000000"/>
        <rFont val="Calibri"/>
      </rPr>
      <t xml:space="preserve">
</t>
    </r>
    <r>
      <rPr>
        <sz val="11"/>
        <color rgb="FF000000"/>
        <rFont val="Calibri"/>
      </rPr>
      <t>grep -A 10 vmware-casa.ssl.ciphers.list /usr/lib/vmware-casa/casa-webapp/conf/catalina.properties</t>
    </r>
    <r>
      <rPr>
        <sz val="11"/>
        <color rgb="FF000000"/>
        <rFont val="Calibri"/>
      </rPr>
      <t xml:space="preserve">
</t>
    </r>
    <r>
      <rPr>
        <sz val="11"/>
        <color rgb="FF000000"/>
        <rFont val="Calibri"/>
      </rPr>
      <t>If the value of “vmware-casa.ssl.ciphers.list” does not match the list of FIPS 140-2 ciphers or is missing, this is a finding.</t>
    </r>
    <r>
      <rPr>
        <sz val="11"/>
        <color rgb="FF000000"/>
        <rFont val="Calibri"/>
      </rPr>
      <t xml:space="preserve">
</t>
    </r>
    <r>
      <rPr>
        <sz val="11"/>
        <color rgb="FF000000"/>
        <rFont val="Calibri"/>
      </rPr>
      <t>Note: To view a list of FIPS 140-2 ciphers, at the command prompt execute the following command:</t>
    </r>
    <r>
      <rPr>
        <sz val="11"/>
        <color rgb="FF000000"/>
        <rFont val="Calibri"/>
      </rPr>
      <t xml:space="preserve">
</t>
    </r>
    <r>
      <rPr>
        <sz val="11"/>
        <color rgb="FF000000"/>
        <rFont val="Calibri"/>
      </rPr>
      <t>openssl ciphers 'FIPS'</t>
    </r>
  </si>
  <si>
    <t>V-88803</t>
  </si>
  <si>
    <r>
      <rPr>
        <sz val="11"/>
        <rFont val="Calibri"/>
      </rPr>
      <t>tc Server API must be configured with FIPS 140-2 compliant ciphers for HTTPS connections.</t>
    </r>
  </si>
  <si>
    <r>
      <rPr>
        <sz val="11"/>
        <color rgb="FF000000"/>
        <rFont val="Calibri"/>
      </rPr>
      <t>Navigate to and open /usr/lib/vmware-vcops/tomcat-enterprise/conf/catalina.properties.</t>
    </r>
    <r>
      <rPr>
        <sz val="11"/>
        <color rgb="FF000000"/>
        <rFont val="Calibri"/>
      </rPr>
      <t xml:space="preserve">
</t>
    </r>
    <r>
      <rPr>
        <sz val="11"/>
        <color rgb="FF000000"/>
        <rFont val="Calibri"/>
      </rPr>
      <t>Navigate to and locate “vmware-ssl.ssl.ciphers.list”.</t>
    </r>
    <r>
      <rPr>
        <sz val="11"/>
        <color rgb="FF000000"/>
        <rFont val="Calibri"/>
      </rPr>
      <t xml:space="preserve">
</t>
    </r>
    <r>
      <rPr>
        <sz val="11"/>
        <color rgb="FF000000"/>
        <rFont val="Calibri"/>
      </rPr>
      <t>Configure the “vmware-ssl.ssl.ciphers.list” with FIPS 140-2 compliant ciphers.</t>
    </r>
  </si>
  <si>
    <r>
      <rPr>
        <sz val="11"/>
        <color rgb="FF000000"/>
        <rFont val="Calibri"/>
      </rPr>
      <t>Encryption of data-in-flight is an essential element of protecting information confidentiality. If a web server uses weak or outdated encryption algorithms, then the server's communications can potentially be compromised.</t>
    </r>
    <r>
      <rPr>
        <sz val="11"/>
        <color rgb="FF000000"/>
        <rFont val="Calibri"/>
      </rPr>
      <t xml:space="preserve">
</t>
    </r>
    <r>
      <rPr>
        <sz val="11"/>
        <color rgb="FF000000"/>
        <rFont val="Calibri"/>
      </rPr>
      <t>The US Federal Information Processing Standards (FIPS) publication 140-2, Security Requirements for Cryptographic Modules (FIPS 140-2) identifies eleven areas for a cryptographic module used inside a security system that protects information. FIPS 140-2-approved ciphers provide the maximum level of encryption possible for a private web server.</t>
    </r>
    <r>
      <rPr>
        <sz val="11"/>
        <color rgb="FF000000"/>
        <rFont val="Calibri"/>
      </rPr>
      <t xml:space="preserve">
</t>
    </r>
    <r>
      <rPr>
        <sz val="11"/>
        <color rgb="FF000000"/>
        <rFont val="Calibri"/>
      </rPr>
      <t>Configuration of ciphers used by tc Server are set in the “catalina.properties” file. Only those ciphers specified in the configuration file, and which are available in the installed OpenSSL library, will be used by tc Server while encrypting data for transmission.</t>
    </r>
  </si>
  <si>
    <r>
      <rPr>
        <sz val="11"/>
        <color rgb="FF000000"/>
        <rFont val="Calibri"/>
      </rPr>
      <t>At the command prompt, execute the following command:</t>
    </r>
    <r>
      <rPr>
        <sz val="11"/>
        <color rgb="FF000000"/>
        <rFont val="Calibri"/>
      </rPr>
      <t xml:space="preserve">
</t>
    </r>
    <r>
      <rPr>
        <sz val="11"/>
        <color rgb="FF000000"/>
        <rFont val="Calibri"/>
      </rPr>
      <t>grep vmware-ssl.ssl.ciphers.list /usr/lib/vmware-vcops/tomcat-enterprise/conf/catalina.properties</t>
    </r>
    <r>
      <rPr>
        <sz val="11"/>
        <color rgb="FF000000"/>
        <rFont val="Calibri"/>
      </rPr>
      <t xml:space="preserve">
</t>
    </r>
    <r>
      <rPr>
        <sz val="11"/>
        <color rgb="FF000000"/>
        <rFont val="Calibri"/>
      </rPr>
      <t>If the value of “vmware-ssl.ssl.ciphers.list” does not match the list of FIPS 140-2 ciphers or is missing, this is a finding.</t>
    </r>
    <r>
      <rPr>
        <sz val="11"/>
        <color rgb="FF000000"/>
        <rFont val="Calibri"/>
      </rPr>
      <t xml:space="preserve">
</t>
    </r>
    <r>
      <rPr>
        <sz val="11"/>
        <color rgb="FF000000"/>
        <rFont val="Calibri"/>
      </rPr>
      <t>Note: To view a list of FIPS 140-2 ciphers, at the command prompt execute the following command:</t>
    </r>
    <r>
      <rPr>
        <sz val="11"/>
        <color rgb="FF000000"/>
        <rFont val="Calibri"/>
      </rPr>
      <t xml:space="preserve">
</t>
    </r>
    <r>
      <rPr>
        <sz val="11"/>
        <color rgb="FF000000"/>
        <rFont val="Calibri"/>
      </rPr>
      <t>openssl ciphers 'FIPS'</t>
    </r>
  </si>
  <si>
    <t>V-88805</t>
  </si>
  <si>
    <r>
      <rPr>
        <sz val="11"/>
        <rFont val="Calibri"/>
      </rPr>
      <t>tc Server UI must use cryptography to protect the integrity of remote sessions.</t>
    </r>
  </si>
  <si>
    <r>
      <rPr>
        <sz val="11"/>
        <color rgb="FF000000"/>
        <rFont val="Calibri"/>
      </rPr>
      <t>Navigate to and open /usr/lib/vmware-vcops/tomcat-web-app/conf/server.xml.</t>
    </r>
    <r>
      <rPr>
        <sz val="11"/>
        <color rgb="FF000000"/>
        <rFont val="Calibri"/>
      </rPr>
      <t xml:space="preserve">
</t>
    </r>
    <r>
      <rPr>
        <sz val="11"/>
        <color rgb="FF000000"/>
        <rFont val="Calibri"/>
      </rPr>
      <t>Navigate to each of the &lt;Connector&gt; nodes.</t>
    </r>
    <r>
      <rPr>
        <sz val="11"/>
        <color rgb="FF000000"/>
        <rFont val="Calibri"/>
      </rPr>
      <t xml:space="preserve">
</t>
    </r>
    <r>
      <rPr>
        <sz val="11"/>
        <color rgb="FF000000"/>
        <rFont val="Calibri"/>
      </rPr>
      <t>Configure each &lt;Connector&gt; with the value 'SSLEnabled="true"'.</t>
    </r>
  </si>
  <si>
    <r>
      <rPr>
        <sz val="11"/>
        <color rgb="FF000000"/>
        <rFont val="Calibri"/>
      </rPr>
      <t>Data exchanged between the user and the web server can range from static display data to credentials used to log into the hosted application. Even when data appears to be static, the non-displayed logic in a web page may expose business logic or trusted system relationships. The integrity of all the data being exchanged between the user and web server must always be trusted. To protect the integrity and trust, encryption methods should be used to protect the complete communication session.</t>
    </r>
    <r>
      <rPr>
        <sz val="11"/>
        <color rgb="FF000000"/>
        <rFont val="Calibri"/>
      </rPr>
      <t xml:space="preserve">
</t>
    </r>
    <r>
      <rPr>
        <sz val="11"/>
        <color rgb="FF000000"/>
        <rFont val="Calibri"/>
      </rPr>
      <t>HTTP connections in tc Server are managed through the Connector object. Setting the Connector's “SSLEnabled” flag, SSL handshake/encryption/decryption is enabled.</t>
    </r>
  </si>
  <si>
    <r>
      <rPr>
        <sz val="11"/>
        <color rgb="FF000000"/>
        <rFont val="Calibri"/>
      </rPr>
      <t>Navigate to and open /usr/lib/vmware-vcops/tomcat-web-app/conf/server.xml.</t>
    </r>
    <r>
      <rPr>
        <sz val="11"/>
        <color rgb="FF000000"/>
        <rFont val="Calibri"/>
      </rPr>
      <t xml:space="preserve">
</t>
    </r>
    <r>
      <rPr>
        <sz val="11"/>
        <color rgb="FF000000"/>
        <rFont val="Calibri"/>
      </rPr>
      <t>Navigate to each of the &lt;Connector&gt; nodes.</t>
    </r>
    <r>
      <rPr>
        <sz val="11"/>
        <color rgb="FF000000"/>
        <rFont val="Calibri"/>
      </rPr>
      <t xml:space="preserve">
</t>
    </r>
    <r>
      <rPr>
        <sz val="11"/>
        <color rgb="FF000000"/>
        <rFont val="Calibri"/>
      </rPr>
      <t>If the value of “SSLEnabled” is not set to “true” or is missing, this is a finding.</t>
    </r>
  </si>
  <si>
    <t>V-88807</t>
  </si>
  <si>
    <r>
      <rPr>
        <sz val="11"/>
        <rFont val="Calibri"/>
      </rPr>
      <t>tc Server CaSa must use cryptography to protect the integrity of remote sessions.</t>
    </r>
  </si>
  <si>
    <r>
      <rPr>
        <sz val="11"/>
        <color rgb="FF000000"/>
        <rFont val="Calibri"/>
      </rPr>
      <t>Navigate to and open /usr/lib/vmware-casa/casa-webapp/conf/server.xml.</t>
    </r>
    <r>
      <rPr>
        <sz val="11"/>
        <color rgb="FF000000"/>
        <rFont val="Calibri"/>
      </rPr>
      <t xml:space="preserve">
</t>
    </r>
    <r>
      <rPr>
        <sz val="11"/>
        <color rgb="FF000000"/>
        <rFont val="Calibri"/>
      </rPr>
      <t>Navigate to each of the &lt;Connector&gt; nodes.</t>
    </r>
    <r>
      <rPr>
        <sz val="11"/>
        <color rgb="FF000000"/>
        <rFont val="Calibri"/>
      </rPr>
      <t xml:space="preserve">
</t>
    </r>
    <r>
      <rPr>
        <sz val="11"/>
        <color rgb="FF000000"/>
        <rFont val="Calibri"/>
      </rPr>
      <t>Configure each &lt;Connector&gt; with the value 'SSLEnabled="true"'.</t>
    </r>
  </si>
  <si>
    <r>
      <rPr>
        <sz val="11"/>
        <color rgb="FF000000"/>
        <rFont val="Calibri"/>
      </rPr>
      <t>Navigate to and open /usr/lib/vmware-casa/casa-webapp/conf/server.xml.</t>
    </r>
    <r>
      <rPr>
        <sz val="11"/>
        <color rgb="FF000000"/>
        <rFont val="Calibri"/>
      </rPr>
      <t xml:space="preserve">
</t>
    </r>
    <r>
      <rPr>
        <sz val="11"/>
        <color rgb="FF000000"/>
        <rFont val="Calibri"/>
      </rPr>
      <t>Navigate to each of the &lt;Connector&gt; nodes.</t>
    </r>
    <r>
      <rPr>
        <sz val="11"/>
        <color rgb="FF000000"/>
        <rFont val="Calibri"/>
      </rPr>
      <t xml:space="preserve">
</t>
    </r>
    <r>
      <rPr>
        <sz val="11"/>
        <color rgb="FF000000"/>
        <rFont val="Calibri"/>
      </rPr>
      <t>If the value of “SSLEnabled” is not set to “true” or is missing, this is a finding.</t>
    </r>
  </si>
  <si>
    <t>V-88809</t>
  </si>
  <si>
    <r>
      <rPr>
        <sz val="11"/>
        <rFont val="Calibri"/>
      </rPr>
      <t>tc Server API must use cryptography to protect the integrity of remote sessions.</t>
    </r>
  </si>
  <si>
    <r>
      <rPr>
        <sz val="11"/>
        <color rgb="FF000000"/>
        <rFont val="Calibri"/>
      </rPr>
      <t>Navigate to and open /usr/lib/vmware-vcops/tomcat-enterprise/conf/server.xml.</t>
    </r>
    <r>
      <rPr>
        <sz val="11"/>
        <color rgb="FF000000"/>
        <rFont val="Calibri"/>
      </rPr>
      <t xml:space="preserve">
</t>
    </r>
    <r>
      <rPr>
        <sz val="11"/>
        <color rgb="FF000000"/>
        <rFont val="Calibri"/>
      </rPr>
      <t>Navigate to the &lt;Connector&gt; node that contains 'port="${vmware-ssl.https.port}"'.</t>
    </r>
    <r>
      <rPr>
        <sz val="11"/>
        <color rgb="FF000000"/>
        <rFont val="Calibri"/>
      </rPr>
      <t xml:space="preserve">
</t>
    </r>
    <r>
      <rPr>
        <sz val="11"/>
        <color rgb="FF000000"/>
        <rFont val="Calibri"/>
      </rPr>
      <t>Configure each &lt;Connector&gt; with the value 'SSLEnabled="true"'.</t>
    </r>
  </si>
  <si>
    <r>
      <rPr>
        <sz val="11"/>
        <color rgb="FF000000"/>
        <rFont val="Calibri"/>
      </rPr>
      <t>Navigate to and open /usr/lib/vmware-vcops/tomcat-enterprise/conf/server.xml.</t>
    </r>
    <r>
      <rPr>
        <sz val="11"/>
        <color rgb="FF000000"/>
        <rFont val="Calibri"/>
      </rPr>
      <t xml:space="preserve">
</t>
    </r>
    <r>
      <rPr>
        <sz val="11"/>
        <color rgb="FF000000"/>
        <rFont val="Calibri"/>
      </rPr>
      <t>Navigate to the &lt;Connector&gt; node that contains 'port="${vmware-ssl.https.port}"'.</t>
    </r>
    <r>
      <rPr>
        <sz val="11"/>
        <color rgb="FF000000"/>
        <rFont val="Calibri"/>
      </rPr>
      <t xml:space="preserve">
</t>
    </r>
    <r>
      <rPr>
        <sz val="11"/>
        <color rgb="FF000000"/>
        <rFont val="Calibri"/>
      </rPr>
      <t>If the value of “SSLEnabled” is not set to “true” or is missing, this is a finding.</t>
    </r>
  </si>
  <si>
    <t>V-88811</t>
  </si>
  <si>
    <r>
      <rPr>
        <sz val="11"/>
        <rFont val="Calibri"/>
      </rPr>
      <t>tc Server UI must record user access in a format that enables monitoring of remote access.</t>
    </r>
  </si>
  <si>
    <r>
      <rPr>
        <sz val="11"/>
        <color rgb="FF000000"/>
        <rFont val="Calibri"/>
      </rPr>
      <t>Navigate to and open /usr/lib/vmware-vcops/tomcat-web-app/conf/server.xml.</t>
    </r>
    <r>
      <rPr>
        <sz val="11"/>
        <color rgb="FF000000"/>
        <rFont val="Calibri"/>
      </rPr>
      <t xml:space="preserve">
</t>
    </r>
    <r>
      <rPr>
        <sz val="11"/>
        <color rgb="FF000000"/>
        <rFont val="Calibri"/>
      </rPr>
      <t>Navigate to and locate &lt;Host&gt;.</t>
    </r>
    <r>
      <rPr>
        <sz val="11"/>
        <color rgb="FF000000"/>
        <rFont val="Calibri"/>
      </rPr>
      <t xml:space="preserve">
</t>
    </r>
    <r>
      <rPr>
        <sz val="11"/>
        <color rgb="FF000000"/>
        <rFont val="Calibri"/>
      </rPr>
      <t>Configure the &lt;Host&gt; node with the &lt;AccessLogValve&gt; below.</t>
    </r>
    <r>
      <rPr>
        <sz val="11"/>
        <color rgb="FF000000"/>
        <rFont val="Calibri"/>
      </rPr>
      <t xml:space="preserve">
</t>
    </r>
    <r>
      <rPr>
        <sz val="11"/>
        <color rgb="FF000000"/>
        <rFont val="Calibri"/>
      </rPr>
      <t xml:space="preserve">Note: The “AccessLogValve” should be configured as follows: </t>
    </r>
    <r>
      <rPr>
        <sz val="11"/>
        <color rgb="FF000000"/>
        <rFont val="Calibri"/>
      </rPr>
      <t xml:space="preserve">
</t>
    </r>
    <r>
      <rPr>
        <sz val="11"/>
        <color rgb="FF000000"/>
        <rFont val="Calibri"/>
      </rPr>
      <t xml:space="preserve">                &lt;Valve className="org.apache.catalina.valves.AccessLogValve"</t>
    </r>
    <r>
      <rPr>
        <sz val="11"/>
        <color rgb="FF000000"/>
        <rFont val="Calibri"/>
      </rPr>
      <t xml:space="preserve">
</t>
    </r>
    <r>
      <rPr>
        <sz val="11"/>
        <color rgb="FF000000"/>
        <rFont val="Calibri"/>
      </rPr>
      <t xml:space="preserve">                       directory="logs"</t>
    </r>
    <r>
      <rPr>
        <sz val="11"/>
        <color rgb="FF000000"/>
        <rFont val="Calibri"/>
      </rPr>
      <t xml:space="preserve">
</t>
    </r>
    <r>
      <rPr>
        <sz val="11"/>
        <color rgb="FF000000"/>
        <rFont val="Calibri"/>
      </rPr>
      <t xml:space="preserve">                       pattern="%h %l %u %t &amp;quot;%r&amp;quot; %s %b"</t>
    </r>
    <r>
      <rPr>
        <sz val="11"/>
        <color rgb="FF000000"/>
        <rFont val="Calibri"/>
      </rPr>
      <t xml:space="preserve">
</t>
    </r>
    <r>
      <rPr>
        <sz val="11"/>
        <color rgb="FF000000"/>
        <rFont val="Calibri"/>
      </rPr>
      <t xml:space="preserve">                       prefix="localhost_access_log."</t>
    </r>
    <r>
      <rPr>
        <sz val="11"/>
        <color rgb="FF000000"/>
        <rFont val="Calibri"/>
      </rPr>
      <t xml:space="preserve">
</t>
    </r>
    <r>
      <rPr>
        <sz val="11"/>
        <color rgb="FF000000"/>
        <rFont val="Calibri"/>
      </rPr>
      <t xml:space="preserve">                       suffix=".txt"/&gt;</t>
    </r>
  </si>
  <si>
    <r>
      <rPr>
        <sz val="11"/>
        <color rgb="FF000000"/>
        <rFont val="Calibri"/>
      </rPr>
      <t>Remote access can be exploited by an attacker to compromise the server. By recording all remote access activities, it will be possible to determine the attacker's location, intent, and degree of success.</t>
    </r>
    <r>
      <rPr>
        <sz val="11"/>
        <color rgb="FF000000"/>
        <rFont val="Calibri"/>
      </rPr>
      <t xml:space="preserve">
</t>
    </r>
    <r>
      <rPr>
        <sz val="11"/>
        <color rgb="FF000000"/>
        <rFont val="Calibri"/>
      </rPr>
      <t>As a Tomcat derivative, tc Server can be configured with an “AccessLogValve”. A Valve element represents a component that can be inserted into the request processing pipeline. The Access Log Valve creates log files in the same format as those created by standard web servers.</t>
    </r>
  </si>
  <si>
    <r>
      <rPr>
        <sz val="11"/>
        <color rgb="FF000000"/>
        <rFont val="Calibri"/>
      </rPr>
      <t>Navigate to and open /usr/lib/vmware-vcops/tomcat-web-app/conf/server.xml.</t>
    </r>
    <r>
      <rPr>
        <sz val="11"/>
        <color rgb="FF000000"/>
        <rFont val="Calibri"/>
      </rPr>
      <t xml:space="preserve">
</t>
    </r>
    <r>
      <rPr>
        <sz val="11"/>
        <color rgb="FF000000"/>
        <rFont val="Calibri"/>
      </rPr>
      <t>Navigate to the &lt;Host&gt; node.</t>
    </r>
    <r>
      <rPr>
        <sz val="11"/>
        <color rgb="FF000000"/>
        <rFont val="Calibri"/>
      </rPr>
      <t xml:space="preserve">
</t>
    </r>
    <r>
      <rPr>
        <sz val="11"/>
        <color rgb="FF000000"/>
        <rFont val="Calibri"/>
      </rPr>
      <t>Verify that the node contains a &lt;Valve className="org.apache.catalina.valves.AccessLogValve"&gt; node.</t>
    </r>
    <r>
      <rPr>
        <sz val="11"/>
        <color rgb="FF000000"/>
        <rFont val="Calibri"/>
      </rPr>
      <t xml:space="preserve">
</t>
    </r>
    <r>
      <rPr>
        <sz val="11"/>
        <color rgb="FF000000"/>
        <rFont val="Calibri"/>
      </rPr>
      <t>If an “AccessLogValve” is not configured correctly or is missing, this is a finding.</t>
    </r>
    <r>
      <rPr>
        <sz val="11"/>
        <color rgb="FF000000"/>
        <rFont val="Calibri"/>
      </rPr>
      <t xml:space="preserve">
</t>
    </r>
    <r>
      <rPr>
        <sz val="11"/>
        <color rgb="FF000000"/>
        <rFont val="Calibri"/>
      </rPr>
      <t>Note: The “AccessLogValve” should be configured as follows:</t>
    </r>
    <r>
      <rPr>
        <sz val="11"/>
        <color rgb="FF000000"/>
        <rFont val="Calibri"/>
      </rPr>
      <t xml:space="preserve">
</t>
    </r>
    <r>
      <rPr>
        <sz val="11"/>
        <color rgb="FF000000"/>
        <rFont val="Calibri"/>
      </rPr>
      <t xml:space="preserve">                &lt;Valve className="org.apache.catalina.valves.AccessLogValve"</t>
    </r>
    <r>
      <rPr>
        <sz val="11"/>
        <color rgb="FF000000"/>
        <rFont val="Calibri"/>
      </rPr>
      <t xml:space="preserve">
</t>
    </r>
    <r>
      <rPr>
        <sz val="11"/>
        <color rgb="FF000000"/>
        <rFont val="Calibri"/>
      </rPr>
      <t xml:space="preserve">                       directory="logs"</t>
    </r>
    <r>
      <rPr>
        <sz val="11"/>
        <color rgb="FF000000"/>
        <rFont val="Calibri"/>
      </rPr>
      <t xml:space="preserve">
</t>
    </r>
    <r>
      <rPr>
        <sz val="11"/>
        <color rgb="FF000000"/>
        <rFont val="Calibri"/>
      </rPr>
      <t xml:space="preserve">                       pattern="%h %l %u %t &amp;quot;%r&amp;quot; %s %b"</t>
    </r>
    <r>
      <rPr>
        <sz val="11"/>
        <color rgb="FF000000"/>
        <rFont val="Calibri"/>
      </rPr>
      <t xml:space="preserve">
</t>
    </r>
    <r>
      <rPr>
        <sz val="11"/>
        <color rgb="FF000000"/>
        <rFont val="Calibri"/>
      </rPr>
      <t xml:space="preserve">                       prefix="localhost_access_log."</t>
    </r>
    <r>
      <rPr>
        <sz val="11"/>
        <color rgb="FF000000"/>
        <rFont val="Calibri"/>
      </rPr>
      <t xml:space="preserve">
</t>
    </r>
    <r>
      <rPr>
        <sz val="11"/>
        <color rgb="FF000000"/>
        <rFont val="Calibri"/>
      </rPr>
      <t xml:space="preserve">                       suffix=".txt"/&gt;</t>
    </r>
  </si>
  <si>
    <t>V-88813</t>
  </si>
  <si>
    <r>
      <rPr>
        <sz val="11"/>
        <rFont val="Calibri"/>
      </rPr>
      <t>tc Server CaSa must record user access in a format that enables monitoring of remote access.</t>
    </r>
  </si>
  <si>
    <r>
      <rPr>
        <sz val="11"/>
        <color rgb="FF000000"/>
        <rFont val="Calibri"/>
      </rPr>
      <t>Navigate to and open /usr/lib/vmware-casa/casa-webapp/conf/server.xml.</t>
    </r>
    <r>
      <rPr>
        <sz val="11"/>
        <color rgb="FF000000"/>
        <rFont val="Calibri"/>
      </rPr>
      <t xml:space="preserve">
</t>
    </r>
    <r>
      <rPr>
        <sz val="11"/>
        <color rgb="FF000000"/>
        <rFont val="Calibri"/>
      </rPr>
      <t>Navigate to and locate &lt;Host&gt;.</t>
    </r>
    <r>
      <rPr>
        <sz val="11"/>
        <color rgb="FF000000"/>
        <rFont val="Calibri"/>
      </rPr>
      <t xml:space="preserve">
</t>
    </r>
    <r>
      <rPr>
        <sz val="11"/>
        <color rgb="FF000000"/>
        <rFont val="Calibri"/>
      </rPr>
      <t>Configure the &lt;Host&gt; node with the &lt;AccessLogValve&gt; below.</t>
    </r>
    <r>
      <rPr>
        <sz val="11"/>
        <color rgb="FF000000"/>
        <rFont val="Calibri"/>
      </rPr>
      <t xml:space="preserve">
</t>
    </r>
    <r>
      <rPr>
        <sz val="11"/>
        <color rgb="FF000000"/>
        <rFont val="Calibri"/>
      </rPr>
      <t xml:space="preserve">Note: The “AccessLogValve” should be configured as follows: </t>
    </r>
    <r>
      <rPr>
        <sz val="11"/>
        <color rgb="FF000000"/>
        <rFont val="Calibri"/>
      </rPr>
      <t xml:space="preserve">
</t>
    </r>
    <r>
      <rPr>
        <sz val="11"/>
        <color rgb="FF000000"/>
        <rFont val="Calibri"/>
      </rPr>
      <t xml:space="preserve">                &lt;Valve className="org.apache.catalina.valves.AccessLogValve"</t>
    </r>
    <r>
      <rPr>
        <sz val="11"/>
        <color rgb="FF000000"/>
        <rFont val="Calibri"/>
      </rPr>
      <t xml:space="preserve">
</t>
    </r>
    <r>
      <rPr>
        <sz val="11"/>
        <color rgb="FF000000"/>
        <rFont val="Calibri"/>
      </rPr>
      <t xml:space="preserve">                       directory="logs"</t>
    </r>
    <r>
      <rPr>
        <sz val="11"/>
        <color rgb="FF000000"/>
        <rFont val="Calibri"/>
      </rPr>
      <t xml:space="preserve">
</t>
    </r>
    <r>
      <rPr>
        <sz val="11"/>
        <color rgb="FF000000"/>
        <rFont val="Calibri"/>
      </rPr>
      <t xml:space="preserve">                       pattern="%h %l %u %t &amp;quot;%r&amp;quot; %s %b"</t>
    </r>
    <r>
      <rPr>
        <sz val="11"/>
        <color rgb="FF000000"/>
        <rFont val="Calibri"/>
      </rPr>
      <t xml:space="preserve">
</t>
    </r>
    <r>
      <rPr>
        <sz val="11"/>
        <color rgb="FF000000"/>
        <rFont val="Calibri"/>
      </rPr>
      <t xml:space="preserve">                       prefix="localhost_access_log."</t>
    </r>
    <r>
      <rPr>
        <sz val="11"/>
        <color rgb="FF000000"/>
        <rFont val="Calibri"/>
      </rPr>
      <t xml:space="preserve">
</t>
    </r>
    <r>
      <rPr>
        <sz val="11"/>
        <color rgb="FF000000"/>
        <rFont val="Calibri"/>
      </rPr>
      <t xml:space="preserve">                       suffix=".txt"/&gt;</t>
    </r>
  </si>
  <si>
    <r>
      <rPr>
        <sz val="11"/>
        <color rgb="FF000000"/>
        <rFont val="Calibri"/>
      </rPr>
      <t>Navigate to and open /usr/lib/vmware-casa/casa-webapp/conf/server.xml.</t>
    </r>
    <r>
      <rPr>
        <sz val="11"/>
        <color rgb="FF000000"/>
        <rFont val="Calibri"/>
      </rPr>
      <t xml:space="preserve">
</t>
    </r>
    <r>
      <rPr>
        <sz val="11"/>
        <color rgb="FF000000"/>
        <rFont val="Calibri"/>
      </rPr>
      <t>Navigate to the &lt;Host&gt; node.</t>
    </r>
    <r>
      <rPr>
        <sz val="11"/>
        <color rgb="FF000000"/>
        <rFont val="Calibri"/>
      </rPr>
      <t xml:space="preserve">
</t>
    </r>
    <r>
      <rPr>
        <sz val="11"/>
        <color rgb="FF000000"/>
        <rFont val="Calibri"/>
      </rPr>
      <t>Verify that the node contains a &lt;Valve className="org.apache.catalina.valves.AccessLogValve"&gt; node.</t>
    </r>
    <r>
      <rPr>
        <sz val="11"/>
        <color rgb="FF000000"/>
        <rFont val="Calibri"/>
      </rPr>
      <t xml:space="preserve">
</t>
    </r>
    <r>
      <rPr>
        <sz val="11"/>
        <color rgb="FF000000"/>
        <rFont val="Calibri"/>
      </rPr>
      <t>If an “AccessLogValve” is not configured correctly or is missing, this is a finding.</t>
    </r>
    <r>
      <rPr>
        <sz val="11"/>
        <color rgb="FF000000"/>
        <rFont val="Calibri"/>
      </rPr>
      <t xml:space="preserve">
</t>
    </r>
    <r>
      <rPr>
        <sz val="11"/>
        <color rgb="FF000000"/>
        <rFont val="Calibri"/>
      </rPr>
      <t>Note: The “AccessLogValve” should be configured as follows:</t>
    </r>
    <r>
      <rPr>
        <sz val="11"/>
        <color rgb="FF000000"/>
        <rFont val="Calibri"/>
      </rPr>
      <t xml:space="preserve">
</t>
    </r>
    <r>
      <rPr>
        <sz val="11"/>
        <color rgb="FF000000"/>
        <rFont val="Calibri"/>
      </rPr>
      <t xml:space="preserve">                &lt;Valve className="org.apache.catalina.valves.AccessLogValve"</t>
    </r>
    <r>
      <rPr>
        <sz val="11"/>
        <color rgb="FF000000"/>
        <rFont val="Calibri"/>
      </rPr>
      <t xml:space="preserve">
</t>
    </r>
    <r>
      <rPr>
        <sz val="11"/>
        <color rgb="FF000000"/>
        <rFont val="Calibri"/>
      </rPr>
      <t xml:space="preserve">                       directory="logs"</t>
    </r>
    <r>
      <rPr>
        <sz val="11"/>
        <color rgb="FF000000"/>
        <rFont val="Calibri"/>
      </rPr>
      <t xml:space="preserve">
</t>
    </r>
    <r>
      <rPr>
        <sz val="11"/>
        <color rgb="FF000000"/>
        <rFont val="Calibri"/>
      </rPr>
      <t xml:space="preserve">                       pattern="%h %l %u %t &amp;quot;%r&amp;quot; %s %b"</t>
    </r>
    <r>
      <rPr>
        <sz val="11"/>
        <color rgb="FF000000"/>
        <rFont val="Calibri"/>
      </rPr>
      <t xml:space="preserve">
</t>
    </r>
    <r>
      <rPr>
        <sz val="11"/>
        <color rgb="FF000000"/>
        <rFont val="Calibri"/>
      </rPr>
      <t xml:space="preserve">                       prefix="localhost_access_log."</t>
    </r>
    <r>
      <rPr>
        <sz val="11"/>
        <color rgb="FF000000"/>
        <rFont val="Calibri"/>
      </rPr>
      <t xml:space="preserve">
</t>
    </r>
    <r>
      <rPr>
        <sz val="11"/>
        <color rgb="FF000000"/>
        <rFont val="Calibri"/>
      </rPr>
      <t xml:space="preserve">                       suffix=".txt"/&gt;</t>
    </r>
  </si>
  <si>
    <t>V-88815</t>
  </si>
  <si>
    <r>
      <rPr>
        <sz val="11"/>
        <rFont val="Calibri"/>
      </rPr>
      <t>tc Server API must record user access in a format that enables monitoring of remote access.</t>
    </r>
  </si>
  <si>
    <r>
      <rPr>
        <sz val="11"/>
        <color rgb="FF000000"/>
        <rFont val="Calibri"/>
      </rPr>
      <t>Navigate to and open /usr/lib/vmware-vcops/tomcat-enterprise/conf/server.xml.</t>
    </r>
    <r>
      <rPr>
        <sz val="11"/>
        <color rgb="FF000000"/>
        <rFont val="Calibri"/>
      </rPr>
      <t xml:space="preserve">
</t>
    </r>
    <r>
      <rPr>
        <sz val="11"/>
        <color rgb="FF000000"/>
        <rFont val="Calibri"/>
      </rPr>
      <t>Navigate to and locate &lt;Host&gt;.</t>
    </r>
    <r>
      <rPr>
        <sz val="11"/>
        <color rgb="FF000000"/>
        <rFont val="Calibri"/>
      </rPr>
      <t xml:space="preserve">
</t>
    </r>
    <r>
      <rPr>
        <sz val="11"/>
        <color rgb="FF000000"/>
        <rFont val="Calibri"/>
      </rPr>
      <t>Configure the &lt;Host&gt; node with the &lt;AccessLogValve&gt; below.</t>
    </r>
    <r>
      <rPr>
        <sz val="11"/>
        <color rgb="FF000000"/>
        <rFont val="Calibri"/>
      </rPr>
      <t xml:space="preserve">
</t>
    </r>
    <r>
      <rPr>
        <sz val="11"/>
        <color rgb="FF000000"/>
        <rFont val="Calibri"/>
      </rPr>
      <t xml:space="preserve">Note: The “AccessLogValve” should be configured as follows: </t>
    </r>
    <r>
      <rPr>
        <sz val="11"/>
        <color rgb="FF000000"/>
        <rFont val="Calibri"/>
      </rPr>
      <t xml:space="preserve">
</t>
    </r>
    <r>
      <rPr>
        <sz val="11"/>
        <color rgb="FF000000"/>
        <rFont val="Calibri"/>
      </rPr>
      <t xml:space="preserve">                &lt;Valve className="org.apache.catalina.valves.AccessLogValve"</t>
    </r>
    <r>
      <rPr>
        <sz val="11"/>
        <color rgb="FF000000"/>
        <rFont val="Calibri"/>
      </rPr>
      <t xml:space="preserve">
</t>
    </r>
    <r>
      <rPr>
        <sz val="11"/>
        <color rgb="FF000000"/>
        <rFont val="Calibri"/>
      </rPr>
      <t xml:space="preserve">                       directory="logs"</t>
    </r>
    <r>
      <rPr>
        <sz val="11"/>
        <color rgb="FF000000"/>
        <rFont val="Calibri"/>
      </rPr>
      <t xml:space="preserve">
</t>
    </r>
    <r>
      <rPr>
        <sz val="11"/>
        <color rgb="FF000000"/>
        <rFont val="Calibri"/>
      </rPr>
      <t xml:space="preserve">                       pattern="%h %l %u %t &amp;quot;%r&amp;quot; %s %b"</t>
    </r>
    <r>
      <rPr>
        <sz val="11"/>
        <color rgb="FF000000"/>
        <rFont val="Calibri"/>
      </rPr>
      <t xml:space="preserve">
</t>
    </r>
    <r>
      <rPr>
        <sz val="11"/>
        <color rgb="FF000000"/>
        <rFont val="Calibri"/>
      </rPr>
      <t xml:space="preserve">                       prefix="localhost_access_log."</t>
    </r>
    <r>
      <rPr>
        <sz val="11"/>
        <color rgb="FF000000"/>
        <rFont val="Calibri"/>
      </rPr>
      <t xml:space="preserve">
</t>
    </r>
    <r>
      <rPr>
        <sz val="11"/>
        <color rgb="FF000000"/>
        <rFont val="Calibri"/>
      </rPr>
      <t xml:space="preserve">                       suffix=".txt"/&gt;</t>
    </r>
  </si>
  <si>
    <r>
      <rPr>
        <sz val="11"/>
        <color rgb="FF000000"/>
        <rFont val="Calibri"/>
      </rPr>
      <t>Navigate to and open /usr/lib/vmware-vcops/tomcat-enterprise/conf/server.xml.</t>
    </r>
    <r>
      <rPr>
        <sz val="11"/>
        <color rgb="FF000000"/>
        <rFont val="Calibri"/>
      </rPr>
      <t xml:space="preserve">
</t>
    </r>
    <r>
      <rPr>
        <sz val="11"/>
        <color rgb="FF000000"/>
        <rFont val="Calibri"/>
      </rPr>
      <t>Navigate to the &lt;Host&gt; node.</t>
    </r>
    <r>
      <rPr>
        <sz val="11"/>
        <color rgb="FF000000"/>
        <rFont val="Calibri"/>
      </rPr>
      <t xml:space="preserve">
</t>
    </r>
    <r>
      <rPr>
        <sz val="11"/>
        <color rgb="FF000000"/>
        <rFont val="Calibri"/>
      </rPr>
      <t>Verify that the node contains a &lt;Valve className="org.apache.catalina.valves.AccessLogValve"&gt; node.</t>
    </r>
    <r>
      <rPr>
        <sz val="11"/>
        <color rgb="FF000000"/>
        <rFont val="Calibri"/>
      </rPr>
      <t xml:space="preserve">
</t>
    </r>
    <r>
      <rPr>
        <sz val="11"/>
        <color rgb="FF000000"/>
        <rFont val="Calibri"/>
      </rPr>
      <t>If an “AccessLogValve” is not configured correctly or is missing, this is a finding.</t>
    </r>
    <r>
      <rPr>
        <sz val="11"/>
        <color rgb="FF000000"/>
        <rFont val="Calibri"/>
      </rPr>
      <t xml:space="preserve">
</t>
    </r>
    <r>
      <rPr>
        <sz val="11"/>
        <color rgb="FF000000"/>
        <rFont val="Calibri"/>
      </rPr>
      <t>Note: The “AccessLogValve” should be configured as follows:</t>
    </r>
    <r>
      <rPr>
        <sz val="11"/>
        <color rgb="FF000000"/>
        <rFont val="Calibri"/>
      </rPr>
      <t xml:space="preserve">
</t>
    </r>
    <r>
      <rPr>
        <sz val="11"/>
        <color rgb="FF000000"/>
        <rFont val="Calibri"/>
      </rPr>
      <t xml:space="preserve">                &lt;Valve className="org.apache.catalina.valves.AccessLogValve"</t>
    </r>
    <r>
      <rPr>
        <sz val="11"/>
        <color rgb="FF000000"/>
        <rFont val="Calibri"/>
      </rPr>
      <t xml:space="preserve">
</t>
    </r>
    <r>
      <rPr>
        <sz val="11"/>
        <color rgb="FF000000"/>
        <rFont val="Calibri"/>
      </rPr>
      <t xml:space="preserve">                       directory="logs"</t>
    </r>
    <r>
      <rPr>
        <sz val="11"/>
        <color rgb="FF000000"/>
        <rFont val="Calibri"/>
      </rPr>
      <t xml:space="preserve">
</t>
    </r>
    <r>
      <rPr>
        <sz val="11"/>
        <color rgb="FF000000"/>
        <rFont val="Calibri"/>
      </rPr>
      <t xml:space="preserve">                       pattern="%h %l %u %t &amp;quot;%r&amp;quot; %s %b"</t>
    </r>
    <r>
      <rPr>
        <sz val="11"/>
        <color rgb="FF000000"/>
        <rFont val="Calibri"/>
      </rPr>
      <t xml:space="preserve">
</t>
    </r>
    <r>
      <rPr>
        <sz val="11"/>
        <color rgb="FF000000"/>
        <rFont val="Calibri"/>
      </rPr>
      <t xml:space="preserve">                       prefix="localhost_access_log."</t>
    </r>
    <r>
      <rPr>
        <sz val="11"/>
        <color rgb="FF000000"/>
        <rFont val="Calibri"/>
      </rPr>
      <t xml:space="preserve">
</t>
    </r>
    <r>
      <rPr>
        <sz val="11"/>
        <color rgb="FF000000"/>
        <rFont val="Calibri"/>
      </rPr>
      <t xml:space="preserve">                       suffix=".txt"/&gt;</t>
    </r>
  </si>
  <si>
    <t>V-88817</t>
  </si>
  <si>
    <r>
      <rPr>
        <sz val="11"/>
        <rFont val="Calibri"/>
      </rPr>
      <t>tc Server ALL must generate log records for system startup and shutdown.</t>
    </r>
  </si>
  <si>
    <r>
      <rPr>
        <sz val="11"/>
        <color rgb="FF000000"/>
        <rFont val="Calibri"/>
      </rPr>
      <t>Navigate to and open /opt/pivotal/pivotal-tc-server-standard/tomcat-7.0.57.B.RELEASE/bin/catalina.sh.</t>
    </r>
    <r>
      <rPr>
        <sz val="11"/>
        <color rgb="FF000000"/>
        <rFont val="Calibri"/>
      </rPr>
      <t xml:space="preserve">
</t>
    </r>
    <r>
      <rPr>
        <sz val="11"/>
        <color rgb="FF000000"/>
        <rFont val="Calibri"/>
      </rPr>
      <t>Navigate to and locate the start block : "elif [ "$1" = "start" ] ; then".</t>
    </r>
    <r>
      <rPr>
        <sz val="11"/>
        <color rgb="FF000000"/>
        <rFont val="Calibri"/>
      </rPr>
      <t xml:space="preserve">
</t>
    </r>
    <r>
      <rPr>
        <sz val="11"/>
        <color rgb="FF000000"/>
        <rFont val="Calibri"/>
      </rPr>
      <t xml:space="preserve">Navigate to and locate both “eval” statements: </t>
    </r>
    <r>
      <rPr>
        <sz val="11"/>
        <color rgb="FF000000"/>
        <rFont val="Calibri"/>
      </rPr>
      <t xml:space="preserve">
</t>
    </r>
    <r>
      <rPr>
        <sz val="11"/>
        <color rgb="FF000000"/>
        <rFont val="Calibri"/>
      </rPr>
      <t xml:space="preserve">"org.apache.catalina.startup.Bootstrap "$@" start \" </t>
    </r>
    <r>
      <rPr>
        <sz val="11"/>
        <color rgb="FF000000"/>
        <rFont val="Calibri"/>
      </rPr>
      <t xml:space="preserve">
</t>
    </r>
    <r>
      <rPr>
        <sz val="11"/>
        <color rgb="FF000000"/>
        <rFont val="Calibri"/>
      </rPr>
      <t xml:space="preserve">Add this statement immediately below both of the “eval” statements: </t>
    </r>
    <r>
      <rPr>
        <sz val="11"/>
        <color rgb="FF000000"/>
        <rFont val="Calibri"/>
      </rPr>
      <t xml:space="preserve">
</t>
    </r>
    <r>
      <rPr>
        <sz val="11"/>
        <color rgb="FF000000"/>
        <rFont val="Calibri"/>
      </rPr>
      <t>'&gt;&gt; "$CATALINA_OUT" 2&gt;&amp;1 "&amp;"'</t>
    </r>
  </si>
  <si>
    <r>
      <rPr>
        <sz val="11"/>
        <color rgb="FF000000"/>
        <rFont val="Calibri"/>
      </rPr>
      <t>Logging must be started as soon as possible when a service starts and when a service is stopped. Many forms of suspicious actions can be detected by analyzing logs for unexpected service starts and stops. Also, by starting to log immediately after a service starts, it becomes more difficult for suspicious activity to go un-logged.</t>
    </r>
    <r>
      <rPr>
        <sz val="11"/>
        <color rgb="FF000000"/>
        <rFont val="Calibri"/>
      </rPr>
      <t xml:space="preserve">
</t>
    </r>
    <r>
      <rPr>
        <sz val="11"/>
        <color rgb="FF000000"/>
        <rFont val="Calibri"/>
      </rPr>
      <t>During start, tc Server reports system messages onto STDOUT and STDERR. These messages will be logged if the initialization script is configured correctly. For historical reasons, the standard log file for this is called “catalina.out”.</t>
    </r>
  </si>
  <si>
    <r>
      <rPr>
        <sz val="11"/>
        <color rgb="FF000000"/>
        <rFont val="Calibri"/>
      </rPr>
      <t>At the command prompt, execute the following command:</t>
    </r>
    <r>
      <rPr>
        <sz val="11"/>
        <color rgb="FF000000"/>
        <rFont val="Calibri"/>
      </rPr>
      <t xml:space="preserve">
</t>
    </r>
    <r>
      <rPr>
        <sz val="11"/>
        <color rgb="FF000000"/>
        <rFont val="Calibri"/>
      </rPr>
      <t>more  /storage/log/vcops/log/product-ui/catalina.out</t>
    </r>
    <r>
      <rPr>
        <sz val="11"/>
        <color rgb="FF000000"/>
        <rFont val="Calibri"/>
      </rPr>
      <t xml:space="preserve">
</t>
    </r>
    <r>
      <rPr>
        <sz val="11"/>
        <color rgb="FF000000"/>
        <rFont val="Calibri"/>
      </rPr>
      <t xml:space="preserve">Verify that tc Server start and stop events are being logged. </t>
    </r>
    <r>
      <rPr>
        <sz val="11"/>
        <color rgb="FF000000"/>
        <rFont val="Calibri"/>
      </rPr>
      <t xml:space="preserve">
</t>
    </r>
    <r>
      <rPr>
        <sz val="11"/>
        <color rgb="FF000000"/>
        <rFont val="Calibri"/>
      </rPr>
      <t>If the tc Server start and stop events are not being recorded, this is a finding.</t>
    </r>
    <r>
      <rPr>
        <sz val="11"/>
        <color rgb="FF000000"/>
        <rFont val="Calibri"/>
      </rPr>
      <t xml:space="preserve">
</t>
    </r>
    <r>
      <rPr>
        <sz val="11"/>
        <color rgb="FF000000"/>
        <rFont val="Calibri"/>
      </rPr>
      <t>Note: The tc Server service is referred to as Catalina in the log.</t>
    </r>
  </si>
  <si>
    <t>V-88819</t>
  </si>
  <si>
    <r>
      <rPr>
        <sz val="11"/>
        <rFont val="Calibri"/>
      </rPr>
      <t>tc Server UI must generate log records for user access and authentication events.</t>
    </r>
  </si>
  <si>
    <r>
      <rPr>
        <sz val="11"/>
        <color rgb="FF000000"/>
        <rFont val="Calibri"/>
      </rPr>
      <t>Log records can be generated from various components within the web server (e.g., httpd, plug-ins to external backends, etc.). From a web server perspective, certain specific web server functionalities may be logged as well. The web server must allow the definition of what events are to be logged. As conditions change, the number and types of events to be logged may change, and the web server must be able to facilitate these changes.</t>
    </r>
    <r>
      <rPr>
        <sz val="11"/>
        <color rgb="FF000000"/>
        <rFont val="Calibri"/>
      </rPr>
      <t xml:space="preserve">
</t>
    </r>
    <r>
      <rPr>
        <sz val="11"/>
        <color rgb="FF000000"/>
        <rFont val="Calibri"/>
      </rPr>
      <t>As a Tomcat derivative, tc Server can be configured with an “AccessLogValve”. A Valve element represents a component that can be inserted into the request processing pipeline. The pattern attribute of the “AccessLogValve” controls which data gets logged.</t>
    </r>
  </si>
  <si>
    <r>
      <rPr>
        <sz val="11"/>
        <color rgb="FF000000"/>
        <rFont val="Calibri"/>
      </rPr>
      <t>Navigate to and open /usr/lib/vmware-vcops/tomcat-web-app/conf/server.xml.</t>
    </r>
    <r>
      <rPr>
        <sz val="11"/>
        <color rgb="FF000000"/>
        <rFont val="Calibri"/>
      </rPr>
      <t xml:space="preserve">
</t>
    </r>
    <r>
      <rPr>
        <sz val="11"/>
        <color rgb="FF000000"/>
        <rFont val="Calibri"/>
      </rPr>
      <t>Navigate to the &lt;Host&gt; node.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Verify that the node contains a &lt;Valve className="org.apache.catalina.valves.AccessLogValve"&gt; node.</t>
    </r>
    <r>
      <rPr>
        <sz val="11"/>
        <color rgb="FF000000"/>
        <rFont val="Calibri"/>
      </rPr>
      <t xml:space="preserve">
</t>
    </r>
    <r>
      <rPr>
        <sz val="11"/>
        <color rgb="FF000000"/>
        <rFont val="Calibri"/>
      </rPr>
      <t>If an “AccessLogValve” is not configured correctly or is missing, this is a finding.</t>
    </r>
    <r>
      <rPr>
        <sz val="11"/>
        <color rgb="FF000000"/>
        <rFont val="Calibri"/>
      </rPr>
      <t xml:space="preserve">
</t>
    </r>
    <r>
      <rPr>
        <sz val="11"/>
        <color rgb="FF000000"/>
        <rFont val="Calibri"/>
      </rPr>
      <t>Note: The “AccessLogValve” should be configured as follows:</t>
    </r>
    <r>
      <rPr>
        <sz val="11"/>
        <color rgb="FF000000"/>
        <rFont val="Calibri"/>
      </rPr>
      <t xml:space="preserve">
</t>
    </r>
    <r>
      <rPr>
        <sz val="11"/>
        <color rgb="FF000000"/>
        <rFont val="Calibri"/>
      </rPr>
      <t xml:space="preserve">                &lt;Valve className="org.apache.catalina.valves.AccessLogValve"</t>
    </r>
    <r>
      <rPr>
        <sz val="11"/>
        <color rgb="FF000000"/>
        <rFont val="Calibri"/>
      </rPr>
      <t xml:space="preserve">
</t>
    </r>
    <r>
      <rPr>
        <sz val="11"/>
        <color rgb="FF000000"/>
        <rFont val="Calibri"/>
      </rPr>
      <t xml:space="preserve">                       directory="logs"</t>
    </r>
    <r>
      <rPr>
        <sz val="11"/>
        <color rgb="FF000000"/>
        <rFont val="Calibri"/>
      </rPr>
      <t xml:space="preserve">
</t>
    </r>
    <r>
      <rPr>
        <sz val="11"/>
        <color rgb="FF000000"/>
        <rFont val="Calibri"/>
      </rPr>
      <t xml:space="preserve">                       pattern="%h %l %u %t &amp;quot;%r&amp;quot; %s %b"</t>
    </r>
    <r>
      <rPr>
        <sz val="11"/>
        <color rgb="FF000000"/>
        <rFont val="Calibri"/>
      </rPr>
      <t xml:space="preserve">
</t>
    </r>
    <r>
      <rPr>
        <sz val="11"/>
        <color rgb="FF000000"/>
        <rFont val="Calibri"/>
      </rPr>
      <t xml:space="preserve">                       prefix="localhost_access_log."</t>
    </r>
    <r>
      <rPr>
        <sz val="11"/>
        <color rgb="FF000000"/>
        <rFont val="Calibri"/>
      </rPr>
      <t xml:space="preserve">
</t>
    </r>
    <r>
      <rPr>
        <sz val="11"/>
        <color rgb="FF000000"/>
        <rFont val="Calibri"/>
      </rPr>
      <t xml:space="preserve">                       suffix=".txt"/&gt;</t>
    </r>
  </si>
  <si>
    <t>V-88821</t>
  </si>
  <si>
    <r>
      <rPr>
        <sz val="11"/>
        <rFont val="Calibri"/>
      </rPr>
      <t>tc Server CaSa must generate log records for user access and authentication events.</t>
    </r>
  </si>
  <si>
    <r>
      <rPr>
        <sz val="11"/>
        <color rgb="FF000000"/>
        <rFont val="Calibri"/>
      </rPr>
      <t>Navigate to and open /usr/lib/vmware-casa/casa-webapp/conf/server.xml.</t>
    </r>
    <r>
      <rPr>
        <sz val="11"/>
        <color rgb="FF000000"/>
        <rFont val="Calibri"/>
      </rPr>
      <t xml:space="preserve">
</t>
    </r>
    <r>
      <rPr>
        <sz val="11"/>
        <color rgb="FF000000"/>
        <rFont val="Calibri"/>
      </rPr>
      <t>Navigate to the &lt;Host&gt; node.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Verify that the node contains a &lt;Valve className="org.apache.catalina.valves.AccessLogValve"&gt; node.</t>
    </r>
    <r>
      <rPr>
        <sz val="11"/>
        <color rgb="FF000000"/>
        <rFont val="Calibri"/>
      </rPr>
      <t xml:space="preserve">
</t>
    </r>
    <r>
      <rPr>
        <sz val="11"/>
        <color rgb="FF000000"/>
        <rFont val="Calibri"/>
      </rPr>
      <t>If an “AccessLogValve” is not configured correctly or is missing, this is a finding.</t>
    </r>
    <r>
      <rPr>
        <sz val="11"/>
        <color rgb="FF000000"/>
        <rFont val="Calibri"/>
      </rPr>
      <t xml:space="preserve">
</t>
    </r>
    <r>
      <rPr>
        <sz val="11"/>
        <color rgb="FF000000"/>
        <rFont val="Calibri"/>
      </rPr>
      <t>Note: The “AccessLogValve” should be configured as follows:</t>
    </r>
    <r>
      <rPr>
        <sz val="11"/>
        <color rgb="FF000000"/>
        <rFont val="Calibri"/>
      </rPr>
      <t xml:space="preserve">
</t>
    </r>
    <r>
      <rPr>
        <sz val="11"/>
        <color rgb="FF000000"/>
        <rFont val="Calibri"/>
      </rPr>
      <t xml:space="preserve">                &lt;Valve className="org.apache.catalina.valves.AccessLogValve"</t>
    </r>
    <r>
      <rPr>
        <sz val="11"/>
        <color rgb="FF000000"/>
        <rFont val="Calibri"/>
      </rPr>
      <t xml:space="preserve">
</t>
    </r>
    <r>
      <rPr>
        <sz val="11"/>
        <color rgb="FF000000"/>
        <rFont val="Calibri"/>
      </rPr>
      <t xml:space="preserve">                       directory="logs"</t>
    </r>
    <r>
      <rPr>
        <sz val="11"/>
        <color rgb="FF000000"/>
        <rFont val="Calibri"/>
      </rPr>
      <t xml:space="preserve">
</t>
    </r>
    <r>
      <rPr>
        <sz val="11"/>
        <color rgb="FF000000"/>
        <rFont val="Calibri"/>
      </rPr>
      <t xml:space="preserve">                       pattern="%h %l %u %t &amp;quot;%r&amp;quot; %s %b"</t>
    </r>
    <r>
      <rPr>
        <sz val="11"/>
        <color rgb="FF000000"/>
        <rFont val="Calibri"/>
      </rPr>
      <t xml:space="preserve">
</t>
    </r>
    <r>
      <rPr>
        <sz val="11"/>
        <color rgb="FF000000"/>
        <rFont val="Calibri"/>
      </rPr>
      <t xml:space="preserve">                       prefix="localhost_access_log."</t>
    </r>
    <r>
      <rPr>
        <sz val="11"/>
        <color rgb="FF000000"/>
        <rFont val="Calibri"/>
      </rPr>
      <t xml:space="preserve">
</t>
    </r>
    <r>
      <rPr>
        <sz val="11"/>
        <color rgb="FF000000"/>
        <rFont val="Calibri"/>
      </rPr>
      <t xml:space="preserve">                       suffix=".txt"/&gt;</t>
    </r>
  </si>
  <si>
    <t>V-88823</t>
  </si>
  <si>
    <r>
      <rPr>
        <sz val="11"/>
        <rFont val="Calibri"/>
      </rPr>
      <t>tc Server API must generate log records for user access and authentication events.</t>
    </r>
  </si>
  <si>
    <r>
      <rPr>
        <sz val="11"/>
        <color rgb="FF000000"/>
        <rFont val="Calibri"/>
      </rPr>
      <t>Navigate to and open /usr/lib/vmware-vcops/tomcat-enterprise/conf/server.xml.</t>
    </r>
    <r>
      <rPr>
        <sz val="11"/>
        <color rgb="FF000000"/>
        <rFont val="Calibri"/>
      </rPr>
      <t xml:space="preserve">
</t>
    </r>
    <r>
      <rPr>
        <sz val="11"/>
        <color rgb="FF000000"/>
        <rFont val="Calibri"/>
      </rPr>
      <t>Navigate to the &lt;Host&gt; node.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Verify that the node contains a &lt;Valve className="org.apache.catalina.valves.AccessLogValve"&gt; node.</t>
    </r>
    <r>
      <rPr>
        <sz val="11"/>
        <color rgb="FF000000"/>
        <rFont val="Calibri"/>
      </rPr>
      <t xml:space="preserve">
</t>
    </r>
    <r>
      <rPr>
        <sz val="11"/>
        <color rgb="FF000000"/>
        <rFont val="Calibri"/>
      </rPr>
      <t>If an “AccessLogValve” is not configured correctly or is missing, this is a finding.</t>
    </r>
    <r>
      <rPr>
        <sz val="11"/>
        <color rgb="FF000000"/>
        <rFont val="Calibri"/>
      </rPr>
      <t xml:space="preserve">
</t>
    </r>
    <r>
      <rPr>
        <sz val="11"/>
        <color rgb="FF000000"/>
        <rFont val="Calibri"/>
      </rPr>
      <t>Note: The “AccessLogValve” should be configured as follows:</t>
    </r>
    <r>
      <rPr>
        <sz val="11"/>
        <color rgb="FF000000"/>
        <rFont val="Calibri"/>
      </rPr>
      <t xml:space="preserve">
</t>
    </r>
    <r>
      <rPr>
        <sz val="11"/>
        <color rgb="FF000000"/>
        <rFont val="Calibri"/>
      </rPr>
      <t xml:space="preserve">                &lt;Valve className="org.apache.catalina.valves.AccessLogValve"</t>
    </r>
    <r>
      <rPr>
        <sz val="11"/>
        <color rgb="FF000000"/>
        <rFont val="Calibri"/>
      </rPr>
      <t xml:space="preserve">
</t>
    </r>
    <r>
      <rPr>
        <sz val="11"/>
        <color rgb="FF000000"/>
        <rFont val="Calibri"/>
      </rPr>
      <t xml:space="preserve">                       directory="logs"</t>
    </r>
    <r>
      <rPr>
        <sz val="11"/>
        <color rgb="FF000000"/>
        <rFont val="Calibri"/>
      </rPr>
      <t xml:space="preserve">
</t>
    </r>
    <r>
      <rPr>
        <sz val="11"/>
        <color rgb="FF000000"/>
        <rFont val="Calibri"/>
      </rPr>
      <t xml:space="preserve">                       pattern="%h %l %u %t &amp;quot;%r&amp;quot; %s %b"</t>
    </r>
    <r>
      <rPr>
        <sz val="11"/>
        <color rgb="FF000000"/>
        <rFont val="Calibri"/>
      </rPr>
      <t xml:space="preserve">
</t>
    </r>
    <r>
      <rPr>
        <sz val="11"/>
        <color rgb="FF000000"/>
        <rFont val="Calibri"/>
      </rPr>
      <t xml:space="preserve">                       prefix="localhost_access_log."</t>
    </r>
    <r>
      <rPr>
        <sz val="11"/>
        <color rgb="FF000000"/>
        <rFont val="Calibri"/>
      </rPr>
      <t xml:space="preserve">
</t>
    </r>
    <r>
      <rPr>
        <sz val="11"/>
        <color rgb="FF000000"/>
        <rFont val="Calibri"/>
      </rPr>
      <t xml:space="preserve">                       suffix=".txt"/&gt;</t>
    </r>
  </si>
  <si>
    <t>V-88825</t>
  </si>
  <si>
    <r>
      <rPr>
        <sz val="11"/>
        <rFont val="Calibri"/>
      </rPr>
      <t>tc Server ALL must initiate logging during service start-up.</t>
    </r>
  </si>
  <si>
    <r>
      <rPr>
        <sz val="11"/>
        <color rgb="FF000000"/>
        <rFont val="Calibri"/>
      </rPr>
      <t>An attacker can compromise a web server during the startup process. If logging is not initiated until all the web server processes are started, key information may be missed and not available during a forensic investigation. To assure all logable events are captured, the web server must begin logging once the first web server process is initiated.</t>
    </r>
    <r>
      <rPr>
        <sz val="11"/>
        <color rgb="FF000000"/>
        <rFont val="Calibri"/>
      </rPr>
      <t xml:space="preserve">
</t>
    </r>
    <r>
      <rPr>
        <sz val="11"/>
        <color rgb="FF000000"/>
        <rFont val="Calibri"/>
      </rPr>
      <t>During start, tc Server reports system messages onto STDOUT and STDERR. These messages will be logged if the initialization script is configured correctly. For historical reasons, the standard log file for this is called “catalina.out”.</t>
    </r>
  </si>
  <si>
    <r>
      <rPr>
        <sz val="11"/>
        <color rgb="FF000000"/>
        <rFont val="Calibri"/>
      </rPr>
      <t>At the command prompt, execute the following command:</t>
    </r>
    <r>
      <rPr>
        <sz val="11"/>
        <color rgb="FF000000"/>
        <rFont val="Calibri"/>
      </rPr>
      <t xml:space="preserve">
</t>
    </r>
    <r>
      <rPr>
        <sz val="11"/>
        <color rgb="FF000000"/>
        <rFont val="Calibri"/>
      </rPr>
      <t>more /opt/pivotal/pivotal-tc-server-standard/tomcat-7.0.57.B.RELEASE/bin/catalina.sh</t>
    </r>
    <r>
      <rPr>
        <sz val="11"/>
        <color rgb="FF000000"/>
        <rFont val="Calibri"/>
      </rPr>
      <t xml:space="preserve">
</t>
    </r>
    <r>
      <rPr>
        <sz val="11"/>
        <color rgb="FF000000"/>
        <rFont val="Calibri"/>
      </rPr>
      <t>Type /touch "$CATALINA_OUT"</t>
    </r>
    <r>
      <rPr>
        <sz val="11"/>
        <color rgb="FF000000"/>
        <rFont val="Calibri"/>
      </rPr>
      <t xml:space="preserve">
</t>
    </r>
    <r>
      <rPr>
        <sz val="11"/>
        <color rgb="FF000000"/>
        <rFont val="Calibri"/>
      </rPr>
      <t>Verify that the start command contains the command "&gt;&gt; "$CATALINA_OUT" 2&gt;&amp;1 "&amp;""</t>
    </r>
    <r>
      <rPr>
        <sz val="11"/>
        <color rgb="FF000000"/>
        <rFont val="Calibri"/>
      </rPr>
      <t xml:space="preserve">
</t>
    </r>
    <r>
      <rPr>
        <sz val="11"/>
        <color rgb="FF000000"/>
        <rFont val="Calibri"/>
      </rPr>
      <t>If the command is not correct or is missing, this is a finding.</t>
    </r>
    <r>
      <rPr>
        <sz val="11"/>
        <color rgb="FF000000"/>
        <rFont val="Calibri"/>
      </rPr>
      <t xml:space="preserve">
</t>
    </r>
    <r>
      <rPr>
        <sz val="11"/>
        <color rgb="FF000000"/>
        <rFont val="Calibri"/>
      </rPr>
      <t>Note: Use the Enter key to scroll down after typing /touch "$CATALINA_OUT"</t>
    </r>
  </si>
  <si>
    <t>V-88827</t>
  </si>
  <si>
    <r>
      <rPr>
        <sz val="11"/>
        <rFont val="Calibri"/>
      </rPr>
      <t>tc Server UI must capture, record, and log all content related to a user session.</t>
    </r>
  </si>
  <si>
    <r>
      <rPr>
        <sz val="11"/>
        <color rgb="FF000000"/>
        <rFont val="Calibri"/>
      </rPr>
      <t>After a security incident has occurred, investigators will often review log files to determine what happened. tc Server HORIZON must create a log entry when a user accesses the system and the system authenticates users.</t>
    </r>
    <r>
      <rPr>
        <sz val="11"/>
        <color rgb="FF000000"/>
        <rFont val="Calibri"/>
      </rPr>
      <t xml:space="preserve">
</t>
    </r>
    <r>
      <rPr>
        <sz val="11"/>
        <color rgb="FF000000"/>
        <rFont val="Calibri"/>
      </rPr>
      <t>The logs must contain information about user sessions to include what type of event occurred, when (date and time) events occurred, where within the server the events occurred, the client source of the events, the outcome (success or failure) of the event, the identity of the user/subject/process associated with the event.</t>
    </r>
    <r>
      <rPr>
        <sz val="11"/>
        <color rgb="FF000000"/>
        <rFont val="Calibri"/>
      </rPr>
      <t xml:space="preserve">
</t>
    </r>
    <r>
      <rPr>
        <sz val="11"/>
        <color rgb="FF000000"/>
        <rFont val="Calibri"/>
      </rPr>
      <t>As a Tomcat derivative, tc Server can be configured with an “AccessLogValve”. A Valve element represents a component that can be inserted into the request processing pipeline.  The pattern attribute of the “AccessLogValve” controls which data gets logged.</t>
    </r>
  </si>
  <si>
    <r>
      <rPr>
        <sz val="11"/>
        <color rgb="FF000000"/>
        <rFont val="Calibri"/>
      </rPr>
      <t>At the command prompt, execute the following command:</t>
    </r>
    <r>
      <rPr>
        <sz val="11"/>
        <color rgb="FF000000"/>
        <rFont val="Calibri"/>
      </rPr>
      <t xml:space="preserve">
</t>
    </r>
    <r>
      <rPr>
        <sz val="11"/>
        <color rgb="FF000000"/>
        <rFont val="Calibri"/>
      </rPr>
      <t>tail /storage/log/vcops/log/product-ui/localhost_access_log.YYYY-MM-dd.txt</t>
    </r>
    <r>
      <rPr>
        <sz val="11"/>
        <color rgb="FF000000"/>
        <rFont val="Calibri"/>
      </rPr>
      <t xml:space="preserve">
</t>
    </r>
    <r>
      <rPr>
        <sz val="11"/>
        <color rgb="FF000000"/>
        <rFont val="Calibri"/>
      </rPr>
      <t>Note: Substitute the actual date in the file name.</t>
    </r>
    <r>
      <rPr>
        <sz val="11"/>
        <color rgb="FF000000"/>
        <rFont val="Calibri"/>
      </rPr>
      <t xml:space="preserve">
</t>
    </r>
    <r>
      <rPr>
        <sz val="11"/>
        <color rgb="FF000000"/>
        <rFont val="Calibri"/>
      </rPr>
      <t>If all content related to a user session is not being recorded, this is a finding.</t>
    </r>
  </si>
  <si>
    <t>V-88829</t>
  </si>
  <si>
    <r>
      <rPr>
        <sz val="11"/>
        <rFont val="Calibri"/>
      </rPr>
      <t>tc Server CaSa must capture, record, and log all content related to a user session.</t>
    </r>
  </si>
  <si>
    <r>
      <rPr>
        <sz val="11"/>
        <color rgb="FF000000"/>
        <rFont val="Calibri"/>
      </rPr>
      <t>After a security incident has occurred, investigators will often review log files to determine what happened. tc Server HORIZON must create a log entry when a user accesses the system and the system authenticates users.</t>
    </r>
    <r>
      <rPr>
        <sz val="11"/>
        <color rgb="FF000000"/>
        <rFont val="Calibri"/>
      </rPr>
      <t xml:space="preserve">
</t>
    </r>
    <r>
      <rPr>
        <sz val="11"/>
        <color rgb="FF000000"/>
        <rFont val="Calibri"/>
      </rPr>
      <t>The logs must contain information about user sessions to include what type of event occurred, when (date and time) events occurred, where within the server the events occurred, the client source of the events, the outcome (success or failure) of the event, the identity of the user/subject/process associated with the event.</t>
    </r>
    <r>
      <rPr>
        <sz val="11"/>
        <color rgb="FF000000"/>
        <rFont val="Calibri"/>
      </rPr>
      <t xml:space="preserve">
</t>
    </r>
    <r>
      <rPr>
        <sz val="11"/>
        <color rgb="FF000000"/>
        <rFont val="Calibri"/>
      </rPr>
      <t>As a Tomcat derivative, tc Server can be configured with an “AccessLogValve”. A Valve element represents a component that can be inserted into the request processing pipeline. The pattern attribute of the “AccessLogValve” controls which data gets logged.</t>
    </r>
  </si>
  <si>
    <r>
      <rPr>
        <sz val="11"/>
        <color rgb="FF000000"/>
        <rFont val="Calibri"/>
      </rPr>
      <t>At the command prompt, execute the following command:</t>
    </r>
    <r>
      <rPr>
        <sz val="11"/>
        <color rgb="FF000000"/>
        <rFont val="Calibri"/>
      </rPr>
      <t xml:space="preserve">
</t>
    </r>
    <r>
      <rPr>
        <sz val="11"/>
        <color rgb="FF000000"/>
        <rFont val="Calibri"/>
      </rPr>
      <t>tail /storage/log/vcops/log/casa/localhost_access_log.YYYY-MM-dd.txt</t>
    </r>
    <r>
      <rPr>
        <sz val="11"/>
        <color rgb="FF000000"/>
        <rFont val="Calibri"/>
      </rPr>
      <t xml:space="preserve">
</t>
    </r>
    <r>
      <rPr>
        <sz val="11"/>
        <color rgb="FF000000"/>
        <rFont val="Calibri"/>
      </rPr>
      <t>Note: Substitute the actual date in the file name.</t>
    </r>
    <r>
      <rPr>
        <sz val="11"/>
        <color rgb="FF000000"/>
        <rFont val="Calibri"/>
      </rPr>
      <t xml:space="preserve">
</t>
    </r>
    <r>
      <rPr>
        <sz val="11"/>
        <color rgb="FF000000"/>
        <rFont val="Calibri"/>
      </rPr>
      <t>If all content related to a user session is not being recorded, this is a finding.</t>
    </r>
  </si>
  <si>
    <t>V-88831</t>
  </si>
  <si>
    <r>
      <rPr>
        <sz val="11"/>
        <rFont val="Calibri"/>
      </rPr>
      <t>tc Server API must capture, record, and log all content related to a user session.</t>
    </r>
  </si>
  <si>
    <r>
      <rPr>
        <sz val="11"/>
        <color rgb="FF000000"/>
        <rFont val="Calibri"/>
      </rPr>
      <t>At the command prompt, execute the following command:</t>
    </r>
    <r>
      <rPr>
        <sz val="11"/>
        <color rgb="FF000000"/>
        <rFont val="Calibri"/>
      </rPr>
      <t xml:space="preserve">
</t>
    </r>
    <r>
      <rPr>
        <sz val="11"/>
        <color rgb="FF000000"/>
        <rFont val="Calibri"/>
      </rPr>
      <t>tail /storage/log/vcops/log/suite-api/localhost_access_log.YYYY-MM-dd.txt</t>
    </r>
    <r>
      <rPr>
        <sz val="11"/>
        <color rgb="FF000000"/>
        <rFont val="Calibri"/>
      </rPr>
      <t xml:space="preserve">
</t>
    </r>
    <r>
      <rPr>
        <sz val="11"/>
        <color rgb="FF000000"/>
        <rFont val="Calibri"/>
      </rPr>
      <t>Note: Substitute the actual date in the file name.</t>
    </r>
    <r>
      <rPr>
        <sz val="11"/>
        <color rgb="FF000000"/>
        <rFont val="Calibri"/>
      </rPr>
      <t xml:space="preserve">
</t>
    </r>
    <r>
      <rPr>
        <sz val="11"/>
        <color rgb="FF000000"/>
        <rFont val="Calibri"/>
      </rPr>
      <t>If all content related to a user session is not being recorded, this is a finding.</t>
    </r>
  </si>
  <si>
    <t>V-88833</t>
  </si>
  <si>
    <r>
      <rPr>
        <sz val="11"/>
        <rFont val="Calibri"/>
      </rPr>
      <t>tc Server UI must produce log records containing sufficient information to establish what type of events occurred.</t>
    </r>
  </si>
  <si>
    <r>
      <rPr>
        <sz val="11"/>
        <color rgb="FF000000"/>
        <rFont val="Calibri"/>
      </rPr>
      <t>After a security incident has occurred, investigators will often review log files to determine what happened. Understanding what type of event occurred is critical for investigation of a suspicious event.</t>
    </r>
    <r>
      <rPr>
        <sz val="11"/>
        <color rgb="FF000000"/>
        <rFont val="Calibri"/>
      </rPr>
      <t xml:space="preserve">
</t>
    </r>
    <r>
      <rPr>
        <sz val="11"/>
        <color rgb="FF000000"/>
        <rFont val="Calibri"/>
      </rPr>
      <t>Like all servers, tc Server will typically process “GET” and “POST” requests clients. These will help investigators understand what happened.</t>
    </r>
  </si>
  <si>
    <r>
      <rPr>
        <sz val="11"/>
        <color rgb="FF000000"/>
        <rFont val="Calibri"/>
      </rPr>
      <t>At the command prompt, execute the following command:</t>
    </r>
    <r>
      <rPr>
        <sz val="11"/>
        <color rgb="FF000000"/>
        <rFont val="Calibri"/>
      </rPr>
      <t xml:space="preserve">
</t>
    </r>
    <r>
      <rPr>
        <sz val="11"/>
        <color rgb="FF000000"/>
        <rFont val="Calibri"/>
      </rPr>
      <t>tail /storage/log/vcops/log/product-ui/localhost_access_log.YYYY-MM-dd.txt</t>
    </r>
    <r>
      <rPr>
        <sz val="11"/>
        <color rgb="FF000000"/>
        <rFont val="Calibri"/>
      </rPr>
      <t xml:space="preserve">
</t>
    </r>
    <r>
      <rPr>
        <sz val="11"/>
        <color rgb="FF000000"/>
        <rFont val="Calibri"/>
      </rPr>
      <t>Note: Substitute the actual date in the file name.</t>
    </r>
    <r>
      <rPr>
        <sz val="11"/>
        <color rgb="FF000000"/>
        <rFont val="Calibri"/>
      </rPr>
      <t xml:space="preserve">
</t>
    </r>
    <r>
      <rPr>
        <sz val="11"/>
        <color rgb="FF000000"/>
        <rFont val="Calibri"/>
      </rPr>
      <t>If HTTP "GET" and/or "POST" events are not being recorded, this is a finding.</t>
    </r>
  </si>
  <si>
    <t>V-88835</t>
  </si>
  <si>
    <r>
      <rPr>
        <sz val="11"/>
        <rFont val="Calibri"/>
      </rPr>
      <t>tc Server CaSa must produce log records containing sufficient information to establish what type of events occurred.</t>
    </r>
  </si>
  <si>
    <r>
      <rPr>
        <sz val="11"/>
        <color rgb="FF000000"/>
        <rFont val="Calibri"/>
      </rPr>
      <t>At the command prompt, execute the following command:</t>
    </r>
    <r>
      <rPr>
        <sz val="11"/>
        <color rgb="FF000000"/>
        <rFont val="Calibri"/>
      </rPr>
      <t xml:space="preserve">
</t>
    </r>
    <r>
      <rPr>
        <sz val="11"/>
        <color rgb="FF000000"/>
        <rFont val="Calibri"/>
      </rPr>
      <t>tail /storage/log/vcops/log/casa/localhost_access_log.YYYY-MM-dd.txt</t>
    </r>
    <r>
      <rPr>
        <sz val="11"/>
        <color rgb="FF000000"/>
        <rFont val="Calibri"/>
      </rPr>
      <t xml:space="preserve">
</t>
    </r>
    <r>
      <rPr>
        <sz val="11"/>
        <color rgb="FF000000"/>
        <rFont val="Calibri"/>
      </rPr>
      <t>Note: Substitute the actual date in the file name.</t>
    </r>
    <r>
      <rPr>
        <sz val="11"/>
        <color rgb="FF000000"/>
        <rFont val="Calibri"/>
      </rPr>
      <t xml:space="preserve">
</t>
    </r>
    <r>
      <rPr>
        <sz val="11"/>
        <color rgb="FF000000"/>
        <rFont val="Calibri"/>
      </rPr>
      <t>If HTTP "GET" and/or "POST" events are not being recorded, this is a finding.</t>
    </r>
  </si>
  <si>
    <t>V-88837</t>
  </si>
  <si>
    <r>
      <rPr>
        <sz val="11"/>
        <rFont val="Calibri"/>
      </rPr>
      <t>tc Server API must produce log records containing sufficient information to establish what type of events occurred.</t>
    </r>
  </si>
  <si>
    <r>
      <rPr>
        <sz val="11"/>
        <color rgb="FF000000"/>
        <rFont val="Calibri"/>
      </rPr>
      <t>After a security incident has occurred, investigators will often review log files to determine what happened. Understanding what type of event occurred is critical for investigation of a suspicious event.</t>
    </r>
    <r>
      <rPr>
        <sz val="11"/>
        <color rgb="FF000000"/>
        <rFont val="Calibri"/>
      </rPr>
      <t xml:space="preserve">
</t>
    </r>
    <r>
      <rPr>
        <sz val="11"/>
        <color rgb="FF000000"/>
        <rFont val="Calibri"/>
      </rPr>
      <t>Like all servers, tc Server will typically process “GET” and “POST” requests clients.  These will help investigators understand what happened.</t>
    </r>
  </si>
  <si>
    <r>
      <rPr>
        <sz val="11"/>
        <color rgb="FF000000"/>
        <rFont val="Calibri"/>
      </rPr>
      <t>At the command prompt, execute the following command:</t>
    </r>
    <r>
      <rPr>
        <sz val="11"/>
        <color rgb="FF000000"/>
        <rFont val="Calibri"/>
      </rPr>
      <t xml:space="preserve">
</t>
    </r>
    <r>
      <rPr>
        <sz val="11"/>
        <color rgb="FF000000"/>
        <rFont val="Calibri"/>
      </rPr>
      <t>tail /storage/log/vcops/log/suite-api/localhost_access_log.YYYY-MM-dd.txt</t>
    </r>
    <r>
      <rPr>
        <sz val="11"/>
        <color rgb="FF000000"/>
        <rFont val="Calibri"/>
      </rPr>
      <t xml:space="preserve">
</t>
    </r>
    <r>
      <rPr>
        <sz val="11"/>
        <color rgb="FF000000"/>
        <rFont val="Calibri"/>
      </rPr>
      <t>Note: Substitute the actual date in the file name.</t>
    </r>
    <r>
      <rPr>
        <sz val="11"/>
        <color rgb="FF000000"/>
        <rFont val="Calibri"/>
      </rPr>
      <t xml:space="preserve">
</t>
    </r>
    <r>
      <rPr>
        <sz val="11"/>
        <color rgb="FF000000"/>
        <rFont val="Calibri"/>
      </rPr>
      <t>If HTTP "GET" and/or "POST" events are not being recorded, this is a finding.</t>
    </r>
  </si>
  <si>
    <t>V-88839</t>
  </si>
  <si>
    <r>
      <rPr>
        <sz val="11"/>
        <rFont val="Calibri"/>
      </rPr>
      <t>tc Server UI must produce log records containing sufficient information to establish when (date and time) events occurred.</t>
    </r>
  </si>
  <si>
    <r>
      <rPr>
        <sz val="11"/>
        <color rgb="FF000000"/>
        <rFont val="Calibri"/>
      </rPr>
      <t>After a security incident has occurred, investigators will often review log files to determine when events occurred. Understanding the precise sequence of events is critical for investigation of a suspicious event.</t>
    </r>
    <r>
      <rPr>
        <sz val="11"/>
        <color rgb="FF000000"/>
        <rFont val="Calibri"/>
      </rPr>
      <t xml:space="preserve">
</t>
    </r>
    <r>
      <rPr>
        <sz val="11"/>
        <color rgb="FF000000"/>
        <rFont val="Calibri"/>
      </rPr>
      <t>As a Tomcat derivative, tc Server can be configured with an “AccessLogValve. A Valve element represents a component that can be inserted into the request processing pipeline.  The pattern attribute of the “AccessLogValve” controls which data gets logged. The “%t” parameter specifies that the system time should be recorded.</t>
    </r>
  </si>
  <si>
    <r>
      <rPr>
        <sz val="11"/>
        <color rgb="FF000000"/>
        <rFont val="Calibri"/>
      </rPr>
      <t>At the command prompt, execute the following command:</t>
    </r>
    <r>
      <rPr>
        <sz val="11"/>
        <color rgb="FF000000"/>
        <rFont val="Calibri"/>
      </rPr>
      <t xml:space="preserve">
</t>
    </r>
    <r>
      <rPr>
        <sz val="11"/>
        <color rgb="FF000000"/>
        <rFont val="Calibri"/>
      </rPr>
      <t>tail /storage/log/vcops/log/product-ui/localhost_access_log.YYYY-MM-dd.txt</t>
    </r>
    <r>
      <rPr>
        <sz val="11"/>
        <color rgb="FF000000"/>
        <rFont val="Calibri"/>
      </rPr>
      <t xml:space="preserve">
</t>
    </r>
    <r>
      <rPr>
        <sz val="11"/>
        <color rgb="FF000000"/>
        <rFont val="Calibri"/>
      </rPr>
      <t>Note: Substitute the actual date in the file name.</t>
    </r>
    <r>
      <rPr>
        <sz val="11"/>
        <color rgb="FF000000"/>
        <rFont val="Calibri"/>
      </rPr>
      <t xml:space="preserve">
</t>
    </r>
    <r>
      <rPr>
        <sz val="11"/>
        <color rgb="FF000000"/>
        <rFont val="Calibri"/>
      </rPr>
      <t>If the time and date of events are not being recorded, this is a finding.</t>
    </r>
  </si>
  <si>
    <t>V-88841</t>
  </si>
  <si>
    <r>
      <rPr>
        <sz val="11"/>
        <rFont val="Calibri"/>
      </rPr>
      <t>tc Server CaSa must produce log records containing sufficient information to establish when (date and time) events occurred.</t>
    </r>
  </si>
  <si>
    <r>
      <rPr>
        <sz val="11"/>
        <color rgb="FF000000"/>
        <rFont val="Calibri"/>
      </rPr>
      <t>After a security incident has occurred, investigators will often review log files to determine when events occurred. Understanding the precise sequence of events is critical for investigation of a suspicious event.</t>
    </r>
    <r>
      <rPr>
        <sz val="11"/>
        <color rgb="FF000000"/>
        <rFont val="Calibri"/>
      </rPr>
      <t xml:space="preserve">
</t>
    </r>
    <r>
      <rPr>
        <sz val="11"/>
        <color rgb="FF000000"/>
        <rFont val="Calibri"/>
      </rPr>
      <t>As a Tomcat derivative, tc Server can be configured with an “AccessLogValve”. A Valve element represents a component that can be inserted into the request processing pipeline.  The pattern attribute of the “AccessLogValve” controls which data gets logged. The “%t” parameter specifies that the system time should be recorded.</t>
    </r>
  </si>
  <si>
    <r>
      <rPr>
        <sz val="11"/>
        <color rgb="FF000000"/>
        <rFont val="Calibri"/>
      </rPr>
      <t>At the command prompt, execute the following command:</t>
    </r>
    <r>
      <rPr>
        <sz val="11"/>
        <color rgb="FF000000"/>
        <rFont val="Calibri"/>
      </rPr>
      <t xml:space="preserve">
</t>
    </r>
    <r>
      <rPr>
        <sz val="11"/>
        <color rgb="FF000000"/>
        <rFont val="Calibri"/>
      </rPr>
      <t>tail /storage/log/vcops/log/casa/localhost_access_log.YYYY-MM-dd.txt</t>
    </r>
    <r>
      <rPr>
        <sz val="11"/>
        <color rgb="FF000000"/>
        <rFont val="Calibri"/>
      </rPr>
      <t xml:space="preserve">
</t>
    </r>
    <r>
      <rPr>
        <sz val="11"/>
        <color rgb="FF000000"/>
        <rFont val="Calibri"/>
      </rPr>
      <t>Note: Substitute the actual date in the file name.</t>
    </r>
    <r>
      <rPr>
        <sz val="11"/>
        <color rgb="FF000000"/>
        <rFont val="Calibri"/>
      </rPr>
      <t xml:space="preserve">
</t>
    </r>
    <r>
      <rPr>
        <sz val="11"/>
        <color rgb="FF000000"/>
        <rFont val="Calibri"/>
      </rPr>
      <t>If the time and date of events are not being recorded, this is a finding.</t>
    </r>
  </si>
  <si>
    <t>V-88843</t>
  </si>
  <si>
    <r>
      <rPr>
        <sz val="11"/>
        <rFont val="Calibri"/>
      </rPr>
      <t>tc Server API must produce log records containing sufficient information to establish when (date and time) events occurred.</t>
    </r>
  </si>
  <si>
    <r>
      <rPr>
        <sz val="11"/>
        <color rgb="FF000000"/>
        <rFont val="Calibri"/>
      </rPr>
      <t>Navigate to and open /usr/lib/vmware-vcops/tomcat-enterprise/conf/server.xml.</t>
    </r>
    <r>
      <rPr>
        <sz val="11"/>
        <color rgb="FF000000"/>
        <rFont val="Calibri"/>
      </rPr>
      <t xml:space="preserve">
</t>
    </r>
    <r>
      <rPr>
        <sz val="11"/>
        <color rgb="FF000000"/>
        <rFont val="Calibri"/>
      </rPr>
      <t>Navigate to and locate &lt;Host&gt;.</t>
    </r>
    <r>
      <rPr>
        <sz val="11"/>
        <color rgb="FF000000"/>
        <rFont val="Calibri"/>
      </rPr>
      <t xml:space="preserve">
</t>
    </r>
    <r>
      <rPr>
        <sz val="11"/>
        <color rgb="FF000000"/>
        <rFont val="Calibri"/>
      </rPr>
      <t>Configure the &lt;Host&gt; node with the &lt;AccessLogValve&gt; below.</t>
    </r>
    <r>
      <rPr>
        <sz val="11"/>
        <color rgb="FF000000"/>
        <rFont val="Calibri"/>
      </rPr>
      <t xml:space="preserve">
</t>
    </r>
    <r>
      <rPr>
        <sz val="11"/>
        <color rgb="FF000000"/>
        <rFont val="Calibri"/>
      </rPr>
      <t xml:space="preserve">Note: The AccessLogValve should be configured as follows: </t>
    </r>
    <r>
      <rPr>
        <sz val="11"/>
        <color rgb="FF000000"/>
        <rFont val="Calibri"/>
      </rPr>
      <t xml:space="preserve">
</t>
    </r>
    <r>
      <rPr>
        <sz val="11"/>
        <color rgb="FF000000"/>
        <rFont val="Calibri"/>
      </rPr>
      <t xml:space="preserve">                &lt;Valve className="org.apache.catalina.valves.AccessLogValve"</t>
    </r>
    <r>
      <rPr>
        <sz val="11"/>
        <color rgb="FF000000"/>
        <rFont val="Calibri"/>
      </rPr>
      <t xml:space="preserve">
</t>
    </r>
    <r>
      <rPr>
        <sz val="11"/>
        <color rgb="FF000000"/>
        <rFont val="Calibri"/>
      </rPr>
      <t xml:space="preserve">                       directory="logs"</t>
    </r>
    <r>
      <rPr>
        <sz val="11"/>
        <color rgb="FF000000"/>
        <rFont val="Calibri"/>
      </rPr>
      <t xml:space="preserve">
</t>
    </r>
    <r>
      <rPr>
        <sz val="11"/>
        <color rgb="FF000000"/>
        <rFont val="Calibri"/>
      </rPr>
      <t xml:space="preserve">                       pattern="%h %l %u %t &amp;quot;%r&amp;quot; %s %b"</t>
    </r>
    <r>
      <rPr>
        <sz val="11"/>
        <color rgb="FF000000"/>
        <rFont val="Calibri"/>
      </rPr>
      <t xml:space="preserve">
</t>
    </r>
    <r>
      <rPr>
        <sz val="11"/>
        <color rgb="FF000000"/>
        <rFont val="Calibri"/>
      </rPr>
      <t xml:space="preserve">                       prefix="localhost_access_log."</t>
    </r>
    <r>
      <rPr>
        <sz val="11"/>
        <color rgb="FF000000"/>
        <rFont val="Calibri"/>
      </rPr>
      <t xml:space="preserve">
</t>
    </r>
    <r>
      <rPr>
        <sz val="11"/>
        <color rgb="FF000000"/>
        <rFont val="Calibri"/>
      </rPr>
      <t xml:space="preserve">                       suffix=".txt"/&gt;</t>
    </r>
  </si>
  <si>
    <r>
      <rPr>
        <sz val="11"/>
        <color rgb="FF000000"/>
        <rFont val="Calibri"/>
      </rPr>
      <t>At the command prompt, execute the following command:</t>
    </r>
    <r>
      <rPr>
        <sz val="11"/>
        <color rgb="FF000000"/>
        <rFont val="Calibri"/>
      </rPr>
      <t xml:space="preserve">
</t>
    </r>
    <r>
      <rPr>
        <sz val="11"/>
        <color rgb="FF000000"/>
        <rFont val="Calibri"/>
      </rPr>
      <t>tail /storage/log/vcops/log/suite-api/localhost_access_log.YYYY-MM-dd.txt</t>
    </r>
    <r>
      <rPr>
        <sz val="11"/>
        <color rgb="FF000000"/>
        <rFont val="Calibri"/>
      </rPr>
      <t xml:space="preserve">
</t>
    </r>
    <r>
      <rPr>
        <sz val="11"/>
        <color rgb="FF000000"/>
        <rFont val="Calibri"/>
      </rPr>
      <t>Note: Substitute the actual date in the file name.</t>
    </r>
    <r>
      <rPr>
        <sz val="11"/>
        <color rgb="FF000000"/>
        <rFont val="Calibri"/>
      </rPr>
      <t xml:space="preserve">
</t>
    </r>
    <r>
      <rPr>
        <sz val="11"/>
        <color rgb="FF000000"/>
        <rFont val="Calibri"/>
      </rPr>
      <t>If the time and date of events are not being recorded, this is a finding.</t>
    </r>
  </si>
  <si>
    <t>V-88845</t>
  </si>
  <si>
    <r>
      <rPr>
        <sz val="11"/>
        <rFont val="Calibri"/>
      </rPr>
      <t>tc Server UI must produce log records containing sufficient information to establish where within the web server the events occurred.</t>
    </r>
  </si>
  <si>
    <r>
      <rPr>
        <sz val="11"/>
        <color rgb="FF000000"/>
        <rFont val="Calibri"/>
      </rPr>
      <t>After a security incident has occurred, investigators will often review log files to determine what happened. tc Server HORIZON must create a log entry when a user accesses the system and the system authenticates users.</t>
    </r>
    <r>
      <rPr>
        <sz val="11"/>
        <color rgb="FF000000"/>
        <rFont val="Calibri"/>
      </rPr>
      <t xml:space="preserve">
</t>
    </r>
    <r>
      <rPr>
        <sz val="11"/>
        <color rgb="FF000000"/>
        <rFont val="Calibri"/>
      </rPr>
      <t>The logs must contain information about user sessions to include what type of event occurred, when (date and time) events occurred, where within the server the events occurred, the client source of the events, the outcome (success or failure) of the event, the identity of the user/subject/process associated with the event.</t>
    </r>
    <r>
      <rPr>
        <sz val="11"/>
        <color rgb="FF000000"/>
        <rFont val="Calibri"/>
      </rPr>
      <t xml:space="preserve">
</t>
    </r>
    <r>
      <rPr>
        <sz val="11"/>
        <color rgb="FF000000"/>
        <rFont val="Calibri"/>
      </rPr>
      <t>Like all web servers, tc Server will log the requested URL and the parameters, if any, sent in the request. This information will enable investigators to determine where in the server an action was requested.</t>
    </r>
  </si>
  <si>
    <r>
      <rPr>
        <sz val="11"/>
        <color rgb="FF000000"/>
        <rFont val="Calibri"/>
      </rPr>
      <t>At the command prompt, execute the following command:</t>
    </r>
    <r>
      <rPr>
        <sz val="11"/>
        <color rgb="FF000000"/>
        <rFont val="Calibri"/>
      </rPr>
      <t xml:space="preserve">
</t>
    </r>
    <r>
      <rPr>
        <sz val="11"/>
        <color rgb="FF000000"/>
        <rFont val="Calibri"/>
      </rPr>
      <t>tail /storage/log/vcops/log/product-ui/localhost_access_log.YYYY-MM-dd.txt</t>
    </r>
    <r>
      <rPr>
        <sz val="11"/>
        <color rgb="FF000000"/>
        <rFont val="Calibri"/>
      </rPr>
      <t xml:space="preserve">
</t>
    </r>
    <r>
      <rPr>
        <sz val="11"/>
        <color rgb="FF000000"/>
        <rFont val="Calibri"/>
      </rPr>
      <t>Note: Substitute the actual date in the file name.</t>
    </r>
    <r>
      <rPr>
        <sz val="11"/>
        <color rgb="FF000000"/>
        <rFont val="Calibri"/>
      </rPr>
      <t xml:space="preserve">
</t>
    </r>
    <r>
      <rPr>
        <sz val="11"/>
        <color rgb="FF000000"/>
        <rFont val="Calibri"/>
      </rPr>
      <t>If the location of events are not being recorded, this is a finding.</t>
    </r>
  </si>
  <si>
    <t>V-88847</t>
  </si>
  <si>
    <r>
      <rPr>
        <sz val="11"/>
        <rFont val="Calibri"/>
      </rPr>
      <t>tc Server CaSa must produce log records containing sufficient information to establish where within the web server the events occurred.</t>
    </r>
  </si>
  <si>
    <r>
      <rPr>
        <sz val="11"/>
        <color rgb="FF000000"/>
        <rFont val="Calibri"/>
      </rPr>
      <t>At the command prompt, execute the following command:</t>
    </r>
    <r>
      <rPr>
        <sz val="11"/>
        <color rgb="FF000000"/>
        <rFont val="Calibri"/>
      </rPr>
      <t xml:space="preserve">
</t>
    </r>
    <r>
      <rPr>
        <sz val="11"/>
        <color rgb="FF000000"/>
        <rFont val="Calibri"/>
      </rPr>
      <t>tail /storage/log/vcops/log/casa/localhost_access_log.YYYY-MM-dd.txt</t>
    </r>
    <r>
      <rPr>
        <sz val="11"/>
        <color rgb="FF000000"/>
        <rFont val="Calibri"/>
      </rPr>
      <t xml:space="preserve">
</t>
    </r>
    <r>
      <rPr>
        <sz val="11"/>
        <color rgb="FF000000"/>
        <rFont val="Calibri"/>
      </rPr>
      <t>Note: Substitute the actual date in the file name.</t>
    </r>
    <r>
      <rPr>
        <sz val="11"/>
        <color rgb="FF000000"/>
        <rFont val="Calibri"/>
      </rPr>
      <t xml:space="preserve">
</t>
    </r>
    <r>
      <rPr>
        <sz val="11"/>
        <color rgb="FF000000"/>
        <rFont val="Calibri"/>
      </rPr>
      <t>If the location of events are not being recorded, this is a finding.</t>
    </r>
  </si>
  <si>
    <t>V-88849</t>
  </si>
  <si>
    <r>
      <rPr>
        <sz val="11"/>
        <rFont val="Calibri"/>
      </rPr>
      <t>tc Server API must produce log records containing sufficient information to establish where within the web server the events occurred.</t>
    </r>
  </si>
  <si>
    <r>
      <rPr>
        <sz val="11"/>
        <color rgb="FF000000"/>
        <rFont val="Calibri"/>
      </rPr>
      <t>At the command prompt, execute the following command:</t>
    </r>
    <r>
      <rPr>
        <sz val="11"/>
        <color rgb="FF000000"/>
        <rFont val="Calibri"/>
      </rPr>
      <t xml:space="preserve">
</t>
    </r>
    <r>
      <rPr>
        <sz val="11"/>
        <color rgb="FF000000"/>
        <rFont val="Calibri"/>
      </rPr>
      <t>tail /storage/log/vcops/log/suite-api/localhost_access_log.YYYY-MM-dd.txt</t>
    </r>
    <r>
      <rPr>
        <sz val="11"/>
        <color rgb="FF000000"/>
        <rFont val="Calibri"/>
      </rPr>
      <t xml:space="preserve">
</t>
    </r>
    <r>
      <rPr>
        <sz val="11"/>
        <color rgb="FF000000"/>
        <rFont val="Calibri"/>
      </rPr>
      <t>Note: Substitute the actual date in the file name.</t>
    </r>
    <r>
      <rPr>
        <sz val="11"/>
        <color rgb="FF000000"/>
        <rFont val="Calibri"/>
      </rPr>
      <t xml:space="preserve">
</t>
    </r>
    <r>
      <rPr>
        <sz val="11"/>
        <color rgb="FF000000"/>
        <rFont val="Calibri"/>
      </rPr>
      <t>If the location of events are not being recorded, this is a finding.</t>
    </r>
  </si>
  <si>
    <t>V-88851</t>
  </si>
  <si>
    <r>
      <rPr>
        <sz val="11"/>
        <rFont val="Calibri"/>
      </rPr>
      <t>tc Server UI must produce log records containing sufficient information to establish the source of events.</t>
    </r>
  </si>
  <si>
    <r>
      <rPr>
        <sz val="11"/>
        <color rgb="FF000000"/>
        <rFont val="Calibri"/>
      </rPr>
      <t>After a security incident has occurred, investigators will often review log files to determine what happened. tc Server HORIZON must create a log entry when a user accesses the system and the system authenticates users.</t>
    </r>
    <r>
      <rPr>
        <sz val="11"/>
        <color rgb="FF000000"/>
        <rFont val="Calibri"/>
      </rPr>
      <t xml:space="preserve">
</t>
    </r>
    <r>
      <rPr>
        <sz val="11"/>
        <color rgb="FF000000"/>
        <rFont val="Calibri"/>
      </rPr>
      <t>The logs must contain information about user sessions to include what type of event occurred, when (date and time) events occurred, where within the server the events occurred, the client source of the events, the outcome (success or failure) of the event, the identity of the user/subject/process associated with the event.</t>
    </r>
    <r>
      <rPr>
        <sz val="11"/>
        <color rgb="FF000000"/>
        <rFont val="Calibri"/>
      </rPr>
      <t xml:space="preserve">
</t>
    </r>
    <r>
      <rPr>
        <sz val="11"/>
        <color rgb="FF000000"/>
        <rFont val="Calibri"/>
      </rPr>
      <t>As a Tomcat derivative, tc Server can be configured with an “AccessLogValve”. A Valve element represents a component that can be inserted into the request processing pipeline.  The pattern attribute of the “AccessLogValve” controls which data gets logged. The “%h” parameter will record the remote hostname or IP address that sent the request; i.e. the source of the event.</t>
    </r>
  </si>
  <si>
    <r>
      <rPr>
        <sz val="11"/>
        <color rgb="FF000000"/>
        <rFont val="Calibri"/>
      </rPr>
      <t>At the command prompt, execute the following command:</t>
    </r>
    <r>
      <rPr>
        <sz val="11"/>
        <color rgb="FF000000"/>
        <rFont val="Calibri"/>
      </rPr>
      <t xml:space="preserve">
</t>
    </r>
    <r>
      <rPr>
        <sz val="11"/>
        <color rgb="FF000000"/>
        <rFont val="Calibri"/>
      </rPr>
      <t>grep -v 127.0 /storage/log/vcops/log/product-ui/localhost_access_log.YYYY-MM-dd.txt</t>
    </r>
    <r>
      <rPr>
        <sz val="11"/>
        <color rgb="FF000000"/>
        <rFont val="Calibri"/>
      </rPr>
      <t xml:space="preserve">
</t>
    </r>
    <r>
      <rPr>
        <sz val="11"/>
        <color rgb="FF000000"/>
        <rFont val="Calibri"/>
      </rPr>
      <t>Note: Substitute the actual date in the file name.</t>
    </r>
    <r>
      <rPr>
        <sz val="11"/>
        <color rgb="FF000000"/>
        <rFont val="Calibri"/>
      </rPr>
      <t xml:space="preserve">
</t>
    </r>
    <r>
      <rPr>
        <sz val="11"/>
        <color rgb="FF000000"/>
        <rFont val="Calibri"/>
      </rPr>
      <t>If the source IP of events are not being recorded, this is a finding.</t>
    </r>
  </si>
  <si>
    <t>V-88853</t>
  </si>
  <si>
    <r>
      <rPr>
        <sz val="11"/>
        <rFont val="Calibri"/>
      </rPr>
      <t>tc Server CaSa must produce log records containing sufficient information to establish the source of events.</t>
    </r>
  </si>
  <si>
    <r>
      <rPr>
        <sz val="11"/>
        <color rgb="FF000000"/>
        <rFont val="Calibri"/>
      </rPr>
      <t>After a security incident has occurred, investigators will often review log files to determine what happened. tc Server HORIZON must create a log entry when a user accesses the system and the system authenticates users.</t>
    </r>
    <r>
      <rPr>
        <sz val="11"/>
        <color rgb="FF000000"/>
        <rFont val="Calibri"/>
      </rPr>
      <t xml:space="preserve">
</t>
    </r>
    <r>
      <rPr>
        <sz val="11"/>
        <color rgb="FF000000"/>
        <rFont val="Calibri"/>
      </rPr>
      <t>The logs must contain information about user sessions to include what type of event occurred, when (date and time) events occurred, where within the server the events occurred, the client source of the events, the outcome (success or failure) of the event, the identity of the user/subject/process associated with the event.</t>
    </r>
    <r>
      <rPr>
        <sz val="11"/>
        <color rgb="FF000000"/>
        <rFont val="Calibri"/>
      </rPr>
      <t xml:space="preserve">
</t>
    </r>
    <r>
      <rPr>
        <sz val="11"/>
        <color rgb="FF000000"/>
        <rFont val="Calibri"/>
      </rPr>
      <t>As a Tomcat derivative, tc Server can be configured with an “AccessLogValve”. A Valve element represents a component that can be inserted into the request processing pipeline. The pattern attribute of the “AccessLogValve” controls which data gets logged. The “%h” parameter will record the remote hostname or IP address that sent the request; i.e. the source of the event.</t>
    </r>
  </si>
  <si>
    <r>
      <rPr>
        <sz val="11"/>
        <color rgb="FF000000"/>
        <rFont val="Calibri"/>
      </rPr>
      <t>At the command prompt, execute the following command:</t>
    </r>
    <r>
      <rPr>
        <sz val="11"/>
        <color rgb="FF000000"/>
        <rFont val="Calibri"/>
      </rPr>
      <t xml:space="preserve">
</t>
    </r>
    <r>
      <rPr>
        <sz val="11"/>
        <color rgb="FF000000"/>
        <rFont val="Calibri"/>
      </rPr>
      <t>grep -v 127.0 /storage/log/vcops/log/casa/localhost_access_log.YYYY-MM-dd.txt</t>
    </r>
    <r>
      <rPr>
        <sz val="11"/>
        <color rgb="FF000000"/>
        <rFont val="Calibri"/>
      </rPr>
      <t xml:space="preserve">
</t>
    </r>
    <r>
      <rPr>
        <sz val="11"/>
        <color rgb="FF000000"/>
        <rFont val="Calibri"/>
      </rPr>
      <t>Note: Substitute the actual date in the file name.</t>
    </r>
    <r>
      <rPr>
        <sz val="11"/>
        <color rgb="FF000000"/>
        <rFont val="Calibri"/>
      </rPr>
      <t xml:space="preserve">
</t>
    </r>
    <r>
      <rPr>
        <sz val="11"/>
        <color rgb="FF000000"/>
        <rFont val="Calibri"/>
      </rPr>
      <t>If the source IP of events are not being recorded, this is a finding.</t>
    </r>
  </si>
  <si>
    <t>V-88855</t>
  </si>
  <si>
    <r>
      <rPr>
        <sz val="11"/>
        <rFont val="Calibri"/>
      </rPr>
      <t>tc Server API must produce log records containing sufficient information to establish the source of events.</t>
    </r>
  </si>
  <si>
    <r>
      <rPr>
        <sz val="11"/>
        <color rgb="FF000000"/>
        <rFont val="Calibri"/>
      </rPr>
      <t>At the command prompt, execute the following command:</t>
    </r>
    <r>
      <rPr>
        <sz val="11"/>
        <color rgb="FF000000"/>
        <rFont val="Calibri"/>
      </rPr>
      <t xml:space="preserve">
</t>
    </r>
    <r>
      <rPr>
        <sz val="11"/>
        <color rgb="FF000000"/>
        <rFont val="Calibri"/>
      </rPr>
      <t>grep -v 127.0 /storage/log/vcops/log/suite-api/localhost_access_log.YYYY-MM-dd.txt</t>
    </r>
    <r>
      <rPr>
        <sz val="11"/>
        <color rgb="FF000000"/>
        <rFont val="Calibri"/>
      </rPr>
      <t xml:space="preserve">
</t>
    </r>
    <r>
      <rPr>
        <sz val="11"/>
        <color rgb="FF000000"/>
        <rFont val="Calibri"/>
      </rPr>
      <t>Note: Substitute the actual date in the file name.</t>
    </r>
    <r>
      <rPr>
        <sz val="11"/>
        <color rgb="FF000000"/>
        <rFont val="Calibri"/>
      </rPr>
      <t xml:space="preserve">
</t>
    </r>
    <r>
      <rPr>
        <sz val="11"/>
        <color rgb="FF000000"/>
        <rFont val="Calibri"/>
      </rPr>
      <t>If the source IP of events are not being recorded, this is a finding.</t>
    </r>
  </si>
  <si>
    <t>V-88857</t>
  </si>
  <si>
    <r>
      <rPr>
        <sz val="11"/>
        <rFont val="Calibri"/>
      </rPr>
      <t>tc Server UI must be configured with the RemoteIpValve in order to produce log records containing the client IP information as the source and destination and not the load balancer or proxy IP information with each event.</t>
    </r>
  </si>
  <si>
    <r>
      <rPr>
        <sz val="11"/>
        <color rgb="FF000000"/>
        <rFont val="Calibri"/>
      </rPr>
      <t>Navigate to and open /usr/lib/vmware-vcops/tomcat-web-app/conf/server.xml.</t>
    </r>
    <r>
      <rPr>
        <sz val="11"/>
        <color rgb="FF000000"/>
        <rFont val="Calibri"/>
      </rPr>
      <t xml:space="preserve">
</t>
    </r>
    <r>
      <rPr>
        <sz val="11"/>
        <color rgb="FF000000"/>
        <rFont val="Calibri"/>
      </rPr>
      <t>Navigate to and locate &lt;Host&gt;.</t>
    </r>
    <r>
      <rPr>
        <sz val="11"/>
        <color rgb="FF000000"/>
        <rFont val="Calibri"/>
      </rPr>
      <t xml:space="preserve">
</t>
    </r>
    <r>
      <rPr>
        <sz val="11"/>
        <color rgb="FF000000"/>
        <rFont val="Calibri"/>
      </rPr>
      <t>Configure the &lt;Host&gt; node with the &lt;RemoteIpValve&gt; below.</t>
    </r>
    <r>
      <rPr>
        <sz val="11"/>
        <color rgb="FF000000"/>
        <rFont val="Calibri"/>
      </rPr>
      <t xml:space="preserve">
</t>
    </r>
    <r>
      <rPr>
        <sz val="11"/>
        <color rgb="FF000000"/>
        <rFont val="Calibri"/>
      </rPr>
      <t xml:space="preserve">Note: The “RemoteIpValve” should be configured as follows: </t>
    </r>
    <r>
      <rPr>
        <sz val="11"/>
        <color rgb="FF000000"/>
        <rFont val="Calibri"/>
      </rPr>
      <t xml:space="preserve">
</t>
    </r>
    <r>
      <rPr>
        <sz val="11"/>
        <color rgb="FF000000"/>
        <rFont val="Calibri"/>
      </rPr>
      <t xml:space="preserve">                &lt;Valve className="org.apache.catalina.valves.RemoteIpValve"</t>
    </r>
    <r>
      <rPr>
        <sz val="11"/>
        <color rgb="FF000000"/>
        <rFont val="Calibri"/>
      </rPr>
      <t xml:space="preserve">
</t>
    </r>
    <r>
      <rPr>
        <sz val="11"/>
        <color rgb="FF000000"/>
        <rFont val="Calibri"/>
      </rPr>
      <t xml:space="preserve">                       remoteIpHeader="x-forwarded-for"</t>
    </r>
    <r>
      <rPr>
        <sz val="11"/>
        <color rgb="FF000000"/>
        <rFont val="Calibri"/>
      </rPr>
      <t xml:space="preserve">
</t>
    </r>
    <r>
      <rPr>
        <sz val="11"/>
        <color rgb="FF000000"/>
        <rFont val="Calibri"/>
      </rPr>
      <t xml:space="preserve">                       remoteIpProxiesHeader="x-forwarded-by"</t>
    </r>
    <r>
      <rPr>
        <sz val="11"/>
        <color rgb="FF000000"/>
        <rFont val="Calibri"/>
      </rPr>
      <t xml:space="preserve">
</t>
    </r>
    <r>
      <rPr>
        <sz val="11"/>
        <color rgb="FF000000"/>
        <rFont val="Calibri"/>
      </rPr>
      <t xml:space="preserve">                       internalProxies=".*"</t>
    </r>
    <r>
      <rPr>
        <sz val="11"/>
        <color rgb="FF000000"/>
        <rFont val="Calibri"/>
      </rPr>
      <t xml:space="preserve">
</t>
    </r>
    <r>
      <rPr>
        <sz val="11"/>
        <color rgb="FF000000"/>
        <rFont val="Calibri"/>
      </rPr>
      <t xml:space="preserve">                       protocolHeader="x-forwarded-proto" /&gt;</t>
    </r>
  </si>
  <si>
    <r>
      <rPr>
        <sz val="11"/>
        <color rgb="FF000000"/>
        <rFont val="Calibri"/>
      </rPr>
      <t>tc Server HORIZON logging capability is critical for accurate forensic analysis. Without sufficient and accurate information, a correct replay of the events cannot be determined.</t>
    </r>
    <r>
      <rPr>
        <sz val="11"/>
        <color rgb="FF000000"/>
        <rFont val="Calibri"/>
      </rPr>
      <t xml:space="preserve">
</t>
    </r>
    <r>
      <rPr>
        <sz val="11"/>
        <color rgb="FF000000"/>
        <rFont val="Calibri"/>
      </rPr>
      <t>Ascertaining the correct source, e.g. source IP, of the events is important during forensic analysis. Correctly determining the source of events will add information to the overall reconstruction of the logable event. By determining the source of the event correctly, analysis of the enterprise can be undertaken to determine if events tied to the source occurred in other areas within the enterprise.</t>
    </r>
    <r>
      <rPr>
        <sz val="11"/>
        <color rgb="FF000000"/>
        <rFont val="Calibri"/>
      </rPr>
      <t xml:space="preserve">
</t>
    </r>
    <r>
      <rPr>
        <sz val="11"/>
        <color rgb="FF000000"/>
        <rFont val="Calibri"/>
      </rPr>
      <t>tc Server HORIZON must be configured with the “RemoteIpValve” element in order to record the Client source vice the load balancer or proxy server as the source of every logable event. The “RemoteIpValve” enables the “x-forward-* HTTP” properties, which are used by the load balance to provide the client source.</t>
    </r>
  </si>
  <si>
    <r>
      <rPr>
        <sz val="11"/>
        <color rgb="FF000000"/>
        <rFont val="Calibri"/>
      </rPr>
      <t>At the command prompt, execute the following command:</t>
    </r>
    <r>
      <rPr>
        <sz val="11"/>
        <color rgb="FF000000"/>
        <rFont val="Calibri"/>
      </rPr>
      <t xml:space="preserve">
</t>
    </r>
    <r>
      <rPr>
        <sz val="11"/>
        <color rgb="FF000000"/>
        <rFont val="Calibri"/>
      </rPr>
      <t>grep -v 127.0 /storage/log/vcops/log/product-ui/localhost_access_log.YYYY-MM-dd.txt</t>
    </r>
    <r>
      <rPr>
        <sz val="11"/>
        <color rgb="FF000000"/>
        <rFont val="Calibri"/>
      </rPr>
      <t xml:space="preserve">
</t>
    </r>
    <r>
      <rPr>
        <sz val="11"/>
        <color rgb="FF000000"/>
        <rFont val="Calibri"/>
      </rPr>
      <t>Note: Substitute the actual date in the file name.</t>
    </r>
    <r>
      <rPr>
        <sz val="11"/>
        <color rgb="FF000000"/>
        <rFont val="Calibri"/>
      </rPr>
      <t xml:space="preserve">
</t>
    </r>
    <r>
      <rPr>
        <sz val="11"/>
        <color rgb="FF000000"/>
        <rFont val="Calibri"/>
      </rPr>
      <t>If actual client IP information, not load balancer or proxy server, is not being recorded, this is a finding.</t>
    </r>
  </si>
  <si>
    <t>V-88859</t>
  </si>
  <si>
    <r>
      <rPr>
        <sz val="11"/>
        <rFont val="Calibri"/>
      </rPr>
      <t>tc Server CaSa must be configured with the RemoteIpValve in order to produce log records containing the client IP information as the source and destination and not the load balancer or proxy IP information with each event.</t>
    </r>
  </si>
  <si>
    <r>
      <rPr>
        <sz val="11"/>
        <color rgb="FF000000"/>
        <rFont val="Calibri"/>
      </rPr>
      <t>Navigate to and open /usr/lib/vmware-casa/casa-webapp/conf/server.xml.</t>
    </r>
    <r>
      <rPr>
        <sz val="11"/>
        <color rgb="FF000000"/>
        <rFont val="Calibri"/>
      </rPr>
      <t xml:space="preserve">
</t>
    </r>
    <r>
      <rPr>
        <sz val="11"/>
        <color rgb="FF000000"/>
        <rFont val="Calibri"/>
      </rPr>
      <t>Navigate to and locate &lt;Host&gt;.</t>
    </r>
    <r>
      <rPr>
        <sz val="11"/>
        <color rgb="FF000000"/>
        <rFont val="Calibri"/>
      </rPr>
      <t xml:space="preserve">
</t>
    </r>
    <r>
      <rPr>
        <sz val="11"/>
        <color rgb="FF000000"/>
        <rFont val="Calibri"/>
      </rPr>
      <t>Configure the &lt;Host&gt; node with the &lt;RemoteIpValve&gt; below.</t>
    </r>
    <r>
      <rPr>
        <sz val="11"/>
        <color rgb="FF000000"/>
        <rFont val="Calibri"/>
      </rPr>
      <t xml:space="preserve">
</t>
    </r>
    <r>
      <rPr>
        <sz val="11"/>
        <color rgb="FF000000"/>
        <rFont val="Calibri"/>
      </rPr>
      <t xml:space="preserve">Note : The “RemoteIpValve” should be configured as follows: </t>
    </r>
    <r>
      <rPr>
        <sz val="11"/>
        <color rgb="FF000000"/>
        <rFont val="Calibri"/>
      </rPr>
      <t xml:space="preserve">
</t>
    </r>
    <r>
      <rPr>
        <sz val="11"/>
        <color rgb="FF000000"/>
        <rFont val="Calibri"/>
      </rPr>
      <t xml:space="preserve">                &lt;Valve className="org.apache.catalina.valves.RemoteIpValve"</t>
    </r>
    <r>
      <rPr>
        <sz val="11"/>
        <color rgb="FF000000"/>
        <rFont val="Calibri"/>
      </rPr>
      <t xml:space="preserve">
</t>
    </r>
    <r>
      <rPr>
        <sz val="11"/>
        <color rgb="FF000000"/>
        <rFont val="Calibri"/>
      </rPr>
      <t xml:space="preserve">                       remoteIpHeader="x-forwarded-for"</t>
    </r>
    <r>
      <rPr>
        <sz val="11"/>
        <color rgb="FF000000"/>
        <rFont val="Calibri"/>
      </rPr>
      <t xml:space="preserve">
</t>
    </r>
    <r>
      <rPr>
        <sz val="11"/>
        <color rgb="FF000000"/>
        <rFont val="Calibri"/>
      </rPr>
      <t xml:space="preserve">                       remoteIpProxiesHeader="x-forwarded-by"</t>
    </r>
    <r>
      <rPr>
        <sz val="11"/>
        <color rgb="FF000000"/>
        <rFont val="Calibri"/>
      </rPr>
      <t xml:space="preserve">
</t>
    </r>
    <r>
      <rPr>
        <sz val="11"/>
        <color rgb="FF000000"/>
        <rFont val="Calibri"/>
      </rPr>
      <t xml:space="preserve">                       internalProxies=".*"</t>
    </r>
    <r>
      <rPr>
        <sz val="11"/>
        <color rgb="FF000000"/>
        <rFont val="Calibri"/>
      </rPr>
      <t xml:space="preserve">
</t>
    </r>
    <r>
      <rPr>
        <sz val="11"/>
        <color rgb="FF000000"/>
        <rFont val="Calibri"/>
      </rPr>
      <t xml:space="preserve">                       protocolHeader="x-forwarded-proto" /&gt;</t>
    </r>
  </si>
  <si>
    <r>
      <rPr>
        <sz val="11"/>
        <color rgb="FF000000"/>
        <rFont val="Calibri"/>
      </rPr>
      <t xml:space="preserve">tc Server HORIZON logging capability is critical for accurate forensic analysis. Without sufficient and accurate information, a correct replay of the events cannot be determined. </t>
    </r>
    <r>
      <rPr>
        <sz val="11"/>
        <color rgb="FF000000"/>
        <rFont val="Calibri"/>
      </rPr>
      <t xml:space="preserve">
</t>
    </r>
    <r>
      <rPr>
        <sz val="11"/>
        <color rgb="FF000000"/>
        <rFont val="Calibri"/>
      </rPr>
      <t>Ascertaining the correct source, e.g. source IP, of the events is important during forensic analysis. Correctly determining the source of events will add information to the overall reconstruction of the logable event. By determining the source of the event correctly, analysis of the enterprise can be undertaken to determine if events tied to the source occurred in other areas within the enterprise.</t>
    </r>
    <r>
      <rPr>
        <sz val="11"/>
        <color rgb="FF000000"/>
        <rFont val="Calibri"/>
      </rPr>
      <t xml:space="preserve">
</t>
    </r>
    <r>
      <rPr>
        <sz val="11"/>
        <color rgb="FF000000"/>
        <rFont val="Calibri"/>
      </rPr>
      <t>tc Server HORIZON must be configured with the “RemoteIpValve” element in order to record the Client source vice the load balancer or proxy server as the source of every logable event. The “RemoteIpValve” enables the “x-forward-* HTTP” properties, which are used by the load balance to provide the client source.</t>
    </r>
  </si>
  <si>
    <r>
      <rPr>
        <sz val="11"/>
        <color rgb="FF000000"/>
        <rFont val="Calibri"/>
      </rPr>
      <t>At the command prompt, execute the following command:</t>
    </r>
    <r>
      <rPr>
        <sz val="11"/>
        <color rgb="FF000000"/>
        <rFont val="Calibri"/>
      </rPr>
      <t xml:space="preserve">
</t>
    </r>
    <r>
      <rPr>
        <sz val="11"/>
        <color rgb="FF000000"/>
        <rFont val="Calibri"/>
      </rPr>
      <t>grep -v 127.0 /storage/log/vcops/log/casa/localhost_access_log.YYYY-MM-dd.txt</t>
    </r>
    <r>
      <rPr>
        <sz val="11"/>
        <color rgb="FF000000"/>
        <rFont val="Calibri"/>
      </rPr>
      <t xml:space="preserve">
</t>
    </r>
    <r>
      <rPr>
        <sz val="11"/>
        <color rgb="FF000000"/>
        <rFont val="Calibri"/>
      </rPr>
      <t>Note: Substitute the actual date in the file name.</t>
    </r>
    <r>
      <rPr>
        <sz val="11"/>
        <color rgb="FF000000"/>
        <rFont val="Calibri"/>
      </rPr>
      <t xml:space="preserve">
</t>
    </r>
    <r>
      <rPr>
        <sz val="11"/>
        <color rgb="FF000000"/>
        <rFont val="Calibri"/>
      </rPr>
      <t>If actual client IP information, not load balancer or proxy server, is not being recorded, this is a finding.</t>
    </r>
  </si>
  <si>
    <t>V-88861</t>
  </si>
  <si>
    <r>
      <rPr>
        <sz val="11"/>
        <rFont val="Calibri"/>
      </rPr>
      <t>tc Server API must be configured with the RemoteIpValve in order to produce log records containing the client IP information as the source and destination and not the load balancer or proxy IP information with each event.</t>
    </r>
  </si>
  <si>
    <r>
      <rPr>
        <sz val="11"/>
        <color rgb="FF000000"/>
        <rFont val="Calibri"/>
      </rPr>
      <t>Navigate to and open /usr/lib/vmware-vcops/tomcat-enterprise/conf/server.xml.</t>
    </r>
    <r>
      <rPr>
        <sz val="11"/>
        <color rgb="FF000000"/>
        <rFont val="Calibri"/>
      </rPr>
      <t xml:space="preserve">
</t>
    </r>
    <r>
      <rPr>
        <sz val="11"/>
        <color rgb="FF000000"/>
        <rFont val="Calibri"/>
      </rPr>
      <t>Navigate to and locate &lt;Host&gt;.</t>
    </r>
    <r>
      <rPr>
        <sz val="11"/>
        <color rgb="FF000000"/>
        <rFont val="Calibri"/>
      </rPr>
      <t xml:space="preserve">
</t>
    </r>
    <r>
      <rPr>
        <sz val="11"/>
        <color rgb="FF000000"/>
        <rFont val="Calibri"/>
      </rPr>
      <t>Configure the &lt;Host&gt; node with the &lt;RemoteIpValve&gt; below.</t>
    </r>
    <r>
      <rPr>
        <sz val="11"/>
        <color rgb="FF000000"/>
        <rFont val="Calibri"/>
      </rPr>
      <t xml:space="preserve">
</t>
    </r>
    <r>
      <rPr>
        <sz val="11"/>
        <color rgb="FF000000"/>
        <rFont val="Calibri"/>
      </rPr>
      <t xml:space="preserve">Note : The “RemoteIpValve” should be configured as follows: </t>
    </r>
    <r>
      <rPr>
        <sz val="11"/>
        <color rgb="FF000000"/>
        <rFont val="Calibri"/>
      </rPr>
      <t xml:space="preserve">
</t>
    </r>
    <r>
      <rPr>
        <sz val="11"/>
        <color rgb="FF000000"/>
        <rFont val="Calibri"/>
      </rPr>
      <t xml:space="preserve">                &lt;Valve className="org.apache.catalina.valves.RemoteIpValve"</t>
    </r>
    <r>
      <rPr>
        <sz val="11"/>
        <color rgb="FF000000"/>
        <rFont val="Calibri"/>
      </rPr>
      <t xml:space="preserve">
</t>
    </r>
    <r>
      <rPr>
        <sz val="11"/>
        <color rgb="FF000000"/>
        <rFont val="Calibri"/>
      </rPr>
      <t xml:space="preserve">                       remoteIpHeader="x-forwarded-for"</t>
    </r>
    <r>
      <rPr>
        <sz val="11"/>
        <color rgb="FF000000"/>
        <rFont val="Calibri"/>
      </rPr>
      <t xml:space="preserve">
</t>
    </r>
    <r>
      <rPr>
        <sz val="11"/>
        <color rgb="FF000000"/>
        <rFont val="Calibri"/>
      </rPr>
      <t xml:space="preserve">                       remoteIpProxiesHeader="x-forwarded-by"</t>
    </r>
    <r>
      <rPr>
        <sz val="11"/>
        <color rgb="FF000000"/>
        <rFont val="Calibri"/>
      </rPr>
      <t xml:space="preserve">
</t>
    </r>
    <r>
      <rPr>
        <sz val="11"/>
        <color rgb="FF000000"/>
        <rFont val="Calibri"/>
      </rPr>
      <t xml:space="preserve">                       internalProxies=".*"</t>
    </r>
    <r>
      <rPr>
        <sz val="11"/>
        <color rgb="FF000000"/>
        <rFont val="Calibri"/>
      </rPr>
      <t xml:space="preserve">
</t>
    </r>
    <r>
      <rPr>
        <sz val="11"/>
        <color rgb="FF000000"/>
        <rFont val="Calibri"/>
      </rPr>
      <t xml:space="preserve">                       protocolHeader="x-forwarded-proto" /&gt;</t>
    </r>
  </si>
  <si>
    <r>
      <rPr>
        <sz val="11"/>
        <color rgb="FF000000"/>
        <rFont val="Calibri"/>
      </rPr>
      <t>At the command prompt, execute the following command:</t>
    </r>
    <r>
      <rPr>
        <sz val="11"/>
        <color rgb="FF000000"/>
        <rFont val="Calibri"/>
      </rPr>
      <t xml:space="preserve">
</t>
    </r>
    <r>
      <rPr>
        <sz val="11"/>
        <color rgb="FF000000"/>
        <rFont val="Calibri"/>
      </rPr>
      <t>grep -v 127.0 /storage/log/vcops/log/suite-api/localhost_access_log.YYYY-MM-dd.txt</t>
    </r>
    <r>
      <rPr>
        <sz val="11"/>
        <color rgb="FF000000"/>
        <rFont val="Calibri"/>
      </rPr>
      <t xml:space="preserve">
</t>
    </r>
    <r>
      <rPr>
        <sz val="11"/>
        <color rgb="FF000000"/>
        <rFont val="Calibri"/>
      </rPr>
      <t>Note: Substitute the actual date in the file name.</t>
    </r>
    <r>
      <rPr>
        <sz val="11"/>
        <color rgb="FF000000"/>
        <rFont val="Calibri"/>
      </rPr>
      <t xml:space="preserve">
</t>
    </r>
    <r>
      <rPr>
        <sz val="11"/>
        <color rgb="FF000000"/>
        <rFont val="Calibri"/>
      </rPr>
      <t>If actual client IP information, not load balancer or proxy server, is not being recorded, this is a finding.</t>
    </r>
  </si>
  <si>
    <t>V-88863</t>
  </si>
  <si>
    <r>
      <rPr>
        <sz val="11"/>
        <rFont val="Calibri"/>
      </rPr>
      <t>tc Server UI must produce log records that contain sufficient information to establish the outcome (success or failure) of events.</t>
    </r>
  </si>
  <si>
    <r>
      <rPr>
        <sz val="11"/>
        <color rgb="FF000000"/>
        <rFont val="Calibri"/>
      </rPr>
      <t>After a security incident has occurred, investigators will often review log files to determine what happened. tc Server HORIZON must create a log entry when a user accesses the system and the system authenticates users.</t>
    </r>
    <r>
      <rPr>
        <sz val="11"/>
        <color rgb="FF000000"/>
        <rFont val="Calibri"/>
      </rPr>
      <t xml:space="preserve">
</t>
    </r>
    <r>
      <rPr>
        <sz val="11"/>
        <color rgb="FF000000"/>
        <rFont val="Calibri"/>
      </rPr>
      <t>The logs must contain information about user sessions to include what type of event occurred, when (date and time) events occurred, where within the server the events occurred, the client source of the events, the outcome (success or failure) of the event, the identity of the user/subject/process associated with the event.</t>
    </r>
    <r>
      <rPr>
        <sz val="11"/>
        <color rgb="FF000000"/>
        <rFont val="Calibri"/>
      </rPr>
      <t xml:space="preserve">
</t>
    </r>
    <r>
      <rPr>
        <sz val="11"/>
        <color rgb="FF000000"/>
        <rFont val="Calibri"/>
      </rPr>
      <t>Like all web servers, tc Server generates HTTP status codes. The status code is a three-digit indicator of the outcome of the server's response to the request.</t>
    </r>
  </si>
  <si>
    <r>
      <rPr>
        <sz val="11"/>
        <color rgb="FF000000"/>
        <rFont val="Calibri"/>
      </rPr>
      <t>At the command prompt, execute the following command:</t>
    </r>
    <r>
      <rPr>
        <sz val="11"/>
        <color rgb="FF000000"/>
        <rFont val="Calibri"/>
      </rPr>
      <t xml:space="preserve">
</t>
    </r>
    <r>
      <rPr>
        <sz val="11"/>
        <color rgb="FF000000"/>
        <rFont val="Calibri"/>
      </rPr>
      <t>tail /storage/log/vcops/log/product-ui/localhost_access_log.YYYY-MM-dd.txt</t>
    </r>
    <r>
      <rPr>
        <sz val="11"/>
        <color rgb="FF000000"/>
        <rFont val="Calibri"/>
      </rPr>
      <t xml:space="preserve">
</t>
    </r>
    <r>
      <rPr>
        <sz val="11"/>
        <color rgb="FF000000"/>
        <rFont val="Calibri"/>
      </rPr>
      <t>Note: Substitute the actual date in the file name.</t>
    </r>
    <r>
      <rPr>
        <sz val="11"/>
        <color rgb="FF000000"/>
        <rFont val="Calibri"/>
      </rPr>
      <t xml:space="preserve">
</t>
    </r>
    <r>
      <rPr>
        <sz val="11"/>
        <color rgb="FF000000"/>
        <rFont val="Calibri"/>
      </rPr>
      <t>If the HTTP status codes are not being recorded, this is a finding.</t>
    </r>
    <r>
      <rPr>
        <sz val="11"/>
        <color rgb="FF000000"/>
        <rFont val="Calibri"/>
      </rPr>
      <t xml:space="preserve">
</t>
    </r>
    <r>
      <rPr>
        <sz val="11"/>
        <color rgb="FF000000"/>
        <rFont val="Calibri"/>
      </rPr>
      <t>Note: HTTP status codes are 3-digit codes, which are recorded immediately after "HTTP/1.1"</t>
    </r>
  </si>
  <si>
    <t>V-88865</t>
  </si>
  <si>
    <r>
      <rPr>
        <sz val="11"/>
        <rFont val="Calibri"/>
      </rPr>
      <t>tc Server CaSa must produce log records that contain sufficient information to establish the outcome (success or failure) of events.</t>
    </r>
  </si>
  <si>
    <r>
      <rPr>
        <sz val="11"/>
        <color rgb="FF000000"/>
        <rFont val="Calibri"/>
      </rPr>
      <t>At the command prompt, execute the following command:</t>
    </r>
    <r>
      <rPr>
        <sz val="11"/>
        <color rgb="FF000000"/>
        <rFont val="Calibri"/>
      </rPr>
      <t xml:space="preserve">
</t>
    </r>
    <r>
      <rPr>
        <sz val="11"/>
        <color rgb="FF000000"/>
        <rFont val="Calibri"/>
      </rPr>
      <t>tail /storage/log/vcops/log/casa/localhost_access_log.YYYY-MM-dd.txt</t>
    </r>
    <r>
      <rPr>
        <sz val="11"/>
        <color rgb="FF000000"/>
        <rFont val="Calibri"/>
      </rPr>
      <t xml:space="preserve">
</t>
    </r>
    <r>
      <rPr>
        <sz val="11"/>
        <color rgb="FF000000"/>
        <rFont val="Calibri"/>
      </rPr>
      <t>Note: Substitute the actual date in the file name.</t>
    </r>
    <r>
      <rPr>
        <sz val="11"/>
        <color rgb="FF000000"/>
        <rFont val="Calibri"/>
      </rPr>
      <t xml:space="preserve">
</t>
    </r>
    <r>
      <rPr>
        <sz val="11"/>
        <color rgb="FF000000"/>
        <rFont val="Calibri"/>
      </rPr>
      <t>If the HTTP status codes are not being recorded, this is a finding.</t>
    </r>
    <r>
      <rPr>
        <sz val="11"/>
        <color rgb="FF000000"/>
        <rFont val="Calibri"/>
      </rPr>
      <t xml:space="preserve">
</t>
    </r>
    <r>
      <rPr>
        <sz val="11"/>
        <color rgb="FF000000"/>
        <rFont val="Calibri"/>
      </rPr>
      <t>Note: HTTP status codes are 3-digit codes, which are recorded immediately after "HTTP/1.1"</t>
    </r>
  </si>
  <si>
    <t>V-88867</t>
  </si>
  <si>
    <r>
      <rPr>
        <sz val="11"/>
        <rFont val="Calibri"/>
      </rPr>
      <t>tc Server API must produce log records that contain sufficient information to establish the outcome (success or failure) of events.</t>
    </r>
  </si>
  <si>
    <r>
      <rPr>
        <sz val="11"/>
        <color rgb="FF000000"/>
        <rFont val="Calibri"/>
      </rPr>
      <t>At the command prompt, execute the following command:</t>
    </r>
    <r>
      <rPr>
        <sz val="11"/>
        <color rgb="FF000000"/>
        <rFont val="Calibri"/>
      </rPr>
      <t xml:space="preserve">
</t>
    </r>
    <r>
      <rPr>
        <sz val="11"/>
        <color rgb="FF000000"/>
        <rFont val="Calibri"/>
      </rPr>
      <t>tail /storage/log/vcops/log/suite-api/localhost_access_log.YYYY-MM-dd.txt</t>
    </r>
    <r>
      <rPr>
        <sz val="11"/>
        <color rgb="FF000000"/>
        <rFont val="Calibri"/>
      </rPr>
      <t xml:space="preserve">
</t>
    </r>
    <r>
      <rPr>
        <sz val="11"/>
        <color rgb="FF000000"/>
        <rFont val="Calibri"/>
      </rPr>
      <t>Note: Substitute the actual date in the file name.</t>
    </r>
    <r>
      <rPr>
        <sz val="11"/>
        <color rgb="FF000000"/>
        <rFont val="Calibri"/>
      </rPr>
      <t xml:space="preserve">
</t>
    </r>
    <r>
      <rPr>
        <sz val="11"/>
        <color rgb="FF000000"/>
        <rFont val="Calibri"/>
      </rPr>
      <t>If the HTTP status codes are not being recorded, this is a finding.</t>
    </r>
    <r>
      <rPr>
        <sz val="11"/>
        <color rgb="FF000000"/>
        <rFont val="Calibri"/>
      </rPr>
      <t xml:space="preserve">
</t>
    </r>
    <r>
      <rPr>
        <sz val="11"/>
        <color rgb="FF000000"/>
        <rFont val="Calibri"/>
      </rPr>
      <t>Note: HTTP status codes are three-digit codes, which are recorded immediately after "HTTP/1.1"</t>
    </r>
  </si>
  <si>
    <t>V-88869</t>
  </si>
  <si>
    <r>
      <rPr>
        <sz val="11"/>
        <rFont val="Calibri"/>
      </rPr>
      <t>tc Server UI must produce log records containing sufficient information to establish the identity of any user/subject or process associated with an event.</t>
    </r>
  </si>
  <si>
    <r>
      <rPr>
        <sz val="11"/>
        <color rgb="FF000000"/>
        <rFont val="Calibri"/>
      </rPr>
      <t>After a security incident has occurred, investigators will often review log files to determine what happened. tc Server HORIZON must create a log entry when a user accesses the system and the system authenticates users.</t>
    </r>
    <r>
      <rPr>
        <sz val="11"/>
        <color rgb="FF000000"/>
        <rFont val="Calibri"/>
      </rPr>
      <t xml:space="preserve">
</t>
    </r>
    <r>
      <rPr>
        <sz val="11"/>
        <color rgb="FF000000"/>
        <rFont val="Calibri"/>
      </rPr>
      <t>The logs must contain information about user sessions to include what type of event occurred, when (date and time) events occurred, where within the server the events occurred, the client source of the events, the outcome (success or failure) of the event, the identity of the user/subject/process associated with the event.</t>
    </r>
    <r>
      <rPr>
        <sz val="11"/>
        <color rgb="FF000000"/>
        <rFont val="Calibri"/>
      </rPr>
      <t xml:space="preserve">
</t>
    </r>
    <r>
      <rPr>
        <sz val="11"/>
        <color rgb="FF000000"/>
        <rFont val="Calibri"/>
      </rPr>
      <t>As a Tomcat derivative, tc Server can be configured with an “AccessLogValve”. A Valve element represents a component that can be inserted into the request processing pipeline.  The pattern attribute of the “AccessLogValve” controls which data gets logged. The “%u” parameter will record the remote user that was authenticated.  Knowing the authenticated user could be crucial to know in an investigation.</t>
    </r>
  </si>
  <si>
    <r>
      <rPr>
        <sz val="11"/>
        <color rgb="FF000000"/>
        <rFont val="Calibri"/>
      </rPr>
      <t>At the command prompt, execute the following command:</t>
    </r>
    <r>
      <rPr>
        <sz val="11"/>
        <color rgb="FF000000"/>
        <rFont val="Calibri"/>
      </rPr>
      <t xml:space="preserve">
</t>
    </r>
    <r>
      <rPr>
        <sz val="11"/>
        <color rgb="FF000000"/>
        <rFont val="Calibri"/>
      </rPr>
      <t>tail /storage/log/vcops/log/product-ui/localhost_access_log.YYYY-MM-dd.txt</t>
    </r>
    <r>
      <rPr>
        <sz val="11"/>
        <color rgb="FF000000"/>
        <rFont val="Calibri"/>
      </rPr>
      <t xml:space="preserve">
</t>
    </r>
    <r>
      <rPr>
        <sz val="11"/>
        <color rgb="FF000000"/>
        <rFont val="Calibri"/>
      </rPr>
      <t>Note: Substitute the actual date in the file name.</t>
    </r>
    <r>
      <rPr>
        <sz val="11"/>
        <color rgb="FF000000"/>
        <rFont val="Calibri"/>
      </rPr>
      <t xml:space="preserve">
</t>
    </r>
    <r>
      <rPr>
        <sz val="11"/>
        <color rgb="FF000000"/>
        <rFont val="Calibri"/>
      </rPr>
      <t>If the identity of the user is not being recorded, this is a finding.</t>
    </r>
  </si>
  <si>
    <t>V-88871</t>
  </si>
  <si>
    <r>
      <rPr>
        <sz val="11"/>
        <rFont val="Calibri"/>
      </rPr>
      <t>tc Server CaSa must produce log records containing sufficient information to establish the identity of any user/subject or process associated with an event.</t>
    </r>
  </si>
  <si>
    <r>
      <rPr>
        <sz val="11"/>
        <color rgb="FF000000"/>
        <rFont val="Calibri"/>
      </rPr>
      <t>At the command prompt, execute the following command:</t>
    </r>
    <r>
      <rPr>
        <sz val="11"/>
        <color rgb="FF000000"/>
        <rFont val="Calibri"/>
      </rPr>
      <t xml:space="preserve">
</t>
    </r>
    <r>
      <rPr>
        <sz val="11"/>
        <color rgb="FF000000"/>
        <rFont val="Calibri"/>
      </rPr>
      <t>tail /storage/log/vcops/log/casa/localhost_access_log.YYYY-MM-dd.txt</t>
    </r>
    <r>
      <rPr>
        <sz val="11"/>
        <color rgb="FF000000"/>
        <rFont val="Calibri"/>
      </rPr>
      <t xml:space="preserve">
</t>
    </r>
    <r>
      <rPr>
        <sz val="11"/>
        <color rgb="FF000000"/>
        <rFont val="Calibri"/>
      </rPr>
      <t>Note: Substitute the actual date in the file name.</t>
    </r>
    <r>
      <rPr>
        <sz val="11"/>
        <color rgb="FF000000"/>
        <rFont val="Calibri"/>
      </rPr>
      <t xml:space="preserve">
</t>
    </r>
    <r>
      <rPr>
        <sz val="11"/>
        <color rgb="FF000000"/>
        <rFont val="Calibri"/>
      </rPr>
      <t>If the identity of the user is not being recorded, this is a finding.</t>
    </r>
  </si>
  <si>
    <t>V-88873</t>
  </si>
  <si>
    <r>
      <rPr>
        <sz val="11"/>
        <rFont val="Calibri"/>
      </rPr>
      <t>tc Server API must produce log records containing sufficient information to establish the identity of any user/subject or process associated with an event.</t>
    </r>
  </si>
  <si>
    <r>
      <rPr>
        <sz val="11"/>
        <color rgb="FF000000"/>
        <rFont val="Calibri"/>
      </rPr>
      <t>At the command prompt, execute the following command:</t>
    </r>
    <r>
      <rPr>
        <sz val="11"/>
        <color rgb="FF000000"/>
        <rFont val="Calibri"/>
      </rPr>
      <t xml:space="preserve">
</t>
    </r>
    <r>
      <rPr>
        <sz val="11"/>
        <color rgb="FF000000"/>
        <rFont val="Calibri"/>
      </rPr>
      <t>tail /storage/log/vcops/log/suite-api/localhost_access_log.YYYY-MM-dd.txt</t>
    </r>
    <r>
      <rPr>
        <sz val="11"/>
        <color rgb="FF000000"/>
        <rFont val="Calibri"/>
      </rPr>
      <t xml:space="preserve">
</t>
    </r>
    <r>
      <rPr>
        <sz val="11"/>
        <color rgb="FF000000"/>
        <rFont val="Calibri"/>
      </rPr>
      <t>Note: Substitute the actual date in the file name.</t>
    </r>
    <r>
      <rPr>
        <sz val="11"/>
        <color rgb="FF000000"/>
        <rFont val="Calibri"/>
      </rPr>
      <t xml:space="preserve">
</t>
    </r>
    <r>
      <rPr>
        <sz val="11"/>
        <color rgb="FF000000"/>
        <rFont val="Calibri"/>
      </rPr>
      <t>If the identity of the user is not being recorded, this is a finding.</t>
    </r>
  </si>
  <si>
    <t>V-88875</t>
  </si>
  <si>
    <r>
      <rPr>
        <sz val="11"/>
        <rFont val="Calibri"/>
      </rPr>
      <t>tc Server ALL must use a logging mechanism that is configured to alert the ISSO and SA in the event of a processing failure.</t>
    </r>
  </si>
  <si>
    <r>
      <rPr>
        <sz val="11"/>
        <color rgb="FF000000"/>
        <rFont val="Calibri"/>
      </rPr>
      <t>Configure the web server to provide an alert to the ISSO and SA when log processing failures occur.</t>
    </r>
    <r>
      <rPr>
        <sz val="11"/>
        <color rgb="FF000000"/>
        <rFont val="Calibri"/>
      </rPr>
      <t xml:space="preserve">
</t>
    </r>
    <r>
      <rPr>
        <sz val="11"/>
        <color rgb="FF000000"/>
        <rFont val="Calibri"/>
      </rPr>
      <t>If the web server cannot generate alerts, utilize an external logging system that meets this criterion.</t>
    </r>
  </si>
  <si>
    <r>
      <rPr>
        <sz val="11"/>
        <color rgb="FF000000"/>
        <rFont val="Calibri"/>
      </rPr>
      <t>Reviewing log data allows an investigator to recreate the path of an attacker and to capture forensic data for later use. Log data is also essential to system administrators in their daily administrative duties on the hosted system or within the hosted applications.</t>
    </r>
    <r>
      <rPr>
        <sz val="11"/>
        <color rgb="FF000000"/>
        <rFont val="Calibri"/>
      </rPr>
      <t xml:space="preserve">
</t>
    </r>
    <r>
      <rPr>
        <sz val="11"/>
        <color rgb="FF000000"/>
        <rFont val="Calibri"/>
      </rPr>
      <t>If the logging system begins to fail, events will not be recorded. Organizations must define logging failure events, at which time the application or the logging mechanism the application utilizes will provide a warning to the ISSO and SA at a minimum.</t>
    </r>
  </si>
  <si>
    <r>
      <rPr>
        <sz val="11"/>
        <color rgb="FF000000"/>
        <rFont val="Calibri"/>
      </rPr>
      <t>Obtain supporting documentation from the ISSO.</t>
    </r>
    <r>
      <rPr>
        <sz val="11"/>
        <color rgb="FF000000"/>
        <rFont val="Calibri"/>
      </rPr>
      <t xml:space="preserve">
</t>
    </r>
    <r>
      <rPr>
        <sz val="11"/>
        <color rgb="FF000000"/>
        <rFont val="Calibri"/>
      </rPr>
      <t>Determine if log data and records are configured to alert the ISSO and SA in the event of processing failure.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log data and records are not configured to alert the ISSO and SA in the event of processing failure, this is a finding.</t>
    </r>
  </si>
  <si>
    <t>V-88877</t>
  </si>
  <si>
    <r>
      <rPr>
        <sz val="11"/>
        <rFont val="Calibri"/>
      </rPr>
      <t>tc Server UI log files must only be accessible by privileged users.</t>
    </r>
  </si>
  <si>
    <r>
      <rPr>
        <sz val="11"/>
        <color rgb="FF000000"/>
        <rFont val="Calibri"/>
      </rPr>
      <t>At the command prompt, execute the following commands:</t>
    </r>
    <r>
      <rPr>
        <sz val="11"/>
        <color rgb="FF000000"/>
        <rFont val="Calibri"/>
      </rPr>
      <t xml:space="preserve">
</t>
    </r>
    <r>
      <rPr>
        <sz val="11"/>
        <color rgb="FF000000"/>
        <rFont val="Calibri"/>
      </rPr>
      <t>sed -i "/^[^#]*UMASK/ c\UMASK 027" /etc/login.defs</t>
    </r>
    <r>
      <rPr>
        <sz val="11"/>
        <color rgb="FF000000"/>
        <rFont val="Calibri"/>
      </rPr>
      <t xml:space="preserve">
</t>
    </r>
    <r>
      <rPr>
        <sz val="11"/>
        <color rgb="FF000000"/>
        <rFont val="Calibri"/>
      </rPr>
      <t>find /storage/log/vcops/log/product-ui/ -type f -exec chmod o=--- {} \;</t>
    </r>
  </si>
  <si>
    <r>
      <rPr>
        <sz val="11"/>
        <color rgb="FF000000"/>
        <rFont val="Calibri"/>
      </rPr>
      <t>Log data is essential in the investigation of events. If log data were to become compromised, then competent forensic analysis and discovery of the true source of potentially malicious system activity would be difficult, if not impossible, to achieve. In addition, access to log records provides information an attacker could potentially use to their advantage since each event record might contain communication ports, protocols, services, trust relationships, user names, etc.</t>
    </r>
    <r>
      <rPr>
        <sz val="11"/>
        <color rgb="FF000000"/>
        <rFont val="Calibri"/>
      </rPr>
      <t xml:space="preserve">
</t>
    </r>
    <r>
      <rPr>
        <sz val="11"/>
        <color rgb="FF000000"/>
        <rFont val="Calibri"/>
      </rPr>
      <t>The web server must protect the log data from unauthorized read, write, copy, etc. This can be done by the web server if the web server is also doing the logging function. The web server may also use an external log system. In either case, the logs must be protected from access by non-privileged users.</t>
    </r>
  </si>
  <si>
    <r>
      <rPr>
        <sz val="11"/>
        <color rgb="FF000000"/>
        <rFont val="Calibri"/>
      </rPr>
      <t>At the command prompt, execute the following command:</t>
    </r>
    <r>
      <rPr>
        <sz val="11"/>
        <color rgb="FF000000"/>
        <rFont val="Calibri"/>
      </rPr>
      <t xml:space="preserve">
</t>
    </r>
    <r>
      <rPr>
        <sz val="11"/>
        <color rgb="FF000000"/>
        <rFont val="Calibri"/>
      </rPr>
      <t>stat -c "%a %n" /storage/log/vcops/log/product-ui/* | awk '$1 !~ /^640/ &amp;&amp; $2 ~ /(\.txt)|(\.log)/ {print}'</t>
    </r>
    <r>
      <rPr>
        <sz val="11"/>
        <color rgb="FF000000"/>
        <rFont val="Calibri"/>
      </rPr>
      <t xml:space="preserve">
</t>
    </r>
    <r>
      <rPr>
        <sz val="11"/>
        <color rgb="FF000000"/>
        <rFont val="Calibri"/>
      </rPr>
      <t>If the command produces any output, this is a finding.</t>
    </r>
  </si>
  <si>
    <t>V-88879</t>
  </si>
  <si>
    <r>
      <rPr>
        <sz val="11"/>
        <rFont val="Calibri"/>
      </rPr>
      <t>tc Server CaSa log files must only be accessible by privileged users.</t>
    </r>
  </si>
  <si>
    <r>
      <rPr>
        <sz val="11"/>
        <color rgb="FF000000"/>
        <rFont val="Calibri"/>
      </rPr>
      <t>At the command prompt, execute the following commands:</t>
    </r>
    <r>
      <rPr>
        <sz val="11"/>
        <color rgb="FF000000"/>
        <rFont val="Calibri"/>
      </rPr>
      <t xml:space="preserve">
</t>
    </r>
    <r>
      <rPr>
        <sz val="11"/>
        <color rgb="FF000000"/>
        <rFont val="Calibri"/>
      </rPr>
      <t>sed -i "/^[^#]*UMASK/ c\UMASK 027" /etc/login.defs</t>
    </r>
    <r>
      <rPr>
        <sz val="11"/>
        <color rgb="FF000000"/>
        <rFont val="Calibri"/>
      </rPr>
      <t xml:space="preserve">
</t>
    </r>
    <r>
      <rPr>
        <sz val="11"/>
        <color rgb="FF000000"/>
        <rFont val="Calibri"/>
      </rPr>
      <t>find /storage/log/vcops/log/casa/ -type f -exec chmod o=--- {} \;</t>
    </r>
  </si>
  <si>
    <r>
      <rPr>
        <sz val="11"/>
        <color rgb="FF000000"/>
        <rFont val="Calibri"/>
      </rPr>
      <t>At the command prompt, execute the following command:</t>
    </r>
    <r>
      <rPr>
        <sz val="11"/>
        <color rgb="FF000000"/>
        <rFont val="Calibri"/>
      </rPr>
      <t xml:space="preserve">
</t>
    </r>
    <r>
      <rPr>
        <sz val="11"/>
        <color rgb="FF000000"/>
        <rFont val="Calibri"/>
      </rPr>
      <t>stat -c "%a %n" /storage/log/vcops/log/casa/* | awk '$1 !~ /^640/ &amp;&amp; $2 ~ /(\.txt)|(\.log)/ {print}'</t>
    </r>
    <r>
      <rPr>
        <sz val="11"/>
        <color rgb="FF000000"/>
        <rFont val="Calibri"/>
      </rPr>
      <t xml:space="preserve">
</t>
    </r>
    <r>
      <rPr>
        <sz val="11"/>
        <color rgb="FF000000"/>
        <rFont val="Calibri"/>
      </rPr>
      <t>If the command produces any output, this is a finding.</t>
    </r>
  </si>
  <si>
    <t>V-88881</t>
  </si>
  <si>
    <r>
      <rPr>
        <sz val="11"/>
        <rFont val="Calibri"/>
      </rPr>
      <t>tc Server API log files must only be accessible by privileged users.</t>
    </r>
  </si>
  <si>
    <r>
      <rPr>
        <sz val="11"/>
        <color rgb="FF000000"/>
        <rFont val="Calibri"/>
      </rPr>
      <t>At the command prompt, execute the following commands:</t>
    </r>
    <r>
      <rPr>
        <sz val="11"/>
        <color rgb="FF000000"/>
        <rFont val="Calibri"/>
      </rPr>
      <t xml:space="preserve">
</t>
    </r>
    <r>
      <rPr>
        <sz val="11"/>
        <color rgb="FF000000"/>
        <rFont val="Calibri"/>
      </rPr>
      <t>sed -i "/^[^#]*UMASK/ c\UMASK 027" /etc/login.defs</t>
    </r>
    <r>
      <rPr>
        <sz val="11"/>
        <color rgb="FF000000"/>
        <rFont val="Calibri"/>
      </rPr>
      <t xml:space="preserve">
</t>
    </r>
    <r>
      <rPr>
        <sz val="11"/>
        <color rgb="FF000000"/>
        <rFont val="Calibri"/>
      </rPr>
      <t>find /storage/log/vcops/log/suite-api/ -type f -exec chmod o=--- {} \;</t>
    </r>
  </si>
  <si>
    <r>
      <rPr>
        <sz val="11"/>
        <color rgb="FF000000"/>
        <rFont val="Calibri"/>
      </rPr>
      <t>At the command prompt, execute the following command:</t>
    </r>
    <r>
      <rPr>
        <sz val="11"/>
        <color rgb="FF000000"/>
        <rFont val="Calibri"/>
      </rPr>
      <t xml:space="preserve">
</t>
    </r>
    <r>
      <rPr>
        <sz val="11"/>
        <color rgb="FF000000"/>
        <rFont val="Calibri"/>
      </rPr>
      <t>stat -c "%a %n" /storage/log/vcops/log/suite-api/* | awk '$1 !~ /^640/ &amp;&amp; $2 ~ /(\.txt)|(\.log)/ {print}'</t>
    </r>
    <r>
      <rPr>
        <sz val="11"/>
        <color rgb="FF000000"/>
        <rFont val="Calibri"/>
      </rPr>
      <t xml:space="preserve">
</t>
    </r>
    <r>
      <rPr>
        <sz val="11"/>
        <color rgb="FF000000"/>
        <rFont val="Calibri"/>
      </rPr>
      <t>If the command produces any output, this is a finding.</t>
    </r>
  </si>
  <si>
    <t>V-88883</t>
  </si>
  <si>
    <r>
      <rPr>
        <sz val="11"/>
        <rFont val="Calibri"/>
      </rPr>
      <t>tc Server UI log files must be protected from unauthorized modification.</t>
    </r>
  </si>
  <si>
    <r>
      <rPr>
        <sz val="11"/>
        <color rgb="FF000000"/>
        <rFont val="Calibri"/>
      </rPr>
      <t>At the command prompt, execute the following command:</t>
    </r>
    <r>
      <rPr>
        <sz val="11"/>
        <color rgb="FF000000"/>
        <rFont val="Calibri"/>
      </rPr>
      <t xml:space="preserve">
</t>
    </r>
    <r>
      <rPr>
        <sz val="11"/>
        <color rgb="FF000000"/>
        <rFont val="Calibri"/>
      </rPr>
      <t>chown admin:admin &lt;file&gt;</t>
    </r>
    <r>
      <rPr>
        <sz val="11"/>
        <color rgb="FF000000"/>
        <rFont val="Calibri"/>
      </rPr>
      <t xml:space="preserve">
</t>
    </r>
    <r>
      <rPr>
        <sz val="11"/>
        <color rgb="FF000000"/>
        <rFont val="Calibri"/>
      </rPr>
      <t>Note: Replace &lt;file&gt; with any listed files.</t>
    </r>
  </si>
  <si>
    <r>
      <rPr>
        <sz val="11"/>
        <color rgb="FF000000"/>
        <rFont val="Calibri"/>
      </rPr>
      <t>Log data is essential in the investigation of events. The accuracy of the information is always pertinent. Information that is not accurate does not help in the revealing of potential security risks and may hinder the early discovery of a system compromise. One of the first steps an attacker will undertake is the modification or deletion of log records to cover his tracks and prolong discovery.</t>
    </r>
    <r>
      <rPr>
        <sz val="11"/>
        <color rgb="FF000000"/>
        <rFont val="Calibri"/>
      </rPr>
      <t xml:space="preserve">
</t>
    </r>
    <r>
      <rPr>
        <sz val="11"/>
        <color rgb="FF000000"/>
        <rFont val="Calibri"/>
      </rPr>
      <t>The web server must protect the log data from unauthorized modification. This can be done by the web server if the web server is also doing the logging function. The web server may also use an external log system. In either case, the logs must be protected from modification by non-privileged users.</t>
    </r>
  </si>
  <si>
    <r>
      <rPr>
        <sz val="11"/>
        <color rgb="FF000000"/>
        <rFont val="Calibri"/>
      </rPr>
      <t>Find any files that are not owned by admin or not group owned by admin, execute the following command:</t>
    </r>
    <r>
      <rPr>
        <sz val="11"/>
        <color rgb="FF000000"/>
        <rFont val="Calibri"/>
      </rPr>
      <t xml:space="preserve">
</t>
    </r>
    <r>
      <rPr>
        <sz val="11"/>
        <color rgb="FF000000"/>
        <rFont val="Calibri"/>
      </rPr>
      <t>ls -lR /storage/log/vcops/log/product-ui/* | grep -vE 'pid$'  | awk '$3 !~ /^admin/ {print}'</t>
    </r>
    <r>
      <rPr>
        <sz val="11"/>
        <color rgb="FF000000"/>
        <rFont val="Calibri"/>
      </rPr>
      <t xml:space="preserve">
</t>
    </r>
    <r>
      <rPr>
        <sz val="11"/>
        <color rgb="FF000000"/>
        <rFont val="Calibri"/>
      </rPr>
      <t>If the command produces any output, this is a finding.</t>
    </r>
  </si>
  <si>
    <t>V-88885</t>
  </si>
  <si>
    <r>
      <rPr>
        <sz val="11"/>
        <rFont val="Calibri"/>
      </rPr>
      <t>tc Server CaSa log files must be protected from unauthorized modification.</t>
    </r>
  </si>
  <si>
    <r>
      <rPr>
        <sz val="11"/>
        <color rgb="FF000000"/>
        <rFont val="Calibri"/>
      </rPr>
      <t>At the command prompt, execute the following command:</t>
    </r>
    <r>
      <rPr>
        <sz val="11"/>
        <color rgb="FF000000"/>
        <rFont val="Calibri"/>
      </rPr>
      <t xml:space="preserve">
</t>
    </r>
    <r>
      <rPr>
        <sz val="11"/>
        <color rgb="FF000000"/>
        <rFont val="Calibri"/>
      </rPr>
      <t>ls -lR /storage/log/vcops/log/casa/* | grep -vE '(pid$)|ntp'  | awk '$3 !~ /^admin/ {print}'</t>
    </r>
    <r>
      <rPr>
        <sz val="11"/>
        <color rgb="FF000000"/>
        <rFont val="Calibri"/>
      </rPr>
      <t xml:space="preserve">
</t>
    </r>
    <r>
      <rPr>
        <sz val="11"/>
        <color rgb="FF000000"/>
        <rFont val="Calibri"/>
      </rPr>
      <t>If the command produces any output, this is a finding.</t>
    </r>
  </si>
  <si>
    <t>V-88887</t>
  </si>
  <si>
    <r>
      <rPr>
        <sz val="11"/>
        <rFont val="Calibri"/>
      </rPr>
      <t>tc Server API log files must be protected from unauthorized modification.</t>
    </r>
  </si>
  <si>
    <r>
      <rPr>
        <sz val="11"/>
        <color rgb="FF000000"/>
        <rFont val="Calibri"/>
      </rPr>
      <t>Find any files that are not owned by admin or not group owned by admin, execute the following command:</t>
    </r>
    <r>
      <rPr>
        <sz val="11"/>
        <color rgb="FF000000"/>
        <rFont val="Calibri"/>
      </rPr>
      <t xml:space="preserve">
</t>
    </r>
    <r>
      <rPr>
        <sz val="11"/>
        <color rgb="FF000000"/>
        <rFont val="Calibri"/>
      </rPr>
      <t>ls -lR /storage/log/vcops/log/suite-api/* | grep -vE 'pid$'  | awk '$3 !~ /^admin/ {print}'</t>
    </r>
    <r>
      <rPr>
        <sz val="11"/>
        <color rgb="FF000000"/>
        <rFont val="Calibri"/>
      </rPr>
      <t xml:space="preserve">
</t>
    </r>
    <r>
      <rPr>
        <sz val="11"/>
        <color rgb="FF000000"/>
        <rFont val="Calibri"/>
      </rPr>
      <t>If the command produces any output, this is a finding.</t>
    </r>
  </si>
  <si>
    <t>V-88889</t>
  </si>
  <si>
    <r>
      <rPr>
        <sz val="11"/>
        <rFont val="Calibri"/>
      </rPr>
      <t>tc Server UI log files must be protected from unauthorized deletion.</t>
    </r>
  </si>
  <si>
    <r>
      <rPr>
        <sz val="11"/>
        <color rgb="FF000000"/>
        <rFont val="Calibri"/>
      </rPr>
      <t>Log data is essential in the investigation of events. The accuracy of the information is always pertinent. Information that is not accurate does not help in the revealing of potential security risks and may hinder the early discovery of a system compromise. One of the first steps an attacker will undertake is the modification or deletion of audit records to cover his tracks and prolong discovery.</t>
    </r>
    <r>
      <rPr>
        <sz val="11"/>
        <color rgb="FF000000"/>
        <rFont val="Calibri"/>
      </rPr>
      <t xml:space="preserve">
</t>
    </r>
    <r>
      <rPr>
        <sz val="11"/>
        <color rgb="FF000000"/>
        <rFont val="Calibri"/>
      </rPr>
      <t>The web server must protect the log data from unauthorized deletion. This can be done by the web server if the web server is also doing the logging function. The web server may also use an external log system. In either case, the logs must be protected from deletion by non-privileged users.</t>
    </r>
  </si>
  <si>
    <r>
      <rPr>
        <sz val="11"/>
        <color rgb="FF000000"/>
        <rFont val="Calibri"/>
      </rPr>
      <t>At the command prompt, execute the following command:</t>
    </r>
    <r>
      <rPr>
        <sz val="11"/>
        <color rgb="FF000000"/>
        <rFont val="Calibri"/>
      </rPr>
      <t xml:space="preserve">
</t>
    </r>
    <r>
      <rPr>
        <sz val="11"/>
        <color rgb="FF000000"/>
        <rFont val="Calibri"/>
      </rPr>
      <t>ls -lR /storage/log/vcops/log/product-ui/* | grep -vE 'pid$'  | awk '$3 !~ /^admin/ {print}'</t>
    </r>
    <r>
      <rPr>
        <sz val="11"/>
        <color rgb="FF000000"/>
        <rFont val="Calibri"/>
      </rPr>
      <t xml:space="preserve">
</t>
    </r>
    <r>
      <rPr>
        <sz val="11"/>
        <color rgb="FF000000"/>
        <rFont val="Calibri"/>
      </rPr>
      <t>If the command produces any output, this is a finding.</t>
    </r>
  </si>
  <si>
    <t>V-88891</t>
  </si>
  <si>
    <r>
      <rPr>
        <sz val="11"/>
        <rFont val="Calibri"/>
      </rPr>
      <t>tc Server CaSa log files must be protected from unauthorized deletion.</t>
    </r>
  </si>
  <si>
    <t>V-88893</t>
  </si>
  <si>
    <r>
      <rPr>
        <sz val="11"/>
        <rFont val="Calibri"/>
      </rPr>
      <t>tc Server API log files must be protected from unauthorized deletion.</t>
    </r>
  </si>
  <si>
    <r>
      <rPr>
        <sz val="11"/>
        <color rgb="FF000000"/>
        <rFont val="Calibri"/>
      </rPr>
      <t>At the command prompt, execute the following command:</t>
    </r>
    <r>
      <rPr>
        <sz val="11"/>
        <color rgb="FF000000"/>
        <rFont val="Calibri"/>
      </rPr>
      <t xml:space="preserve">
</t>
    </r>
    <r>
      <rPr>
        <sz val="11"/>
        <color rgb="FF000000"/>
        <rFont val="Calibri"/>
      </rPr>
      <t>ls -lR /storage/log/vcops/log/suite-api/* | grep -vE 'pid$'  | awk '$3 !~ /^admin/ {print}'</t>
    </r>
    <r>
      <rPr>
        <sz val="11"/>
        <color rgb="FF000000"/>
        <rFont val="Calibri"/>
      </rPr>
      <t xml:space="preserve">
</t>
    </r>
    <r>
      <rPr>
        <sz val="11"/>
        <color rgb="FF000000"/>
        <rFont val="Calibri"/>
      </rPr>
      <t>If the command produces any output, this is a finding.</t>
    </r>
  </si>
  <si>
    <t>V-88895</t>
  </si>
  <si>
    <r>
      <rPr>
        <sz val="11"/>
        <rFont val="Calibri"/>
      </rPr>
      <t>tc Server ALL log data and records must be backed up onto a different system or media.</t>
    </r>
  </si>
  <si>
    <r>
      <rPr>
        <sz val="11"/>
        <color rgb="FF000000"/>
        <rFont val="Calibri"/>
      </rPr>
      <t>Ensure log data and records are being backed up to a different system or separate media.</t>
    </r>
  </si>
  <si>
    <r>
      <rPr>
        <sz val="11"/>
        <color rgb="FF000000"/>
        <rFont val="Calibri"/>
      </rPr>
      <t>Protection of tc Server ALL log data includes assuring log data is not accidentally lost or deleted. Backing up tc Server ALL log records to an unrelated system or onto separate media than the system the web server is actually running on helps to assure that, in the event of a catastrophic system failure, the log records will be retained.</t>
    </r>
  </si>
  <si>
    <r>
      <rPr>
        <sz val="11"/>
        <color rgb="FF000000"/>
        <rFont val="Calibri"/>
      </rPr>
      <t>Obtain supporting documentation from the ISSO.</t>
    </r>
    <r>
      <rPr>
        <sz val="11"/>
        <color rgb="FF000000"/>
        <rFont val="Calibri"/>
      </rPr>
      <t xml:space="preserve">
</t>
    </r>
    <r>
      <rPr>
        <sz val="11"/>
        <color rgb="FF000000"/>
        <rFont val="Calibri"/>
      </rPr>
      <t>Determine if log data and records are not being backed up onto a different system or media.</t>
    </r>
    <r>
      <rPr>
        <sz val="11"/>
        <color rgb="FF000000"/>
        <rFont val="Calibri"/>
      </rPr>
      <t xml:space="preserve">
</t>
    </r>
    <r>
      <rPr>
        <sz val="11"/>
        <color rgb="FF000000"/>
        <rFont val="Calibri"/>
      </rPr>
      <t>If log data and records are not being backed up onto a different system or media, this is a finding.</t>
    </r>
  </si>
  <si>
    <t>V-88897</t>
  </si>
  <si>
    <r>
      <rPr>
        <sz val="11"/>
        <rFont val="Calibri"/>
      </rPr>
      <t>tc Server ALL server files must be verified for their integrity (e.g., checksums and hashes) before becoming part of the production web server.</t>
    </r>
  </si>
  <si>
    <r>
      <rPr>
        <sz val="11"/>
        <color rgb="FF000000"/>
        <rFont val="Calibri"/>
      </rPr>
      <t>Configure the web server to verify object integrity before becoming part of the production web server or utilize an external tool designed to meet this requirement.</t>
    </r>
  </si>
  <si>
    <r>
      <rPr>
        <sz val="11"/>
        <color rgb="FF000000"/>
        <rFont val="Calibri"/>
      </rPr>
      <t>Being able to verify that a patch, upgrade, certificate, etc., being added to the web server is unchanged from the producer of the file is essential for file validation and non-repudiation of the information.</t>
    </r>
    <r>
      <rPr>
        <sz val="11"/>
        <color rgb="FF000000"/>
        <rFont val="Calibri"/>
      </rPr>
      <t xml:space="preserve">
</t>
    </r>
    <r>
      <rPr>
        <sz val="11"/>
        <color rgb="FF000000"/>
        <rFont val="Calibri"/>
      </rPr>
      <t>VMware delivers product updates and patches regularly. It is crucial that system administrators coordinate installation of product updates with the site ISSO to ensure that only valid files are uploaded onto the system.</t>
    </r>
  </si>
  <si>
    <r>
      <rPr>
        <sz val="11"/>
        <color rgb="FF000000"/>
        <rFont val="Calibri"/>
      </rPr>
      <t>Obtain supporting documentation from the ISSO.</t>
    </r>
    <r>
      <rPr>
        <sz val="11"/>
        <color rgb="FF000000"/>
        <rFont val="Calibri"/>
      </rPr>
      <t xml:space="preserve">
</t>
    </r>
    <r>
      <rPr>
        <sz val="11"/>
        <color rgb="FF000000"/>
        <rFont val="Calibri"/>
      </rPr>
      <t>Determine whether web server files are being fully reviewed, tested, and signed before being implemented into the production environment.</t>
    </r>
    <r>
      <rPr>
        <sz val="11"/>
        <color rgb="FF000000"/>
        <rFont val="Calibri"/>
      </rPr>
      <t xml:space="preserve">
</t>
    </r>
    <r>
      <rPr>
        <sz val="11"/>
        <color rgb="FF000000"/>
        <rFont val="Calibri"/>
      </rPr>
      <t>If the web server files are not being fully reviewed, tested, and signed before being implemented into the production environment, this is a finding.</t>
    </r>
  </si>
  <si>
    <t>V-88899</t>
  </si>
  <si>
    <r>
      <rPr>
        <sz val="11"/>
        <rFont val="Calibri"/>
      </rPr>
      <t>tc Server ALL expansion modules must be fully reviewed, tested, and signed before they can exist on a production web server.</t>
    </r>
  </si>
  <si>
    <r>
      <rPr>
        <sz val="11"/>
        <color rgb="FF000000"/>
        <rFont val="Calibri"/>
      </rPr>
      <t>Configure the web server to enforce, internally or through an external utility, the review, testing and signing of modules before implementation into the production environment.</t>
    </r>
  </si>
  <si>
    <r>
      <rPr>
        <sz val="11"/>
        <color rgb="FF000000"/>
        <rFont val="Calibri"/>
      </rPr>
      <t>In the case of a production web server, areas for content development and testing will not exist, as this type of content is only permissible on a development website. The process of developing on a functional production website entails a degree of trial and error and repeated testing.  This process is often accomplished in an environment where debugging, sequencing, and formatting of content are the main goals. The opportunity for a malicious user to obtain files that reveal business logic and login schemes is high in this situation. The existence of such immature content on a web server represents a significant security risk that is totally avoidable.</t>
    </r>
    <r>
      <rPr>
        <sz val="11"/>
        <color rgb="FF000000"/>
        <rFont val="Calibri"/>
      </rPr>
      <t xml:space="preserve">
</t>
    </r>
    <r>
      <rPr>
        <sz val="11"/>
        <color rgb="FF000000"/>
        <rFont val="Calibri"/>
      </rPr>
      <t>VMware delivers product updates and patches regularly. It is crucial that system administrators coordinate installation of product updates with the site ISSO to ensure that only valid files are uploaded onto the system.</t>
    </r>
  </si>
  <si>
    <r>
      <rPr>
        <sz val="11"/>
        <color rgb="FF000000"/>
        <rFont val="Calibri"/>
      </rPr>
      <t>Obtain supporting documentation from the ISSO.</t>
    </r>
    <r>
      <rPr>
        <sz val="11"/>
        <color rgb="FF000000"/>
        <rFont val="Calibri"/>
      </rPr>
      <t xml:space="preserve">
</t>
    </r>
    <r>
      <rPr>
        <sz val="11"/>
        <color rgb="FF000000"/>
        <rFont val="Calibri"/>
      </rPr>
      <t>Determine whether expansion modules are being fully reviewed, tested, and signed before being implemented into the production environment.</t>
    </r>
    <r>
      <rPr>
        <sz val="11"/>
        <color rgb="FF000000"/>
        <rFont val="Calibri"/>
      </rPr>
      <t xml:space="preserve">
</t>
    </r>
    <r>
      <rPr>
        <sz val="11"/>
        <color rgb="FF000000"/>
        <rFont val="Calibri"/>
      </rPr>
      <t>If the expansion modules are not being fully reviewed, tested, and signed before being implemented into the production environment, this is a finding.</t>
    </r>
  </si>
  <si>
    <t>V-88901</t>
  </si>
  <si>
    <r>
      <rPr>
        <sz val="11"/>
        <rFont val="Calibri"/>
      </rPr>
      <t>tc Server UI must not use the tomcat-users XML database for user management.</t>
    </r>
  </si>
  <si>
    <r>
      <rPr>
        <sz val="11"/>
        <color rgb="FF000000"/>
        <rFont val="Calibri"/>
      </rPr>
      <t>Contact the ISSO and/or SA. Determine why user data is being stored in the “tomcat-users.xml” file. The vROps appliance does not maintain user data in this file by default.</t>
    </r>
  </si>
  <si>
    <r>
      <rPr>
        <sz val="11"/>
        <color rgb="FF000000"/>
        <rFont val="Calibri"/>
      </rPr>
      <t>User management and authentication can be an essential part of any application hosted by the web server. Along with authenticating users, the user management function must perform several other tasks like password complexity, locking users after a configurable number of failed logins, and management of temporary and emergency accounts; and all of this must be done enterprise-wide.</t>
    </r>
    <r>
      <rPr>
        <sz val="11"/>
        <color rgb="FF000000"/>
        <rFont val="Calibri"/>
      </rPr>
      <t xml:space="preserve">
</t>
    </r>
    <r>
      <rPr>
        <sz val="11"/>
        <color rgb="FF000000"/>
        <rFont val="Calibri"/>
      </rPr>
      <t>For historical reasons, tc Server contains a tomcat-users.xml file in the configuration directory. This file was originally used by standalone applications that did not authenticate against an LDAP or other enterprise mechanism. vROps does not use this file.</t>
    </r>
  </si>
  <si>
    <r>
      <rPr>
        <sz val="11"/>
        <color rgb="FF000000"/>
        <rFont val="Calibri"/>
      </rPr>
      <t>At the command prompt, execute the following command:</t>
    </r>
    <r>
      <rPr>
        <sz val="11"/>
        <color rgb="FF000000"/>
        <rFont val="Calibri"/>
      </rPr>
      <t xml:space="preserve">
</t>
    </r>
    <r>
      <rPr>
        <sz val="11"/>
        <color rgb="FF000000"/>
        <rFont val="Calibri"/>
      </rPr>
      <t>cat /usr/lib/vmware-vcops/tomcat-web-app/conf/tomcat-users.xml</t>
    </r>
    <r>
      <rPr>
        <sz val="11"/>
        <color rgb="FF000000"/>
        <rFont val="Calibri"/>
      </rPr>
      <t xml:space="preserve">
</t>
    </r>
    <r>
      <rPr>
        <sz val="11"/>
        <color rgb="FF000000"/>
        <rFont val="Calibri"/>
      </rPr>
      <t>If “tomcat-users.xml” file contains any user information, this is a finding.</t>
    </r>
  </si>
  <si>
    <t>V-88903</t>
  </si>
  <si>
    <r>
      <rPr>
        <sz val="11"/>
        <rFont val="Calibri"/>
      </rPr>
      <t>tc Server CaSa must not use the tomcat-users XML database for user management.</t>
    </r>
  </si>
  <si>
    <r>
      <rPr>
        <sz val="11"/>
        <color rgb="FF000000"/>
        <rFont val="Calibri"/>
      </rPr>
      <t>User management and authentication can be an essential part of any application hosted by the web server. Along with authenticating users, the user management function must perform several other tasks like password complexity, locking users after a configurable number of failed logins, and management of temporary and emergency accounts; and all of this must be done enterprise-wide.</t>
    </r>
    <r>
      <rPr>
        <sz val="11"/>
        <color rgb="FF000000"/>
        <rFont val="Calibri"/>
      </rPr>
      <t xml:space="preserve">
</t>
    </r>
    <r>
      <rPr>
        <sz val="11"/>
        <color rgb="FF000000"/>
        <rFont val="Calibri"/>
      </rPr>
      <t>For historical reasons, tc Server contains a “tomcat-users.xml” file in the configuration directory. This file was originally used by standalone applications that did not authenticate against an LDAP or other enterprise mechanism. vROps does not use this file.</t>
    </r>
  </si>
  <si>
    <r>
      <rPr>
        <sz val="11"/>
        <color rgb="FF000000"/>
        <rFont val="Calibri"/>
      </rPr>
      <t>At the command prompt, execute the following command:</t>
    </r>
    <r>
      <rPr>
        <sz val="11"/>
        <color rgb="FF000000"/>
        <rFont val="Calibri"/>
      </rPr>
      <t xml:space="preserve">
</t>
    </r>
    <r>
      <rPr>
        <sz val="11"/>
        <color rgb="FF000000"/>
        <rFont val="Calibri"/>
      </rPr>
      <t>cat /usr/lib/vmware-casa/casa-webapp/conf/tomcat-users.xml</t>
    </r>
    <r>
      <rPr>
        <sz val="11"/>
        <color rgb="FF000000"/>
        <rFont val="Calibri"/>
      </rPr>
      <t xml:space="preserve">
</t>
    </r>
    <r>
      <rPr>
        <sz val="11"/>
        <color rgb="FF000000"/>
        <rFont val="Calibri"/>
      </rPr>
      <t>If “tomcat-users.xml” file contains any user information, this is a finding.</t>
    </r>
  </si>
  <si>
    <t>V-88905</t>
  </si>
  <si>
    <r>
      <rPr>
        <sz val="11"/>
        <rFont val="Calibri"/>
      </rPr>
      <t>tc Server API must not use the tomcat-users XML database for user management.</t>
    </r>
  </si>
  <si>
    <r>
      <rPr>
        <sz val="11"/>
        <color rgb="FF000000"/>
        <rFont val="Calibri"/>
      </rPr>
      <t>At the command prompt, execute the following command:</t>
    </r>
    <r>
      <rPr>
        <sz val="11"/>
        <color rgb="FF000000"/>
        <rFont val="Calibri"/>
      </rPr>
      <t xml:space="preserve">
</t>
    </r>
    <r>
      <rPr>
        <sz val="11"/>
        <color rgb="FF000000"/>
        <rFont val="Calibri"/>
      </rPr>
      <t>cat /usr/lib/vmware-vcops/tomcat-enterprise/conf/tomcat-users.xml</t>
    </r>
    <r>
      <rPr>
        <sz val="11"/>
        <color rgb="FF000000"/>
        <rFont val="Calibri"/>
      </rPr>
      <t xml:space="preserve">
</t>
    </r>
    <r>
      <rPr>
        <sz val="11"/>
        <color rgb="FF000000"/>
        <rFont val="Calibri"/>
      </rPr>
      <t>If “tomcat-users.xml” file contains any user information, this is a finding.</t>
    </r>
  </si>
  <si>
    <t>V-88907</t>
  </si>
  <si>
    <r>
      <rPr>
        <sz val="11"/>
        <rFont val="Calibri"/>
      </rPr>
      <t>tc Server ALL must only contain services and functions necessary for operation.</t>
    </r>
  </si>
  <si>
    <r>
      <rPr>
        <sz val="11"/>
        <color rgb="FF000000"/>
        <rFont val="Calibri"/>
      </rPr>
      <t>Uninstall or deactivate features, services, and processes not needed by the web server for operation.</t>
    </r>
  </si>
  <si>
    <r>
      <rPr>
        <sz val="11"/>
        <color rgb="FF000000"/>
        <rFont val="Calibri"/>
      </rPr>
      <t>A web server can provide many features, services, and processes. Some of these may be deemed unnecessary or too unsecure to run on a production DoD system.</t>
    </r>
    <r>
      <rPr>
        <sz val="11"/>
        <color rgb="FF000000"/>
        <rFont val="Calibri"/>
      </rPr>
      <t xml:space="preserve">
</t>
    </r>
    <r>
      <rPr>
        <sz val="11"/>
        <color rgb="FF000000"/>
        <rFont val="Calibri"/>
      </rPr>
      <t>The web server must provide the capability to disable, uninstall, or deactivate functionality and services that are deemed to be non-essential to the web server mission or can adversely impact server performance.</t>
    </r>
  </si>
  <si>
    <r>
      <rPr>
        <sz val="11"/>
        <color rgb="FF000000"/>
        <rFont val="Calibri"/>
      </rPr>
      <t>Obtain supporting documentation from the ISSO.</t>
    </r>
    <r>
      <rPr>
        <sz val="11"/>
        <color rgb="FF000000"/>
        <rFont val="Calibri"/>
      </rPr>
      <t xml:space="preserve">
</t>
    </r>
    <r>
      <rPr>
        <sz val="11"/>
        <color rgb="FF000000"/>
        <rFont val="Calibri"/>
      </rPr>
      <t>Review the web server documentation and deployed configuration to determine if web server features, services, and processes are installed that are not needed for hosted application deployment.</t>
    </r>
    <r>
      <rPr>
        <sz val="11"/>
        <color rgb="FF000000"/>
        <rFont val="Calibri"/>
      </rPr>
      <t xml:space="preserve">
</t>
    </r>
    <r>
      <rPr>
        <sz val="11"/>
        <color rgb="FF000000"/>
        <rFont val="Calibri"/>
      </rPr>
      <t>If excessive features, services, and processes are installed, this is a finding.</t>
    </r>
  </si>
  <si>
    <t>V-88909</t>
  </si>
  <si>
    <r>
      <rPr>
        <sz val="11"/>
        <rFont val="Calibri"/>
      </rPr>
      <t>tc Server ALL must exclude documentation, sample code, example applications, and tutorials.</t>
    </r>
  </si>
  <si>
    <r>
      <rPr>
        <sz val="11"/>
        <color rgb="FF000000"/>
        <rFont val="Calibri"/>
      </rPr>
      <t>Document the removal of all documentation, sample code, example applications, and tutorials and ensure the web server configuration does not contain any documentation, sample code, example applications, and tutorials.</t>
    </r>
  </si>
  <si>
    <r>
      <rPr>
        <sz val="11"/>
        <color rgb="FF000000"/>
        <rFont val="Calibri"/>
      </rPr>
      <t>Web server documentation, sample code, example applications, and tutorials may be an exploitable threat to a web server because this type of code has not been evaluated and approved. A production web server must only contain components that are operationally necessary (e.g., compiled code, scripts, web-content, etc.).</t>
    </r>
    <r>
      <rPr>
        <sz val="11"/>
        <color rgb="FF000000"/>
        <rFont val="Calibri"/>
      </rPr>
      <t xml:space="preserve">
</t>
    </r>
    <r>
      <rPr>
        <sz val="11"/>
        <color rgb="FF000000"/>
        <rFont val="Calibri"/>
      </rPr>
      <t>Any documentation, sample code, example applications, and tutorials must be removed from a production web server. Because tc Server is installed as part of the entire vROps application, and not installed separately, VMware has ensured that all documentation, sample code, example applications, and tutorials have been removed from tc Server as part of the build process.</t>
    </r>
  </si>
  <si>
    <r>
      <rPr>
        <sz val="11"/>
        <color rgb="FF000000"/>
        <rFont val="Calibri"/>
      </rPr>
      <t>Obtain supporting documentation from the ISSO.</t>
    </r>
    <r>
      <rPr>
        <sz val="11"/>
        <color rgb="FF000000"/>
        <rFont val="Calibri"/>
      </rPr>
      <t xml:space="preserve">
</t>
    </r>
    <r>
      <rPr>
        <sz val="11"/>
        <color rgb="FF000000"/>
        <rFont val="Calibri"/>
      </rPr>
      <t>Review the web server documentation and deployed configuration to determine if documentation, sample code, example applications, and tutorials have been removed.</t>
    </r>
    <r>
      <rPr>
        <sz val="11"/>
        <color rgb="FF000000"/>
        <rFont val="Calibri"/>
      </rPr>
      <t xml:space="preserve">
</t>
    </r>
    <r>
      <rPr>
        <sz val="11"/>
        <color rgb="FF000000"/>
        <rFont val="Calibri"/>
      </rPr>
      <t>If documentation, sample code, example applications, and tutorials have not been removed, this is a finding.</t>
    </r>
  </si>
  <si>
    <t>V-88911</t>
  </si>
  <si>
    <r>
      <rPr>
        <sz val="11"/>
        <rFont val="Calibri"/>
      </rPr>
      <t>tc Server ALL must exclude installation of utility programs, services, plug-ins, and modules not necessary for operation.</t>
    </r>
  </si>
  <si>
    <r>
      <rPr>
        <sz val="11"/>
        <color rgb="FF000000"/>
        <rFont val="Calibri"/>
      </rPr>
      <t>Document the removal of all utility programs, services, plug-ins, and modules not necessary for operation and ensure the web server configuration does not contain any utility programs, services, plug-ins, and modules not necessary for operation.</t>
    </r>
  </si>
  <si>
    <r>
      <rPr>
        <sz val="11"/>
        <color rgb="FF000000"/>
        <rFont val="Calibri"/>
      </rPr>
      <t>Just as running unneeded services and protocols is a danger to the web server at the lower levels of the OSI model, running unneeded utilities and programs is also a danger at the application layer of the OSI model. Office suites, development tools, and graphical editors are examples of such programs that are troublesome.</t>
    </r>
    <r>
      <rPr>
        <sz val="11"/>
        <color rgb="FF000000"/>
        <rFont val="Calibri"/>
      </rPr>
      <t xml:space="preserve">
</t>
    </r>
    <r>
      <rPr>
        <sz val="11"/>
        <color rgb="FF000000"/>
        <rFont val="Calibri"/>
      </rPr>
      <t>Because tc Server is installed as part of the entire vROps application, and not installed separately, VMware has ensured that no unnecessary utilities and programs have been included in tc Server.</t>
    </r>
  </si>
  <si>
    <r>
      <rPr>
        <sz val="11"/>
        <color rgb="FF000000"/>
        <rFont val="Calibri"/>
      </rPr>
      <t>Obtain supporting documentation from the ISSO.</t>
    </r>
    <r>
      <rPr>
        <sz val="11"/>
        <color rgb="FF000000"/>
        <rFont val="Calibri"/>
      </rPr>
      <t xml:space="preserve">
</t>
    </r>
    <r>
      <rPr>
        <sz val="11"/>
        <color rgb="FF000000"/>
        <rFont val="Calibri"/>
      </rPr>
      <t>Review the web server documentation and deployed configuration to determine if utility programs, services, plug-ins, and modules not necessary for operation have been removed.</t>
    </r>
    <r>
      <rPr>
        <sz val="11"/>
        <color rgb="FF000000"/>
        <rFont val="Calibri"/>
      </rPr>
      <t xml:space="preserve">
</t>
    </r>
    <r>
      <rPr>
        <sz val="11"/>
        <color rgb="FF000000"/>
        <rFont val="Calibri"/>
      </rPr>
      <t>If utility programs, services, plug-ins, and modules not necessary for operation have not been removed, this is a finding</t>
    </r>
  </si>
  <si>
    <t>V-88913</t>
  </si>
  <si>
    <r>
      <rPr>
        <sz val="11"/>
        <rFont val="Calibri"/>
      </rPr>
      <t>tc Server ALL must have Multipurpose Internet Mail Extensions (MIME) that invoke OS shell programs disabled.</t>
    </r>
  </si>
  <si>
    <r>
      <rPr>
        <sz val="11"/>
        <color rgb="FF000000"/>
        <rFont val="Calibri"/>
      </rPr>
      <t>Navigate to a file that was listed.</t>
    </r>
    <r>
      <rPr>
        <sz val="11"/>
        <color rgb="FF000000"/>
        <rFont val="Calibri"/>
      </rPr>
      <t xml:space="preserve">
</t>
    </r>
    <r>
      <rPr>
        <sz val="11"/>
        <color rgb="FF000000"/>
        <rFont val="Calibri"/>
      </rPr>
      <t>Open the file in a text editor.</t>
    </r>
    <r>
      <rPr>
        <sz val="11"/>
        <color rgb="FF000000"/>
        <rFont val="Calibri"/>
      </rPr>
      <t xml:space="preserve">
</t>
    </r>
    <r>
      <rPr>
        <sz val="11"/>
        <color rgb="FF000000"/>
        <rFont val="Calibri"/>
      </rPr>
      <t>Delete any of the following types:</t>
    </r>
    <r>
      <rPr>
        <sz val="11"/>
        <color rgb="FF000000"/>
        <rFont val="Calibri"/>
      </rPr>
      <t xml:space="preserve">
</t>
    </r>
    <r>
      <rPr>
        <sz val="11"/>
        <color rgb="FF000000"/>
        <rFont val="Calibri"/>
      </rPr>
      <t>application/x-sh</t>
    </r>
    <r>
      <rPr>
        <sz val="11"/>
        <color rgb="FF000000"/>
        <rFont val="Calibri"/>
      </rPr>
      <t xml:space="preserve">
</t>
    </r>
    <r>
      <rPr>
        <sz val="11"/>
        <color rgb="FF000000"/>
        <rFont val="Calibri"/>
      </rPr>
      <t>application/x-shar</t>
    </r>
    <r>
      <rPr>
        <sz val="11"/>
        <color rgb="FF000000"/>
        <rFont val="Calibri"/>
      </rPr>
      <t xml:space="preserve">
</t>
    </r>
    <r>
      <rPr>
        <sz val="11"/>
        <color rgb="FF000000"/>
        <rFont val="Calibri"/>
      </rPr>
      <t>application/x-csh</t>
    </r>
    <r>
      <rPr>
        <sz val="11"/>
        <color rgb="FF000000"/>
        <rFont val="Calibri"/>
      </rPr>
      <t xml:space="preserve">
</t>
    </r>
    <r>
      <rPr>
        <sz val="11"/>
        <color rgb="FF000000"/>
        <rFont val="Calibri"/>
      </rPr>
      <t>application/x-ksh</t>
    </r>
  </si>
  <si>
    <r>
      <rPr>
        <sz val="11"/>
        <color rgb="FF000000"/>
        <rFont val="Calibri"/>
      </rPr>
      <t>Controlling what a user of a hosted application can access is part of the security posture of the web server. Any time a user can access more functionality than is needed for the operation of the hosted application poses a security issue. A user with too much access can view information that is not needed for the user's job role, or the user could use the function in an unintentional manner.</t>
    </r>
    <r>
      <rPr>
        <sz val="11"/>
        <color rgb="FF000000"/>
        <rFont val="Calibri"/>
      </rPr>
      <t xml:space="preserve">
</t>
    </r>
    <r>
      <rPr>
        <sz val="11"/>
        <color rgb="FF000000"/>
        <rFont val="Calibri"/>
      </rPr>
      <t>A MIME tells the web server what type of program various file types and extensions are and what external utilities or programs are needed to execute the file type.</t>
    </r>
    <r>
      <rPr>
        <sz val="11"/>
        <color rgb="FF000000"/>
        <rFont val="Calibri"/>
      </rPr>
      <t xml:space="preserve">
</t>
    </r>
    <r>
      <rPr>
        <sz val="11"/>
        <color rgb="FF000000"/>
        <rFont val="Calibri"/>
      </rPr>
      <t>tc Server configures MIME types in the web.xml file. By ensuring that “sh”, “csh”, and “shar” MIME types are not included in web.xml, the server is protected against malicious users tricking the server into executing shell command files.</t>
    </r>
  </si>
  <si>
    <r>
      <rPr>
        <sz val="11"/>
        <color rgb="FF000000"/>
        <rFont val="Calibri"/>
      </rPr>
      <t>At the command prompt, execute the following command:</t>
    </r>
    <r>
      <rPr>
        <sz val="11"/>
        <color rgb="FF000000"/>
        <rFont val="Calibri"/>
      </rPr>
      <t xml:space="preserve">
</t>
    </r>
    <r>
      <rPr>
        <sz val="11"/>
        <color rgb="FF000000"/>
        <rFont val="Calibri"/>
      </rPr>
      <t>find / -name 'web.xml' -print0 | xargs -0r grep -HEn '(x-csh&lt;)|(x-sh&lt;)|(x-shar&lt;)|(x-ksh&lt;)'</t>
    </r>
    <r>
      <rPr>
        <sz val="11"/>
        <color rgb="FF000000"/>
        <rFont val="Calibri"/>
      </rPr>
      <t xml:space="preserve">
</t>
    </r>
    <r>
      <rPr>
        <sz val="11"/>
        <color rgb="FF000000"/>
        <rFont val="Calibri"/>
      </rPr>
      <t>If the command produces any output, this is a finding.</t>
    </r>
  </si>
  <si>
    <t>V-88915</t>
  </si>
  <si>
    <r>
      <rPr>
        <sz val="11"/>
        <rFont val="Calibri"/>
      </rPr>
      <t>tc Server ALL must have all mappings to unused and vulnerable scripts to be removed.</t>
    </r>
  </si>
  <si>
    <r>
      <rPr>
        <sz val="11"/>
        <color rgb="FF000000"/>
        <rFont val="Calibri"/>
      </rPr>
      <t>Document the removal of all script mappings that are not needed for web server and hosted application operation and ensure the web server configuration does not contain any script mappings that are not needed for web server and hosted application operation.</t>
    </r>
  </si>
  <si>
    <r>
      <rPr>
        <sz val="11"/>
        <color rgb="FF000000"/>
        <rFont val="Calibri"/>
      </rPr>
      <t>Scripts allow server side processing on behalf of the hosted application user or as processes needed in the implementation of hosted applications. Removing scripts not needed for application operation or deemed vulnerable helps to secure the web server.</t>
    </r>
    <r>
      <rPr>
        <sz val="11"/>
        <color rgb="FF000000"/>
        <rFont val="Calibri"/>
      </rPr>
      <t xml:space="preserve">
</t>
    </r>
    <r>
      <rPr>
        <sz val="11"/>
        <color rgb="FF000000"/>
        <rFont val="Calibri"/>
      </rPr>
      <t>To assure scripts are not added to the web server and run maliciously, those script mappings that are not needed or used by the web server for hosted application operation must be removed.  Because tc Server is installed as part of the entire vROps application, and not installed separately, VMware has ensured that scripts not needed for application operation or deemed vulnerable have been removed from tc Server.</t>
    </r>
  </si>
  <si>
    <r>
      <rPr>
        <sz val="11"/>
        <color rgb="FF000000"/>
        <rFont val="Calibri"/>
      </rPr>
      <t>Obtain supporting documentation from the ISSO.</t>
    </r>
    <r>
      <rPr>
        <sz val="11"/>
        <color rgb="FF000000"/>
        <rFont val="Calibri"/>
      </rPr>
      <t xml:space="preserve">
</t>
    </r>
    <r>
      <rPr>
        <sz val="11"/>
        <color rgb="FF000000"/>
        <rFont val="Calibri"/>
      </rPr>
      <t>Review the web server documentation and deployed configuration to determine if all mappings to unused and vulnerable scripts to be removed.</t>
    </r>
    <r>
      <rPr>
        <sz val="11"/>
        <color rgb="FF000000"/>
        <rFont val="Calibri"/>
      </rPr>
      <t xml:space="preserve">
</t>
    </r>
    <r>
      <rPr>
        <sz val="11"/>
        <color rgb="FF000000"/>
        <rFont val="Calibri"/>
      </rPr>
      <t>If all mappings to unused and vulnerable scripts have not been removed, this is a finding.</t>
    </r>
  </si>
  <si>
    <t>V-88917</t>
  </si>
  <si>
    <r>
      <rPr>
        <sz val="11"/>
        <rFont val="Calibri"/>
      </rPr>
      <t>tc Server UI must have mappings set for Java Servlet Pages.</t>
    </r>
  </si>
  <si>
    <r>
      <rPr>
        <sz val="11"/>
        <color rgb="FF000000"/>
        <rFont val="Calibri"/>
      </rPr>
      <t>Navigate to and open /usr/lib/vmware-vcops/tomcat-web-app/conf/web.xml.</t>
    </r>
    <r>
      <rPr>
        <sz val="11"/>
        <color rgb="FF000000"/>
        <rFont val="Calibri"/>
      </rPr>
      <t xml:space="preserve">
</t>
    </r>
    <r>
      <rPr>
        <sz val="11"/>
        <color rgb="FF000000"/>
        <rFont val="Calibri"/>
      </rPr>
      <t>Navigate to and locate the mapping for the JSP servlet. It is the &lt;servlet-mapping&gt; node that contains &lt;servlet-name&gt;jsp&lt;/servlet-name&gt;.</t>
    </r>
    <r>
      <rPr>
        <sz val="11"/>
        <color rgb="FF000000"/>
        <rFont val="Calibri"/>
      </rPr>
      <t xml:space="preserve">
</t>
    </r>
    <r>
      <rPr>
        <sz val="11"/>
        <color rgb="FF000000"/>
        <rFont val="Calibri"/>
      </rPr>
      <t>Configure the &lt;servlet-mapping&gt; node to look like the code snippet below:</t>
    </r>
    <r>
      <rPr>
        <sz val="11"/>
        <color rgb="FF000000"/>
        <rFont val="Calibri"/>
      </rPr>
      <t xml:space="preserve">
</t>
    </r>
    <r>
      <rPr>
        <sz val="11"/>
        <color rgb="FF000000"/>
        <rFont val="Calibri"/>
      </rPr>
      <t xml:space="preserve">    &lt;!-- The mappings for the JSP servlet --&gt;</t>
    </r>
    <r>
      <rPr>
        <sz val="11"/>
        <color rgb="FF000000"/>
        <rFont val="Calibri"/>
      </rPr>
      <t xml:space="preserve">
</t>
    </r>
    <r>
      <rPr>
        <sz val="11"/>
        <color rgb="FF000000"/>
        <rFont val="Calibri"/>
      </rPr>
      <t xml:space="preserve">    &lt;servlet-mapping&gt;</t>
    </r>
    <r>
      <rPr>
        <sz val="11"/>
        <color rgb="FF000000"/>
        <rFont val="Calibri"/>
      </rPr>
      <t xml:space="preserve">
</t>
    </r>
    <r>
      <rPr>
        <sz val="11"/>
        <color rgb="FF000000"/>
        <rFont val="Calibri"/>
      </rPr>
      <t xml:space="preserve">        &lt;servlet-name&gt;jsp&lt;/servlet-name&gt;</t>
    </r>
    <r>
      <rPr>
        <sz val="11"/>
        <color rgb="FF000000"/>
        <rFont val="Calibri"/>
      </rPr>
      <t xml:space="preserve">
</t>
    </r>
    <r>
      <rPr>
        <sz val="11"/>
        <color rgb="FF000000"/>
        <rFont val="Calibri"/>
      </rPr>
      <t xml:space="preserve">        &lt;url-pattern&gt;*.jsp&lt;/url-pattern&gt;</t>
    </r>
    <r>
      <rPr>
        <sz val="11"/>
        <color rgb="FF000000"/>
        <rFont val="Calibri"/>
      </rPr>
      <t xml:space="preserve">
</t>
    </r>
    <r>
      <rPr>
        <sz val="11"/>
        <color rgb="FF000000"/>
        <rFont val="Calibri"/>
      </rPr>
      <t xml:space="preserve">        &lt;url-pattern&gt;*.jspx&lt;/url-pattern&gt;</t>
    </r>
    <r>
      <rPr>
        <sz val="11"/>
        <color rgb="FF000000"/>
        <rFont val="Calibri"/>
      </rPr>
      <t xml:space="preserve">
</t>
    </r>
    <r>
      <rPr>
        <sz val="11"/>
        <color rgb="FF000000"/>
        <rFont val="Calibri"/>
      </rPr>
      <t xml:space="preserve">    &lt;/servlet-mapping&gt;</t>
    </r>
  </si>
  <si>
    <r>
      <rPr>
        <sz val="11"/>
        <color rgb="FF000000"/>
        <rFont val="Calibri"/>
      </rPr>
      <t>Resource mapping is the process of tying a particular file type to a process in the web server that can serve that type of file to a requesting client and to identify which file types are not to be delivered to a client.</t>
    </r>
    <r>
      <rPr>
        <sz val="11"/>
        <color rgb="FF000000"/>
        <rFont val="Calibri"/>
      </rPr>
      <t xml:space="preserve">
</t>
    </r>
    <r>
      <rPr>
        <sz val="11"/>
        <color rgb="FF000000"/>
        <rFont val="Calibri"/>
      </rPr>
      <t>By not specifying which files can and which files cannot be served to a user, the web server could deliver to a user web server configuration files, log files, password files, etc.</t>
    </r>
    <r>
      <rPr>
        <sz val="11"/>
        <color rgb="FF000000"/>
        <rFont val="Calibri"/>
      </rPr>
      <t xml:space="preserve">
</t>
    </r>
    <r>
      <rPr>
        <sz val="11"/>
        <color rgb="FF000000"/>
        <rFont val="Calibri"/>
      </rPr>
      <t>As a derivative of the Apache Tomcat project, tc Server is a java-based web server. As a result, the main file extension used by tc Server is “*.jsp”. This check ensures that the “*.jsp” file type has been properly mapped to servlets.</t>
    </r>
  </si>
  <si>
    <r>
      <rPr>
        <sz val="11"/>
        <color rgb="FF000000"/>
        <rFont val="Calibri"/>
      </rPr>
      <t xml:space="preserve">At the command prompt, execute the following command: </t>
    </r>
    <r>
      <rPr>
        <sz val="11"/>
        <color rgb="FF000000"/>
        <rFont val="Calibri"/>
      </rPr>
      <t xml:space="preserve">
</t>
    </r>
    <r>
      <rPr>
        <sz val="11"/>
        <color rgb="FF000000"/>
        <rFont val="Calibri"/>
      </rPr>
      <t>grep -E '&lt;url-pattern&gt;\*\.jsp&lt;/url-pattern&gt;' -B 2 -A 2 /usr/lib/vmware-vcops/tomcat-web-app/conf/web.xml</t>
    </r>
    <r>
      <rPr>
        <sz val="11"/>
        <color rgb="FF000000"/>
        <rFont val="Calibri"/>
      </rPr>
      <t xml:space="preserve">
</t>
    </r>
    <r>
      <rPr>
        <sz val="11"/>
        <color rgb="FF000000"/>
        <rFont val="Calibri"/>
      </rPr>
      <t>If the “jsp” and “jspx” file extensions have not been mapped to the JSP servlet, this is a finding.</t>
    </r>
  </si>
  <si>
    <t>V-88919</t>
  </si>
  <si>
    <r>
      <rPr>
        <sz val="11"/>
        <rFont val="Calibri"/>
      </rPr>
      <t>tc Server CaSa must have mappings set for Java Servlet Pages.</t>
    </r>
  </si>
  <si>
    <r>
      <rPr>
        <sz val="11"/>
        <color rgb="FF000000"/>
        <rFont val="Calibri"/>
      </rPr>
      <t>Navigate to and open /usr/lib/vmware-casa/casa-webapp/conf/web.xml.</t>
    </r>
    <r>
      <rPr>
        <sz val="11"/>
        <color rgb="FF000000"/>
        <rFont val="Calibri"/>
      </rPr>
      <t xml:space="preserve">
</t>
    </r>
    <r>
      <rPr>
        <sz val="11"/>
        <color rgb="FF000000"/>
        <rFont val="Calibri"/>
      </rPr>
      <t>Navigate to and locate the mapping for the JSP servlet. It is the &lt;servlet-mapping&gt; node that contains &lt;servlet-name&gt;jsp&lt;/servlet-name&gt;.</t>
    </r>
    <r>
      <rPr>
        <sz val="11"/>
        <color rgb="FF000000"/>
        <rFont val="Calibri"/>
      </rPr>
      <t xml:space="preserve">
</t>
    </r>
    <r>
      <rPr>
        <sz val="11"/>
        <color rgb="FF000000"/>
        <rFont val="Calibri"/>
      </rPr>
      <t>Configure the &lt;servlet-mapping&gt; node to look like the code snippet below:</t>
    </r>
    <r>
      <rPr>
        <sz val="11"/>
        <color rgb="FF000000"/>
        <rFont val="Calibri"/>
      </rPr>
      <t xml:space="preserve">
</t>
    </r>
    <r>
      <rPr>
        <sz val="11"/>
        <color rgb="FF000000"/>
        <rFont val="Calibri"/>
      </rPr>
      <t xml:space="preserve">    &lt;!-- The mappings for the JSP servlet --&gt;</t>
    </r>
    <r>
      <rPr>
        <sz val="11"/>
        <color rgb="FF000000"/>
        <rFont val="Calibri"/>
      </rPr>
      <t xml:space="preserve">
</t>
    </r>
    <r>
      <rPr>
        <sz val="11"/>
        <color rgb="FF000000"/>
        <rFont val="Calibri"/>
      </rPr>
      <t xml:space="preserve">    &lt;servlet-mapping&gt;</t>
    </r>
    <r>
      <rPr>
        <sz val="11"/>
        <color rgb="FF000000"/>
        <rFont val="Calibri"/>
      </rPr>
      <t xml:space="preserve">
</t>
    </r>
    <r>
      <rPr>
        <sz val="11"/>
        <color rgb="FF000000"/>
        <rFont val="Calibri"/>
      </rPr>
      <t xml:space="preserve">        &lt;servlet-name&gt;jsp&lt;/servlet-name&gt;</t>
    </r>
    <r>
      <rPr>
        <sz val="11"/>
        <color rgb="FF000000"/>
        <rFont val="Calibri"/>
      </rPr>
      <t xml:space="preserve">
</t>
    </r>
    <r>
      <rPr>
        <sz val="11"/>
        <color rgb="FF000000"/>
        <rFont val="Calibri"/>
      </rPr>
      <t xml:space="preserve">        &lt;url-pattern&gt;*.jsp&lt;/url-pattern&gt;</t>
    </r>
    <r>
      <rPr>
        <sz val="11"/>
        <color rgb="FF000000"/>
        <rFont val="Calibri"/>
      </rPr>
      <t xml:space="preserve">
</t>
    </r>
    <r>
      <rPr>
        <sz val="11"/>
        <color rgb="FF000000"/>
        <rFont val="Calibri"/>
      </rPr>
      <t xml:space="preserve">        &lt;url-pattern&gt;*.jspx&lt;/url-pattern&gt;</t>
    </r>
    <r>
      <rPr>
        <sz val="11"/>
        <color rgb="FF000000"/>
        <rFont val="Calibri"/>
      </rPr>
      <t xml:space="preserve">
</t>
    </r>
    <r>
      <rPr>
        <sz val="11"/>
        <color rgb="FF000000"/>
        <rFont val="Calibri"/>
      </rPr>
      <t xml:space="preserve">    &lt;/servlet-mapping&gt;</t>
    </r>
  </si>
  <si>
    <r>
      <rPr>
        <sz val="11"/>
        <color rgb="FF000000"/>
        <rFont val="Calibri"/>
      </rPr>
      <t>Resource mapping is the process of tying a particular file type to a process in the web server that can serve that type of file to a requesting client and to identify which file types are not to be delivered to a client.</t>
    </r>
    <r>
      <rPr>
        <sz val="11"/>
        <color rgb="FF000000"/>
        <rFont val="Calibri"/>
      </rPr>
      <t xml:space="preserve">
</t>
    </r>
    <r>
      <rPr>
        <sz val="11"/>
        <color rgb="FF000000"/>
        <rFont val="Calibri"/>
      </rPr>
      <t>By not specifying which files can and which files cannot be served to a user, the web server could deliver to a user web server configuration files, log files, password files, etc.</t>
    </r>
    <r>
      <rPr>
        <sz val="11"/>
        <color rgb="FF000000"/>
        <rFont val="Calibri"/>
      </rPr>
      <t xml:space="preserve">
</t>
    </r>
    <r>
      <rPr>
        <sz val="11"/>
        <color rgb="FF000000"/>
        <rFont val="Calibri"/>
      </rPr>
      <t>As a derivative of the Apache Tomcat project, tc Server is a java-based web server.  As a result, the main file extension used by tc Server is “*.jsp”. This check ensures that the “*.jsp” file type has been properly mapped to servlets.</t>
    </r>
  </si>
  <si>
    <r>
      <rPr>
        <sz val="11"/>
        <color rgb="FF000000"/>
        <rFont val="Calibri"/>
      </rPr>
      <t xml:space="preserve">At the command prompt, execute the following command: </t>
    </r>
    <r>
      <rPr>
        <sz val="11"/>
        <color rgb="FF000000"/>
        <rFont val="Calibri"/>
      </rPr>
      <t xml:space="preserve">
</t>
    </r>
    <r>
      <rPr>
        <sz val="11"/>
        <color rgb="FF000000"/>
        <rFont val="Calibri"/>
      </rPr>
      <t>grep -E '&lt;url-pattern&gt;\*\.jsp&lt;/url-pattern&gt;' -B 2 -A 2 /usr/lib/vmware-casa/casa-webapp/conf/web.xml</t>
    </r>
    <r>
      <rPr>
        <sz val="11"/>
        <color rgb="FF000000"/>
        <rFont val="Calibri"/>
      </rPr>
      <t xml:space="preserve">
</t>
    </r>
    <r>
      <rPr>
        <sz val="11"/>
        <color rgb="FF000000"/>
        <rFont val="Calibri"/>
      </rPr>
      <t>If the “jsp” and “jspx” file extensions have not been mapped to the JSP servlet, this is a finding.</t>
    </r>
  </si>
  <si>
    <t>V-88921</t>
  </si>
  <si>
    <r>
      <rPr>
        <sz val="11"/>
        <rFont val="Calibri"/>
      </rPr>
      <t>tc Server API must have mappings set for Java Servlet Pages.</t>
    </r>
  </si>
  <si>
    <r>
      <rPr>
        <sz val="11"/>
        <color rgb="FF000000"/>
        <rFont val="Calibri"/>
      </rPr>
      <t>Navigate to and open /usr/lib/vmware-vcops/tomcat-enterprise/conf/web.xml.</t>
    </r>
    <r>
      <rPr>
        <sz val="11"/>
        <color rgb="FF000000"/>
        <rFont val="Calibri"/>
      </rPr>
      <t xml:space="preserve">
</t>
    </r>
    <r>
      <rPr>
        <sz val="11"/>
        <color rgb="FF000000"/>
        <rFont val="Calibri"/>
      </rPr>
      <t>Navigate to and locate the mapping for the JSP servlet. It is the &lt;servlet-mapping&gt; node that contains &lt;servlet-name&gt;jsp&lt;/servlet-name&gt;.</t>
    </r>
    <r>
      <rPr>
        <sz val="11"/>
        <color rgb="FF000000"/>
        <rFont val="Calibri"/>
      </rPr>
      <t xml:space="preserve">
</t>
    </r>
    <r>
      <rPr>
        <sz val="11"/>
        <color rgb="FF000000"/>
        <rFont val="Calibri"/>
      </rPr>
      <t>Configure the &lt;servlet-mapping&gt; node to look like the code snippet below:</t>
    </r>
    <r>
      <rPr>
        <sz val="11"/>
        <color rgb="FF000000"/>
        <rFont val="Calibri"/>
      </rPr>
      <t xml:space="preserve">
</t>
    </r>
    <r>
      <rPr>
        <sz val="11"/>
        <color rgb="FF000000"/>
        <rFont val="Calibri"/>
      </rPr>
      <t xml:space="preserve">    &lt;!-- The mappings for the JSP servlet --&gt;</t>
    </r>
    <r>
      <rPr>
        <sz val="11"/>
        <color rgb="FF000000"/>
        <rFont val="Calibri"/>
      </rPr>
      <t xml:space="preserve">
</t>
    </r>
    <r>
      <rPr>
        <sz val="11"/>
        <color rgb="FF000000"/>
        <rFont val="Calibri"/>
      </rPr>
      <t xml:space="preserve">    &lt;servlet-mapping&gt;</t>
    </r>
    <r>
      <rPr>
        <sz val="11"/>
        <color rgb="FF000000"/>
        <rFont val="Calibri"/>
      </rPr>
      <t xml:space="preserve">
</t>
    </r>
    <r>
      <rPr>
        <sz val="11"/>
        <color rgb="FF000000"/>
        <rFont val="Calibri"/>
      </rPr>
      <t xml:space="preserve">        &lt;servlet-name&gt;jsp&lt;/servlet-name&gt;</t>
    </r>
    <r>
      <rPr>
        <sz val="11"/>
        <color rgb="FF000000"/>
        <rFont val="Calibri"/>
      </rPr>
      <t xml:space="preserve">
</t>
    </r>
    <r>
      <rPr>
        <sz val="11"/>
        <color rgb="FF000000"/>
        <rFont val="Calibri"/>
      </rPr>
      <t xml:space="preserve">        &lt;url-pattern&gt;*.jsp&lt;/url-pattern&gt;</t>
    </r>
    <r>
      <rPr>
        <sz val="11"/>
        <color rgb="FF000000"/>
        <rFont val="Calibri"/>
      </rPr>
      <t xml:space="preserve">
</t>
    </r>
    <r>
      <rPr>
        <sz val="11"/>
        <color rgb="FF000000"/>
        <rFont val="Calibri"/>
      </rPr>
      <t xml:space="preserve">        &lt;url-pattern&gt;*.jspx&lt;/url-pattern&gt;</t>
    </r>
    <r>
      <rPr>
        <sz val="11"/>
        <color rgb="FF000000"/>
        <rFont val="Calibri"/>
      </rPr>
      <t xml:space="preserve">
</t>
    </r>
    <r>
      <rPr>
        <sz val="11"/>
        <color rgb="FF000000"/>
        <rFont val="Calibri"/>
      </rPr>
      <t xml:space="preserve">    &lt;/servlet-mapping&gt;</t>
    </r>
  </si>
  <si>
    <r>
      <rPr>
        <sz val="11"/>
        <color rgb="FF000000"/>
        <rFont val="Calibri"/>
      </rPr>
      <t xml:space="preserve">At the command prompt, execute the following command: </t>
    </r>
    <r>
      <rPr>
        <sz val="11"/>
        <color rgb="FF000000"/>
        <rFont val="Calibri"/>
      </rPr>
      <t xml:space="preserve">
</t>
    </r>
    <r>
      <rPr>
        <sz val="11"/>
        <color rgb="FF000000"/>
        <rFont val="Calibri"/>
      </rPr>
      <t>grep -E '&lt;url-pattern&gt;\*\.jsp&lt;/url-pattern&gt;' -B 2 -A 2 /usr/lib/vmware-vcops/tomcat-enterprise/conf/web.xml</t>
    </r>
    <r>
      <rPr>
        <sz val="11"/>
        <color rgb="FF000000"/>
        <rFont val="Calibri"/>
      </rPr>
      <t xml:space="preserve">
</t>
    </r>
    <r>
      <rPr>
        <sz val="11"/>
        <color rgb="FF000000"/>
        <rFont val="Calibri"/>
      </rPr>
      <t>If the “jsp” and “jspx” file extensions have not been mapped to the JSP servlet, this is a finding.</t>
    </r>
  </si>
  <si>
    <t>V-88923</t>
  </si>
  <si>
    <r>
      <rPr>
        <sz val="11"/>
        <rFont val="Calibri"/>
      </rPr>
      <t>tc Server ALL must not have the Web Distributed Authoring (WebDAV) servlet installed.</t>
    </r>
  </si>
  <si>
    <r>
      <rPr>
        <sz val="11"/>
        <color rgb="FF000000"/>
        <rFont val="Calibri"/>
      </rPr>
      <t>Navigate to and open all listed web.xml files.</t>
    </r>
    <r>
      <rPr>
        <sz val="11"/>
        <color rgb="FF000000"/>
        <rFont val="Calibri"/>
      </rPr>
      <t xml:space="preserve">
</t>
    </r>
    <r>
      <rPr>
        <sz val="11"/>
        <color rgb="FF000000"/>
        <rFont val="Calibri"/>
      </rPr>
      <t>Navigate to and locate the mapping for the JSP servlet. It is the &lt;servlet-mapping&gt; node that contains &lt;servlet-name&gt;webdav&lt;/servlet-name&gt;.</t>
    </r>
    <r>
      <rPr>
        <sz val="11"/>
        <color rgb="FF000000"/>
        <rFont val="Calibri"/>
      </rPr>
      <t xml:space="preserve">
</t>
    </r>
    <r>
      <rPr>
        <sz val="11"/>
        <color rgb="FF000000"/>
        <rFont val="Calibri"/>
      </rPr>
      <t>Remove the WebDav servlet and any mapping associated with it.</t>
    </r>
  </si>
  <si>
    <r>
      <rPr>
        <sz val="11"/>
        <color rgb="FF000000"/>
        <rFont val="Calibri"/>
      </rPr>
      <t>A web server can be installed with functionality that, just by its nature, is not secure. Web Distributed Authoring (WebDAV) is an extension to the HTTP protocol that, when developed, was meant to allow users to create, change, and move documents on a server, typically a web server or web share. Allowing this functionality, development, and deployment is much easier for web authors.</t>
    </r>
    <r>
      <rPr>
        <sz val="11"/>
        <color rgb="FF000000"/>
        <rFont val="Calibri"/>
      </rPr>
      <t xml:space="preserve">
</t>
    </r>
    <r>
      <rPr>
        <sz val="11"/>
        <color rgb="FF000000"/>
        <rFont val="Calibri"/>
      </rPr>
      <t>WebDAV is not widely used and has serious security concerns because it may allow clients to modify unauthorized files on the web server.</t>
    </r>
    <r>
      <rPr>
        <sz val="11"/>
        <color rgb="FF000000"/>
        <rFont val="Calibri"/>
      </rPr>
      <t xml:space="preserve">
</t>
    </r>
    <r>
      <rPr>
        <sz val="11"/>
        <color rgb="FF000000"/>
        <rFont val="Calibri"/>
      </rPr>
      <t>As an extension to Tomcat, tc Server uses the “org.apache.catalina.servlets.WebdavServlet” servlet to provide WebDAV services. Because the WebDAV service has been found to have an excessive number of vulnerabilities, this servlet must not be installed.</t>
    </r>
  </si>
  <si>
    <r>
      <rPr>
        <sz val="11"/>
        <color rgb="FF000000"/>
        <rFont val="Calibri"/>
      </rPr>
      <t xml:space="preserve">At the command prompt, execute the following command: </t>
    </r>
    <r>
      <rPr>
        <sz val="11"/>
        <color rgb="FF000000"/>
        <rFont val="Calibri"/>
      </rPr>
      <t xml:space="preserve">
</t>
    </r>
    <r>
      <rPr>
        <sz val="11"/>
        <color rgb="FF000000"/>
        <rFont val="Calibri"/>
      </rPr>
      <t>find / -name 'web.xml' -print0 | xargs -0r grep -HEn 'webdav'</t>
    </r>
    <r>
      <rPr>
        <sz val="11"/>
        <color rgb="FF000000"/>
        <rFont val="Calibri"/>
      </rPr>
      <t xml:space="preserve">
</t>
    </r>
    <r>
      <rPr>
        <sz val="11"/>
        <color rgb="FF000000"/>
        <rFont val="Calibri"/>
      </rPr>
      <t>If the command produces any output, this is a finding.</t>
    </r>
  </si>
  <si>
    <t>V-88925</t>
  </si>
  <si>
    <r>
      <rPr>
        <sz val="11"/>
        <rFont val="Calibri"/>
      </rPr>
      <t>tc Server UI must be configured with memory leak protection.</t>
    </r>
  </si>
  <si>
    <r>
      <rPr>
        <sz val="11"/>
        <color rgb="FF000000"/>
        <rFont val="Calibri"/>
      </rPr>
      <t>Navigate to and open /usr/lib/vmware-vcops/tomcat-web-app/conf/server.xml.</t>
    </r>
    <r>
      <rPr>
        <sz val="11"/>
        <color rgb="FF000000"/>
        <rFont val="Calibri"/>
      </rPr>
      <t xml:space="preserve">
</t>
    </r>
    <r>
      <rPr>
        <sz val="11"/>
        <color rgb="FF000000"/>
        <rFont val="Calibri"/>
      </rPr>
      <t>Navigate to the &lt;Server&gt; node.</t>
    </r>
    <r>
      <rPr>
        <sz val="11"/>
        <color rgb="FF000000"/>
        <rFont val="Calibri"/>
      </rPr>
      <t xml:space="preserve">
</t>
    </r>
    <r>
      <rPr>
        <sz val="11"/>
        <color rgb="FF000000"/>
        <rFont val="Calibri"/>
      </rPr>
      <t>Add '&lt;Listener className="org.apache.catalina.core.JreMemoryLeakPreventionListener"/&gt;' to the &lt;Server&gt; node.</t>
    </r>
  </si>
  <si>
    <r>
      <rPr>
        <sz val="11"/>
        <color rgb="FF000000"/>
        <rFont val="Calibri"/>
      </rPr>
      <t>The Java Runtime environment can cause a memory leak or lock files under certain conditions.  Without memory leak protection, tc Server HORIZON can continue to consume system resources which will lead to OutOfMemoryErrors when re-loading web applications.</t>
    </r>
    <r>
      <rPr>
        <sz val="11"/>
        <color rgb="FF000000"/>
        <rFont val="Calibri"/>
      </rPr>
      <t xml:space="preserve">
</t>
    </r>
    <r>
      <rPr>
        <sz val="11"/>
        <color rgb="FF000000"/>
        <rFont val="Calibri"/>
      </rPr>
      <t>Memory leaks occur when JRE code uses the context class loader to load a singleton as this will cause a memory leak if a web application class loader happens to be the context class loader at the time. The JreMemoryLeakPreventionListener class is designed to initialize these singletons when Tomcat's common class loader is the context class loader.</t>
    </r>
    <r>
      <rPr>
        <sz val="11"/>
        <color rgb="FF000000"/>
        <rFont val="Calibri"/>
      </rPr>
      <t xml:space="preserve">
</t>
    </r>
    <r>
      <rPr>
        <sz val="11"/>
        <color rgb="FF000000"/>
        <rFont val="Calibri"/>
      </rPr>
      <t>Proper use of JRE memory leak protection will ensure that the hosted application does not consume system resources and cause an unstable environment.</t>
    </r>
  </si>
  <si>
    <r>
      <rPr>
        <sz val="11"/>
        <color rgb="FF000000"/>
        <rFont val="Calibri"/>
      </rPr>
      <t xml:space="preserve">At the command prompt, execute the following command: </t>
    </r>
    <r>
      <rPr>
        <sz val="11"/>
        <color rgb="FF000000"/>
        <rFont val="Calibri"/>
      </rPr>
      <t xml:space="preserve">
</t>
    </r>
    <r>
      <rPr>
        <sz val="11"/>
        <color rgb="FF000000"/>
        <rFont val="Calibri"/>
      </rPr>
      <t>grep JreMemoryLeakPreventionListener /usr/lib/vmware-vcops/tomcat-web-app/conf/server.xml</t>
    </r>
    <r>
      <rPr>
        <sz val="11"/>
        <color rgb="FF000000"/>
        <rFont val="Calibri"/>
      </rPr>
      <t xml:space="preserve">
</t>
    </r>
    <r>
      <rPr>
        <sz val="11"/>
        <color rgb="FF000000"/>
        <rFont val="Calibri"/>
      </rPr>
      <t>If the JreMemoryLeakPreventionListener &lt;Listener&gt; node is not listed, this is a finding.</t>
    </r>
  </si>
  <si>
    <t>V-88927</t>
  </si>
  <si>
    <r>
      <rPr>
        <sz val="11"/>
        <rFont val="Calibri"/>
      </rPr>
      <t>tc Server CaSa must be configured with memory leak protection.</t>
    </r>
  </si>
  <si>
    <r>
      <rPr>
        <sz val="11"/>
        <color rgb="FF000000"/>
        <rFont val="Calibri"/>
      </rPr>
      <t>Navigate to and open /usr/lib/vmware-casa/casa-webapp/conf/server.xml.</t>
    </r>
    <r>
      <rPr>
        <sz val="11"/>
        <color rgb="FF000000"/>
        <rFont val="Calibri"/>
      </rPr>
      <t xml:space="preserve">
</t>
    </r>
    <r>
      <rPr>
        <sz val="11"/>
        <color rgb="FF000000"/>
        <rFont val="Calibri"/>
      </rPr>
      <t>Navigate to the &lt;Server&gt; node.</t>
    </r>
    <r>
      <rPr>
        <sz val="11"/>
        <color rgb="FF000000"/>
        <rFont val="Calibri"/>
      </rPr>
      <t xml:space="preserve">
</t>
    </r>
    <r>
      <rPr>
        <sz val="11"/>
        <color rgb="FF000000"/>
        <rFont val="Calibri"/>
      </rPr>
      <t>Add '&lt;Listener className="org.apache.catalina.core.JreMemoryLeakPreventionListener"/&gt;' to the &lt;Server&gt; node.</t>
    </r>
  </si>
  <si>
    <r>
      <rPr>
        <sz val="11"/>
        <color rgb="FF000000"/>
        <rFont val="Calibri"/>
      </rPr>
      <t xml:space="preserve">At the command prompt, execute the following command: </t>
    </r>
    <r>
      <rPr>
        <sz val="11"/>
        <color rgb="FF000000"/>
        <rFont val="Calibri"/>
      </rPr>
      <t xml:space="preserve">
</t>
    </r>
    <r>
      <rPr>
        <sz val="11"/>
        <color rgb="FF000000"/>
        <rFont val="Calibri"/>
      </rPr>
      <t>grep JreMemoryLeakPreventionListener /usr/lib/vmware-casa/casa-webapp/conf/server.xml</t>
    </r>
    <r>
      <rPr>
        <sz val="11"/>
        <color rgb="FF000000"/>
        <rFont val="Calibri"/>
      </rPr>
      <t xml:space="preserve">
</t>
    </r>
    <r>
      <rPr>
        <sz val="11"/>
        <color rgb="FF000000"/>
        <rFont val="Calibri"/>
      </rPr>
      <t>If the JreMemoryLeakPreventionListener &lt;Listener&gt; node is not listed, this is a finding.</t>
    </r>
  </si>
  <si>
    <t>V-88929</t>
  </si>
  <si>
    <r>
      <rPr>
        <sz val="11"/>
        <rFont val="Calibri"/>
      </rPr>
      <t>tc Server API must be configured with memory leak protection.</t>
    </r>
  </si>
  <si>
    <r>
      <rPr>
        <sz val="11"/>
        <color rgb="FF000000"/>
        <rFont val="Calibri"/>
      </rPr>
      <t>Navigate to and open /usr/lib/vmware-vcops/tomcat-enterprise/conf/server.xml.</t>
    </r>
    <r>
      <rPr>
        <sz val="11"/>
        <color rgb="FF000000"/>
        <rFont val="Calibri"/>
      </rPr>
      <t xml:space="preserve">
</t>
    </r>
    <r>
      <rPr>
        <sz val="11"/>
        <color rgb="FF000000"/>
        <rFont val="Calibri"/>
      </rPr>
      <t>Navigate to the &lt;Server&gt; node.</t>
    </r>
    <r>
      <rPr>
        <sz val="11"/>
        <color rgb="FF000000"/>
        <rFont val="Calibri"/>
      </rPr>
      <t xml:space="preserve">
</t>
    </r>
    <r>
      <rPr>
        <sz val="11"/>
        <color rgb="FF000000"/>
        <rFont val="Calibri"/>
      </rPr>
      <t>Add '&lt;Listener className="org.apache.catalina.core.JreMemoryLeakPreventionListener"/&gt;' to the &lt;Server&gt; node.</t>
    </r>
  </si>
  <si>
    <r>
      <rPr>
        <sz val="11"/>
        <color rgb="FF000000"/>
        <rFont val="Calibri"/>
      </rPr>
      <t xml:space="preserve">At the command prompt, execute the following command: </t>
    </r>
    <r>
      <rPr>
        <sz val="11"/>
        <color rgb="FF000000"/>
        <rFont val="Calibri"/>
      </rPr>
      <t xml:space="preserve">
</t>
    </r>
    <r>
      <rPr>
        <sz val="11"/>
        <color rgb="FF000000"/>
        <rFont val="Calibri"/>
      </rPr>
      <t>grep JreMemoryLeakPreventionListener /usr/lib/vmware-vcops/tomcat-enterprise/conf/server.xml</t>
    </r>
    <r>
      <rPr>
        <sz val="11"/>
        <color rgb="FF000000"/>
        <rFont val="Calibri"/>
      </rPr>
      <t xml:space="preserve">
</t>
    </r>
    <r>
      <rPr>
        <sz val="11"/>
        <color rgb="FF000000"/>
        <rFont val="Calibri"/>
      </rPr>
      <t>If the JreMemoryLeakPreventionListener &lt;Listener&gt; node is not listed, this is a finding.</t>
    </r>
  </si>
  <si>
    <t>V-88931</t>
  </si>
  <si>
    <r>
      <rPr>
        <sz val="11"/>
        <rFont val="Calibri"/>
      </rPr>
      <t>tc Server UI must not have any symbolic links in the web content directory tree.</t>
    </r>
  </si>
  <si>
    <r>
      <rPr>
        <sz val="11"/>
        <color rgb="FF000000"/>
        <rFont val="Calibri"/>
      </rPr>
      <t>At the command prompt, execute the following command:</t>
    </r>
    <r>
      <rPr>
        <sz val="11"/>
        <color rgb="FF000000"/>
        <rFont val="Calibri"/>
      </rPr>
      <t xml:space="preserve">
</t>
    </r>
    <r>
      <rPr>
        <sz val="11"/>
        <color rgb="FF000000"/>
        <rFont val="Calibri"/>
      </rPr>
      <t>Note: Replace &lt;file_name&gt; for the name of any files that were returned.</t>
    </r>
    <r>
      <rPr>
        <sz val="11"/>
        <color rgb="FF000000"/>
        <rFont val="Calibri"/>
      </rPr>
      <t xml:space="preserve">
</t>
    </r>
    <r>
      <rPr>
        <sz val="11"/>
        <color rgb="FF000000"/>
        <rFont val="Calibri"/>
      </rPr>
      <t>unlink &lt;file_name&gt;</t>
    </r>
    <r>
      <rPr>
        <sz val="11"/>
        <color rgb="FF000000"/>
        <rFont val="Calibri"/>
      </rPr>
      <t xml:space="preserve">
</t>
    </r>
    <r>
      <rPr>
        <sz val="11"/>
        <color rgb="FF000000"/>
        <rFont val="Calibri"/>
      </rPr>
      <t>Repeat the commands for each file that was returned.</t>
    </r>
  </si>
  <si>
    <r>
      <rPr>
        <sz val="11"/>
        <color rgb="FF000000"/>
        <rFont val="Calibri"/>
      </rPr>
      <t>A web server is designed to deliver content and execute scripts or applications on the request of a client or user. Containing user requests to files in the directory tree of the hosted web application and limiting the execution of scripts and applications guarantees that the user is not accessing information protected outside the application's realm.</t>
    </r>
    <r>
      <rPr>
        <sz val="11"/>
        <color rgb="FF000000"/>
        <rFont val="Calibri"/>
      </rPr>
      <t xml:space="preserve">
</t>
    </r>
    <r>
      <rPr>
        <sz val="11"/>
        <color rgb="FF000000"/>
        <rFont val="Calibri"/>
      </rPr>
      <t>By checking that no symbolic links exist in the document root, the web server is protected from users jumping outside the hosted application directory tree and gaining access to the other directories, including the system root.</t>
    </r>
  </si>
  <si>
    <r>
      <rPr>
        <sz val="11"/>
        <color rgb="FF000000"/>
        <rFont val="Calibri"/>
      </rPr>
      <t>At the command prompt, execute the following command:</t>
    </r>
    <r>
      <rPr>
        <sz val="11"/>
        <color rgb="FF000000"/>
        <rFont val="Calibri"/>
      </rPr>
      <t xml:space="preserve">
</t>
    </r>
    <r>
      <rPr>
        <sz val="11"/>
        <color rgb="FF000000"/>
        <rFont val="Calibri"/>
      </rPr>
      <t>ls -lR /usr/lib/vmware-vcops/tomcat-web-app | grep '^l'</t>
    </r>
    <r>
      <rPr>
        <sz val="11"/>
        <color rgb="FF000000"/>
        <rFont val="Calibri"/>
      </rPr>
      <t xml:space="preserve">
</t>
    </r>
    <r>
      <rPr>
        <sz val="11"/>
        <color rgb="FF000000"/>
        <rFont val="Calibri"/>
      </rPr>
      <t>If the command produces any output other than the expected result below, this is a finding.</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lrwxrwxrwx 1 admin admin   33 Mar  6 03:37 logs -&gt; /storage/log/vcops/log/product-ui</t>
    </r>
    <r>
      <rPr>
        <sz val="11"/>
        <color rgb="FF000000"/>
        <rFont val="Calibri"/>
      </rPr>
      <t xml:space="preserve">
</t>
    </r>
    <r>
      <rPr>
        <sz val="11"/>
        <color rgb="FF000000"/>
        <rFont val="Calibri"/>
      </rPr>
      <t>lrwxrwxrwx  1 admin admin        47 Mar  6 03:37 vcops-web-ent -&gt; /usr/lib/vmware-vcops/tomcat-web-app/webapps/ui</t>
    </r>
  </si>
  <si>
    <t>V-88933</t>
  </si>
  <si>
    <r>
      <rPr>
        <sz val="11"/>
        <rFont val="Calibri"/>
      </rPr>
      <t>tc Server CaSa must not have any symbolic links in the web content directory tree.</t>
    </r>
  </si>
  <si>
    <r>
      <rPr>
        <sz val="11"/>
        <color rgb="FF000000"/>
        <rFont val="Calibri"/>
      </rPr>
      <t>At the command prompt, execute the following command:</t>
    </r>
    <r>
      <rPr>
        <sz val="11"/>
        <color rgb="FF000000"/>
        <rFont val="Calibri"/>
      </rPr>
      <t xml:space="preserve">
</t>
    </r>
    <r>
      <rPr>
        <sz val="11"/>
        <color rgb="FF000000"/>
        <rFont val="Calibri"/>
      </rPr>
      <t>ls -lR /usr/lib/vmware-casa/casa-webapp | grep '^l'</t>
    </r>
    <r>
      <rPr>
        <sz val="11"/>
        <color rgb="FF000000"/>
        <rFont val="Calibri"/>
      </rPr>
      <t xml:space="preserve">
</t>
    </r>
    <r>
      <rPr>
        <sz val="11"/>
        <color rgb="FF000000"/>
        <rFont val="Calibri"/>
      </rPr>
      <t>If the command produces any output other than the expected result below, this is a finding.</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lrwxrwxrwx 1 admin admin   27 Mar  6 03:37 logs -&gt; /storage/log/vcops/log/casa</t>
    </r>
  </si>
  <si>
    <t>V-88935</t>
  </si>
  <si>
    <r>
      <rPr>
        <sz val="11"/>
        <rFont val="Calibri"/>
      </rPr>
      <t>tc Server API must not have any symbolic links in the web content directory tree.</t>
    </r>
  </si>
  <si>
    <r>
      <rPr>
        <sz val="11"/>
        <color rgb="FF000000"/>
        <rFont val="Calibri"/>
      </rPr>
      <t>At the command prompt, execute the following command:</t>
    </r>
    <r>
      <rPr>
        <sz val="11"/>
        <color rgb="FF000000"/>
        <rFont val="Calibri"/>
      </rPr>
      <t xml:space="preserve">
</t>
    </r>
    <r>
      <rPr>
        <sz val="11"/>
        <color rgb="FF000000"/>
        <rFont val="Calibri"/>
      </rPr>
      <t>ls -lR /usr/lib/vmware-vcops/tomcat-enterprise | grep '^l'</t>
    </r>
    <r>
      <rPr>
        <sz val="11"/>
        <color rgb="FF000000"/>
        <rFont val="Calibri"/>
      </rPr>
      <t xml:space="preserve">
</t>
    </r>
    <r>
      <rPr>
        <sz val="11"/>
        <color rgb="FF000000"/>
        <rFont val="Calibri"/>
      </rPr>
      <t>If the command produces any output, this is a finding.</t>
    </r>
  </si>
  <si>
    <t>V-88937</t>
  </si>
  <si>
    <r>
      <rPr>
        <sz val="11"/>
        <rFont val="Calibri"/>
      </rPr>
      <t>tc Server UI must be configured to use a specified IP address and port.</t>
    </r>
  </si>
  <si>
    <r>
      <rPr>
        <sz val="11"/>
        <color rgb="FF000000"/>
        <rFont val="Calibri"/>
      </rPr>
      <t>Navigate to and open /usr/lib/vmware-vcops/tomcat-web-app/conf/server.xml.</t>
    </r>
    <r>
      <rPr>
        <sz val="11"/>
        <color rgb="FF000000"/>
        <rFont val="Calibri"/>
      </rPr>
      <t xml:space="preserve">
</t>
    </r>
    <r>
      <rPr>
        <sz val="11"/>
        <color rgb="FF000000"/>
        <rFont val="Calibri"/>
      </rPr>
      <t>Navigate to each of the &lt;Connector&gt; nodes.</t>
    </r>
    <r>
      <rPr>
        <sz val="11"/>
        <color rgb="FF000000"/>
        <rFont val="Calibri"/>
      </rPr>
      <t xml:space="preserve">
</t>
    </r>
    <r>
      <rPr>
        <sz val="11"/>
        <color rgb="FF000000"/>
        <rFont val="Calibri"/>
      </rPr>
      <t>Configure each &lt;Connector&gt; node with the correct port and address value:</t>
    </r>
    <r>
      <rPr>
        <sz val="11"/>
        <color rgb="FF000000"/>
        <rFont val="Calibri"/>
      </rPr>
      <t xml:space="preserve">
</t>
    </r>
    <r>
      <rPr>
        <sz val="11"/>
        <color rgb="FF000000"/>
        <rFont val="Calibri"/>
      </rPr>
      <t>address="XXXXX"</t>
    </r>
    <r>
      <rPr>
        <sz val="11"/>
        <color rgb="FF000000"/>
        <rFont val="Calibri"/>
      </rPr>
      <t xml:space="preserve">
</t>
    </r>
    <r>
      <rPr>
        <sz val="11"/>
        <color rgb="FF000000"/>
        <rFont val="Calibri"/>
      </rPr>
      <t>port="YYYYY"</t>
    </r>
  </si>
  <si>
    <r>
      <rPr>
        <sz val="11"/>
        <color rgb="FF000000"/>
        <rFont val="Calibri"/>
      </rPr>
      <t>The web server must be configured to listen on a specified IP address and port. Without specifying an IP address and port for the web server to utilize, the web server will listen on all IP addresses available to the hosting server. If the web server has multiple IP addresses, i.e., a management IP address, the web server will also accept connections on the management IP address.</t>
    </r>
    <r>
      <rPr>
        <sz val="11"/>
        <color rgb="FF000000"/>
        <rFont val="Calibri"/>
      </rPr>
      <t xml:space="preserve">
</t>
    </r>
    <r>
      <rPr>
        <sz val="11"/>
        <color rgb="FF000000"/>
        <rFont val="Calibri"/>
      </rPr>
      <t>Accessing the hosted application through an IP address normally used for non-application functions opens the possibility of user access to resources, utilities, files, ports, and protocols that are protected on the desired application IP address.</t>
    </r>
  </si>
  <si>
    <r>
      <rPr>
        <sz val="11"/>
        <color rgb="FF000000"/>
        <rFont val="Calibri"/>
      </rPr>
      <t>Navigate to and open /usr/lib/vmware-vcops/tomcat-web-app/conf/server.xml.</t>
    </r>
    <r>
      <rPr>
        <sz val="11"/>
        <color rgb="FF000000"/>
        <rFont val="Calibri"/>
      </rPr>
      <t xml:space="preserve">
</t>
    </r>
    <r>
      <rPr>
        <sz val="11"/>
        <color rgb="FF000000"/>
        <rFont val="Calibri"/>
      </rPr>
      <t>Navigate to each of the &lt;Connector&gt; nodes.</t>
    </r>
    <r>
      <rPr>
        <sz val="11"/>
        <color rgb="FF000000"/>
        <rFont val="Calibri"/>
      </rPr>
      <t xml:space="preserve">
</t>
    </r>
    <r>
      <rPr>
        <sz val="11"/>
        <color rgb="FF000000"/>
        <rFont val="Calibri"/>
      </rPr>
      <t>If either the IP address or the port is not specified for each &lt;Connector&gt;, this is a finding.</t>
    </r>
  </si>
  <si>
    <t>V-88939</t>
  </si>
  <si>
    <r>
      <rPr>
        <sz val="11"/>
        <rFont val="Calibri"/>
      </rPr>
      <t>tc Server CaSa must be configured to use a specified IP address and port.</t>
    </r>
  </si>
  <si>
    <r>
      <rPr>
        <sz val="11"/>
        <color rgb="FF000000"/>
        <rFont val="Calibri"/>
      </rPr>
      <t>Navigate to and open /usr/lib/vmware-casa/casa-webapp/conf/server.xml.</t>
    </r>
    <r>
      <rPr>
        <sz val="11"/>
        <color rgb="FF000000"/>
        <rFont val="Calibri"/>
      </rPr>
      <t xml:space="preserve">
</t>
    </r>
    <r>
      <rPr>
        <sz val="11"/>
        <color rgb="FF000000"/>
        <rFont val="Calibri"/>
      </rPr>
      <t>Navigate to each of the &lt;Connector&gt; nodes.</t>
    </r>
    <r>
      <rPr>
        <sz val="11"/>
        <color rgb="FF000000"/>
        <rFont val="Calibri"/>
      </rPr>
      <t xml:space="preserve">
</t>
    </r>
    <r>
      <rPr>
        <sz val="11"/>
        <color rgb="FF000000"/>
        <rFont val="Calibri"/>
      </rPr>
      <t>If either the IP address or the port is not specified for each &lt;Connector&gt;, this is a finding.</t>
    </r>
  </si>
  <si>
    <t>V-88941</t>
  </si>
  <si>
    <r>
      <rPr>
        <sz val="11"/>
        <rFont val="Calibri"/>
      </rPr>
      <t>tc Server API must be configured to use a specified IP address and port.</t>
    </r>
  </si>
  <si>
    <r>
      <rPr>
        <sz val="11"/>
        <color rgb="FF000000"/>
        <rFont val="Calibri"/>
      </rPr>
      <t>Navigate to and open /usr/lib/vmware-vcops/tomcat-web-app/conf/server.xml.</t>
    </r>
    <r>
      <rPr>
        <sz val="11"/>
        <color rgb="FF000000"/>
        <rFont val="Calibri"/>
      </rPr>
      <t xml:space="preserve">
</t>
    </r>
    <r>
      <rPr>
        <sz val="11"/>
        <color rgb="FF000000"/>
        <rFont val="Calibri"/>
      </rPr>
      <t>Navigate to each of the &lt;Connector&gt; nodes.</t>
    </r>
    <r>
      <rPr>
        <sz val="11"/>
        <color rgb="FF000000"/>
        <rFont val="Calibri"/>
      </rPr>
      <t xml:space="preserve">
</t>
    </r>
    <r>
      <rPr>
        <sz val="11"/>
        <color rgb="FF000000"/>
        <rFont val="Calibri"/>
      </rPr>
      <t>Configure each &lt;Connector&gt; node with the correct port and address value</t>
    </r>
    <r>
      <rPr>
        <sz val="11"/>
        <color rgb="FF000000"/>
        <rFont val="Calibri"/>
      </rPr>
      <t xml:space="preserve">
</t>
    </r>
    <r>
      <rPr>
        <sz val="11"/>
        <color rgb="FF000000"/>
        <rFont val="Calibri"/>
      </rPr>
      <t>address="XXXXX"</t>
    </r>
    <r>
      <rPr>
        <sz val="11"/>
        <color rgb="FF000000"/>
        <rFont val="Calibri"/>
      </rPr>
      <t xml:space="preserve">
</t>
    </r>
    <r>
      <rPr>
        <sz val="11"/>
        <color rgb="FF000000"/>
        <rFont val="Calibri"/>
      </rPr>
      <t>port="YYYYY"</t>
    </r>
  </si>
  <si>
    <r>
      <rPr>
        <sz val="11"/>
        <color rgb="FF000000"/>
        <rFont val="Calibri"/>
      </rPr>
      <t>Navigate to and open /usr/lib/vmware-vcops/tomcat-enterprise/conf/server.xml.</t>
    </r>
    <r>
      <rPr>
        <sz val="11"/>
        <color rgb="FF000000"/>
        <rFont val="Calibri"/>
      </rPr>
      <t xml:space="preserve">
</t>
    </r>
    <r>
      <rPr>
        <sz val="11"/>
        <color rgb="FF000000"/>
        <rFont val="Calibri"/>
      </rPr>
      <t>Navigate to each of the &lt;Connector&gt; nodes.</t>
    </r>
    <r>
      <rPr>
        <sz val="11"/>
        <color rgb="FF000000"/>
        <rFont val="Calibri"/>
      </rPr>
      <t xml:space="preserve">
</t>
    </r>
    <r>
      <rPr>
        <sz val="11"/>
        <color rgb="FF000000"/>
        <rFont val="Calibri"/>
      </rPr>
      <t>If either the IP address or the port is not specified for each &lt;Connector&gt;, this is a finding.</t>
    </r>
  </si>
  <si>
    <t>V-88943</t>
  </si>
  <si>
    <r>
      <rPr>
        <sz val="11"/>
        <rFont val="Calibri"/>
      </rPr>
      <t>tc Server UI must encrypt passwords during transmission.</t>
    </r>
  </si>
  <si>
    <r>
      <rPr>
        <sz val="11"/>
        <color rgb="FF000000"/>
        <rFont val="Calibri"/>
      </rPr>
      <t>Navigate to and open /usr/lib/vmware-vcops/tomcat-web-app/conf/server.xml.</t>
    </r>
    <r>
      <rPr>
        <sz val="11"/>
        <color rgb="FF000000"/>
        <rFont val="Calibri"/>
      </rPr>
      <t xml:space="preserve">
</t>
    </r>
    <r>
      <rPr>
        <sz val="11"/>
        <color rgb="FF000000"/>
        <rFont val="Calibri"/>
      </rPr>
      <t>Navigate to each of the &lt;Connector&gt; nodes.</t>
    </r>
    <r>
      <rPr>
        <sz val="11"/>
        <color rgb="FF000000"/>
        <rFont val="Calibri"/>
      </rPr>
      <t xml:space="preserve">
</t>
    </r>
    <r>
      <rPr>
        <sz val="11"/>
        <color rgb="FF000000"/>
        <rFont val="Calibri"/>
      </rPr>
      <t>Configure each &lt;Connector&gt; with the value 'SSLEnabled="true"'</t>
    </r>
  </si>
  <si>
    <r>
      <rPr>
        <sz val="11"/>
        <color rgb="FF000000"/>
        <rFont val="Calibri"/>
      </rPr>
      <t>Data used to authenticate, especially passwords, needs to be protected at all times, and encryption is the standard method for protecting authentication data during transmission. Data used to authenticate can be passed to and from the web server for many reasons.</t>
    </r>
    <r>
      <rPr>
        <sz val="11"/>
        <color rgb="FF000000"/>
        <rFont val="Calibri"/>
      </rPr>
      <t xml:space="preserve">
</t>
    </r>
    <r>
      <rPr>
        <sz val="11"/>
        <color rgb="FF000000"/>
        <rFont val="Calibri"/>
      </rPr>
      <t>Examples include data passed from a user to the web server through an HTTPS connection for authentication, the web server authenticating to a backend database for data retrieval and posting, and the web server authenticating to a clustered web server manager for an update.</t>
    </r>
    <r>
      <rPr>
        <sz val="11"/>
        <color rgb="FF000000"/>
        <rFont val="Calibri"/>
      </rPr>
      <t xml:space="preserve">
</t>
    </r>
    <r>
      <rPr>
        <sz val="11"/>
        <color rgb="FF000000"/>
        <rFont val="Calibri"/>
      </rPr>
      <t>HTTP connections in tc Server are managed through the Connector object.  Setting the Connector's “SSLEnabled” flag, SSL handshake/encryption/decryption is enabled.</t>
    </r>
  </si>
  <si>
    <r>
      <rPr>
        <sz val="11"/>
        <color rgb="FF000000"/>
        <rFont val="Calibri"/>
      </rPr>
      <t>Navigate to and open /usr/lib/vmware-vcops/tomcat-web-app/conf/server.xml.</t>
    </r>
    <r>
      <rPr>
        <sz val="11"/>
        <color rgb="FF000000"/>
        <rFont val="Calibri"/>
      </rPr>
      <t xml:space="preserve">
</t>
    </r>
    <r>
      <rPr>
        <sz val="11"/>
        <color rgb="FF000000"/>
        <rFont val="Calibri"/>
      </rPr>
      <t>Navigate to the &lt;Connector&gt; node that contains 'port="${vmware-ssl.https.port}"'</t>
    </r>
    <r>
      <rPr>
        <sz val="11"/>
        <color rgb="FF000000"/>
        <rFont val="Calibri"/>
      </rPr>
      <t xml:space="preserve">
</t>
    </r>
    <r>
      <rPr>
        <sz val="11"/>
        <color rgb="FF000000"/>
        <rFont val="Calibri"/>
      </rPr>
      <t>If the value of “SSLEnabled” is not set to “true” or is missing, this is a finding.</t>
    </r>
  </si>
  <si>
    <t>V-88945</t>
  </si>
  <si>
    <r>
      <rPr>
        <sz val="11"/>
        <rFont val="Calibri"/>
      </rPr>
      <t>tc Server CaSa must encrypt passwords during transmission.</t>
    </r>
  </si>
  <si>
    <r>
      <rPr>
        <sz val="11"/>
        <color rgb="FF000000"/>
        <rFont val="Calibri"/>
      </rPr>
      <t>Navigate to and open /usr/lib/vmware-casa/casa-webapp/conf/server.xml.</t>
    </r>
    <r>
      <rPr>
        <sz val="11"/>
        <color rgb="FF000000"/>
        <rFont val="Calibri"/>
      </rPr>
      <t xml:space="preserve">
</t>
    </r>
    <r>
      <rPr>
        <sz val="11"/>
        <color rgb="FF000000"/>
        <rFont val="Calibri"/>
      </rPr>
      <t>Navigate to each of the &lt;Connector&gt; nodes.</t>
    </r>
    <r>
      <rPr>
        <sz val="11"/>
        <color rgb="FF000000"/>
        <rFont val="Calibri"/>
      </rPr>
      <t xml:space="preserve">
</t>
    </r>
    <r>
      <rPr>
        <sz val="11"/>
        <color rgb="FF000000"/>
        <rFont val="Calibri"/>
      </rPr>
      <t>Configure each &lt;Connector&gt; with the value 'SSLEnabled="true"'</t>
    </r>
  </si>
  <si>
    <r>
      <rPr>
        <sz val="11"/>
        <color rgb="FF000000"/>
        <rFont val="Calibri"/>
      </rPr>
      <t xml:space="preserve">Data used to authenticate, especially passwords, needs to be protected at all times, and encryption is the standard method for protecting authentication data during transmission. Data used to authenticate can be passed to and from the web server for many reasons. </t>
    </r>
    <r>
      <rPr>
        <sz val="11"/>
        <color rgb="FF000000"/>
        <rFont val="Calibri"/>
      </rPr>
      <t xml:space="preserve">
</t>
    </r>
    <r>
      <rPr>
        <sz val="11"/>
        <color rgb="FF000000"/>
        <rFont val="Calibri"/>
      </rPr>
      <t>Examples include data passed from a user to the web server through an HTTPS connection for authentication, the web server authenticating to a backend database for data retrieval and posting, and the web server authenticating to a clustered web server manager for an update.</t>
    </r>
    <r>
      <rPr>
        <sz val="11"/>
        <color rgb="FF000000"/>
        <rFont val="Calibri"/>
      </rPr>
      <t xml:space="preserve">
</t>
    </r>
    <r>
      <rPr>
        <sz val="11"/>
        <color rgb="FF000000"/>
        <rFont val="Calibri"/>
      </rPr>
      <t>HTTP connections in tc Server are managed through the Connector object.  Setting the Connector's “SSLEnabled” flag, SSL handshake/encryption/decryption is enabled.</t>
    </r>
  </si>
  <si>
    <r>
      <rPr>
        <sz val="11"/>
        <color rgb="FF000000"/>
        <rFont val="Calibri"/>
      </rPr>
      <t>Navigate to and open /usr/lib/vmware-casa/casa-webapp/conf/server.xml.</t>
    </r>
    <r>
      <rPr>
        <sz val="11"/>
        <color rgb="FF000000"/>
        <rFont val="Calibri"/>
      </rPr>
      <t xml:space="preserve">
</t>
    </r>
    <r>
      <rPr>
        <sz val="11"/>
        <color rgb="FF000000"/>
        <rFont val="Calibri"/>
      </rPr>
      <t>Navigate to the &lt;Connector&gt; node that contains 'port="${vmware-ssl.https.port}"'.</t>
    </r>
    <r>
      <rPr>
        <sz val="11"/>
        <color rgb="FF000000"/>
        <rFont val="Calibri"/>
      </rPr>
      <t xml:space="preserve">
</t>
    </r>
    <r>
      <rPr>
        <sz val="11"/>
        <color rgb="FF000000"/>
        <rFont val="Calibri"/>
      </rPr>
      <t>If the value of “SSLEnabled” is not set to “true” or is missing, this is a finding.</t>
    </r>
  </si>
  <si>
    <t>V-88947</t>
  </si>
  <si>
    <r>
      <rPr>
        <sz val="11"/>
        <rFont val="Calibri"/>
      </rPr>
      <t>tc Server API must encrypt passwords during transmission.</t>
    </r>
  </si>
  <si>
    <r>
      <rPr>
        <sz val="11"/>
        <color rgb="FF000000"/>
        <rFont val="Calibri"/>
      </rPr>
      <t>Navigate to and open /usr/lib/vmware-vcops/tomcat-enterprise/conf/server.xml.</t>
    </r>
    <r>
      <rPr>
        <sz val="11"/>
        <color rgb="FF000000"/>
        <rFont val="Calibri"/>
      </rPr>
      <t xml:space="preserve">
</t>
    </r>
    <r>
      <rPr>
        <sz val="11"/>
        <color rgb="FF000000"/>
        <rFont val="Calibri"/>
      </rPr>
      <t>Navigate to each of the &lt;Connector&gt; nodes.</t>
    </r>
    <r>
      <rPr>
        <sz val="11"/>
        <color rgb="FF000000"/>
        <rFont val="Calibri"/>
      </rPr>
      <t xml:space="preserve">
</t>
    </r>
    <r>
      <rPr>
        <sz val="11"/>
        <color rgb="FF000000"/>
        <rFont val="Calibri"/>
      </rPr>
      <t>Configure each &lt;Connector&gt; with the value 'SSLEnabled="true"'</t>
    </r>
  </si>
  <si>
    <t>V-88949</t>
  </si>
  <si>
    <r>
      <rPr>
        <sz val="11"/>
        <rFont val="Calibri"/>
      </rPr>
      <t>tc Server ALL must validate client certificates, to include all intermediary CAs, to ensure the client-presented certificates are valid and that the entire trust chain is valid. If PKI is not being used, this check is Not Applicable.</t>
    </r>
  </si>
  <si>
    <r>
      <rPr>
        <sz val="11"/>
        <color rgb="FF000000"/>
        <rFont val="Calibri"/>
      </rPr>
      <t>Validate client certificates are being validated in accordance with RFC 5280.</t>
    </r>
  </si>
  <si>
    <r>
      <rPr>
        <sz val="11"/>
        <color rgb="FF000000"/>
        <rFont val="Calibri"/>
      </rPr>
      <t>The DoD standard for authentication is DoD-approved PKI certificates. A certificate’s certification path is the path from the end entity certificate to a trusted root certification authority (CA). Certification path validation is necessary for a relying party to make an informed decision regarding acceptance of an end entity certificate. Certification path validation includes checks such as certificate issuer trust, time validity and revocation status for each certificate in the certification path. Revocation status information for CA and subject certificates in a certification path is commonly provided via certificate revocation lists (CRLs) or online certificate status protocol (OCSP) responses.</t>
    </r>
  </si>
  <si>
    <r>
      <rPr>
        <sz val="11"/>
        <color rgb="FF000000"/>
        <rFont val="Calibri"/>
      </rPr>
      <t>Obtain supporting documentation from the ISSO.</t>
    </r>
    <r>
      <rPr>
        <sz val="11"/>
        <color rgb="FF000000"/>
        <rFont val="Calibri"/>
      </rPr>
      <t xml:space="preserve">
</t>
    </r>
    <r>
      <rPr>
        <sz val="11"/>
        <color rgb="FF000000"/>
        <rFont val="Calibri"/>
      </rPr>
      <t>Review tc Server ALL configuration to verify that certificates being provided by the client are being validated in accordance with RFC 5280. If PKI is not being used, this is NA.</t>
    </r>
    <r>
      <rPr>
        <sz val="11"/>
        <color rgb="FF000000"/>
        <rFont val="Calibri"/>
      </rPr>
      <t xml:space="preserve">
</t>
    </r>
    <r>
      <rPr>
        <sz val="11"/>
        <color rgb="FF000000"/>
        <rFont val="Calibri"/>
      </rPr>
      <t>If certificates are not being validated in accordance with RFC 5280, this is a finding.</t>
    </r>
  </si>
  <si>
    <t>V-88951</t>
  </si>
  <si>
    <r>
      <rPr>
        <sz val="11"/>
        <rFont val="Calibri"/>
      </rPr>
      <t>tc Server ALL must only allow authenticated system administrators to have access to the keystore.</t>
    </r>
  </si>
  <si>
    <r>
      <rPr>
        <sz val="11"/>
        <color rgb="FF000000"/>
        <rFont val="Calibri"/>
      </rPr>
      <t>At the command prompt, execute the following commands:</t>
    </r>
    <r>
      <rPr>
        <sz val="11"/>
        <color rgb="FF000000"/>
        <rFont val="Calibri"/>
      </rPr>
      <t xml:space="preserve">
</t>
    </r>
    <r>
      <rPr>
        <sz val="11"/>
        <color rgb="FF000000"/>
        <rFont val="Calibri"/>
      </rPr>
      <t>chown admin:admin /storage/vcops/user/conf/ssl/tcserver.keystore</t>
    </r>
    <r>
      <rPr>
        <sz val="11"/>
        <color rgb="FF000000"/>
        <rFont val="Calibri"/>
      </rPr>
      <t xml:space="preserve">
</t>
    </r>
    <r>
      <rPr>
        <sz val="11"/>
        <color rgb="FF000000"/>
        <rFont val="Calibri"/>
      </rPr>
      <t>chmod 640 /storage/vcops/user/conf/ssl/tcserver.keystore</t>
    </r>
  </si>
  <si>
    <r>
      <rPr>
        <sz val="11"/>
        <color rgb="FF000000"/>
        <rFont val="Calibri"/>
      </rPr>
      <t>The web server's private key is used to prove the identity of the server to clients and securely exchange the shared secret key used to encrypt communications between the web server and clients.</t>
    </r>
    <r>
      <rPr>
        <sz val="11"/>
        <color rgb="FF000000"/>
        <rFont val="Calibri"/>
      </rPr>
      <t xml:space="preserve">
</t>
    </r>
    <r>
      <rPr>
        <sz val="11"/>
        <color rgb="FF000000"/>
        <rFont val="Calibri"/>
      </rPr>
      <t>By gaining access to the private key, an attacker can pretend to be an authorized server and decrypt the SSL traffic between a client and the web server.</t>
    </r>
    <r>
      <rPr>
        <sz val="11"/>
        <color rgb="FF000000"/>
        <rFont val="Calibri"/>
      </rPr>
      <t xml:space="preserve">
</t>
    </r>
    <r>
      <rPr>
        <sz val="11"/>
        <color rgb="FF000000"/>
        <rFont val="Calibri"/>
      </rPr>
      <t>tc Server stores the server's private key in a keystore file. The vROps keystore file is “tcserver.keystore”, and this file must be protected to only allow system administrators and other authorized users to have access to it.</t>
    </r>
  </si>
  <si>
    <r>
      <rPr>
        <sz val="11"/>
        <color rgb="FF000000"/>
        <rFont val="Calibri"/>
      </rPr>
      <t>At the command prompt, execute the following command:</t>
    </r>
    <r>
      <rPr>
        <sz val="11"/>
        <color rgb="FF000000"/>
        <rFont val="Calibri"/>
      </rPr>
      <t xml:space="preserve">
</t>
    </r>
    <r>
      <rPr>
        <sz val="11"/>
        <color rgb="FF000000"/>
        <rFont val="Calibri"/>
      </rPr>
      <t>ls -al /storage/vcops/user/conf/ssl/tcserver.keystore</t>
    </r>
    <r>
      <rPr>
        <sz val="11"/>
        <color rgb="FF000000"/>
        <rFont val="Calibri"/>
      </rPr>
      <t xml:space="preserve">
</t>
    </r>
    <r>
      <rPr>
        <sz val="11"/>
        <color rgb="FF000000"/>
        <rFont val="Calibri"/>
      </rPr>
      <t xml:space="preserve">Verify that file permissions are set to “640” or more restrictive. </t>
    </r>
    <r>
      <rPr>
        <sz val="11"/>
        <color rgb="FF000000"/>
        <rFont val="Calibri"/>
      </rPr>
      <t xml:space="preserve">
</t>
    </r>
    <r>
      <rPr>
        <sz val="11"/>
        <color rgb="FF000000"/>
        <rFont val="Calibri"/>
      </rPr>
      <t>Verify that the owner and group-owner are set to admin. If either of these conditions are not met, this is a finding.</t>
    </r>
  </si>
  <si>
    <t>V-88953</t>
  </si>
  <si>
    <r>
      <rPr>
        <sz val="11"/>
        <rFont val="Calibri"/>
      </rPr>
      <t>tc Server ALL must only allow authenticated system administrators to have access to the truststore.</t>
    </r>
  </si>
  <si>
    <r>
      <rPr>
        <sz val="11"/>
        <color rgb="FF000000"/>
        <rFont val="Calibri"/>
      </rPr>
      <t>At the command prompt, execute the following commands:</t>
    </r>
    <r>
      <rPr>
        <sz val="11"/>
        <color rgb="FF000000"/>
        <rFont val="Calibri"/>
      </rPr>
      <t xml:space="preserve">
</t>
    </r>
    <r>
      <rPr>
        <sz val="11"/>
        <color rgb="FF000000"/>
        <rFont val="Calibri"/>
      </rPr>
      <t>chown admin:admin /storage/vcops/user/conf/ssl/tcserver.truststore</t>
    </r>
    <r>
      <rPr>
        <sz val="11"/>
        <color rgb="FF000000"/>
        <rFont val="Calibri"/>
      </rPr>
      <t xml:space="preserve">
</t>
    </r>
    <r>
      <rPr>
        <sz val="11"/>
        <color rgb="FF000000"/>
        <rFont val="Calibri"/>
      </rPr>
      <t>chmod 640 /storage/vcops/user/conf/ssl/tcserver.truststore</t>
    </r>
  </si>
  <si>
    <r>
      <rPr>
        <sz val="11"/>
        <color rgb="FF000000"/>
        <rFont val="Calibri"/>
      </rPr>
      <t>The web server's private key is used to prove the identity of the server to clients and securely exchange the shared secret key used to encrypt communications between the web server and clients.</t>
    </r>
    <r>
      <rPr>
        <sz val="11"/>
        <color rgb="FF000000"/>
        <rFont val="Calibri"/>
      </rPr>
      <t xml:space="preserve">
</t>
    </r>
    <r>
      <rPr>
        <sz val="11"/>
        <color rgb="FF000000"/>
        <rFont val="Calibri"/>
      </rPr>
      <t>By gaining access to the private key, an attacker can pretend to be an authorized server and decrypt the SSL traffic between a client and the web server.</t>
    </r>
    <r>
      <rPr>
        <sz val="11"/>
        <color rgb="FF000000"/>
        <rFont val="Calibri"/>
      </rPr>
      <t xml:space="preserve">
</t>
    </r>
    <r>
      <rPr>
        <sz val="11"/>
        <color rgb="FF000000"/>
        <rFont val="Calibri"/>
      </rPr>
      <t>As a Tomcat derivative tc Server is designed to store the server's private key in a keystore file. An important vROps keystore file is “tcserver.truststore”, and this file must be protected to only allow system administrators and other authorized users to have access to it.</t>
    </r>
  </si>
  <si>
    <r>
      <rPr>
        <sz val="11"/>
        <color rgb="FF000000"/>
        <rFont val="Calibri"/>
      </rPr>
      <t>At the command prompt, execute the following command:</t>
    </r>
    <r>
      <rPr>
        <sz val="11"/>
        <color rgb="FF000000"/>
        <rFont val="Calibri"/>
      </rPr>
      <t xml:space="preserve">
</t>
    </r>
    <r>
      <rPr>
        <sz val="11"/>
        <color rgb="FF000000"/>
        <rFont val="Calibri"/>
      </rPr>
      <t>ls -al /storage/vcops/user/conf/ssl/tcserver.truststore</t>
    </r>
    <r>
      <rPr>
        <sz val="11"/>
        <color rgb="FF000000"/>
        <rFont val="Calibri"/>
      </rPr>
      <t xml:space="preserve">
</t>
    </r>
    <r>
      <rPr>
        <sz val="11"/>
        <color rgb="FF000000"/>
        <rFont val="Calibri"/>
      </rPr>
      <t xml:space="preserve">Verify that file permissions are set to “640” or more restrictive. </t>
    </r>
    <r>
      <rPr>
        <sz val="11"/>
        <color rgb="FF000000"/>
        <rFont val="Calibri"/>
      </rPr>
      <t xml:space="preserve">
</t>
    </r>
    <r>
      <rPr>
        <sz val="11"/>
        <color rgb="FF000000"/>
        <rFont val="Calibri"/>
      </rPr>
      <t>Verify that the owner and group-owner are set to admin. If either of these conditions are not met, this is a finding.</t>
    </r>
  </si>
  <si>
    <t>V-88955</t>
  </si>
  <si>
    <r>
      <rPr>
        <sz val="11"/>
        <rFont val="Calibri"/>
      </rPr>
      <t>tc Server UI must use cryptographic modules that meet the requirements of applicable federal laws, Executive Orders, directives, policies, regulations, standards, and guidance when authenticating users and processes.</t>
    </r>
  </si>
  <si>
    <r>
      <rPr>
        <sz val="11"/>
        <color rgb="FF000000"/>
        <rFont val="Calibri"/>
      </rPr>
      <t>Encryption is only as good as the encryption modules utilized. Unapproved cryptographic module algorithms cannot be verified and cannot be relied upon to provide confidentiality or integrity, and DoD data may be compromised due to weak algorithms.</t>
    </r>
    <r>
      <rPr>
        <sz val="11"/>
        <color rgb="FF000000"/>
        <rFont val="Calibri"/>
      </rPr>
      <t xml:space="preserve">
</t>
    </r>
    <r>
      <rPr>
        <sz val="11"/>
        <color rgb="FF000000"/>
        <rFont val="Calibri"/>
      </rPr>
      <t xml:space="preserve">FIPS 140-2 is the current standard for validating cryptographic modules and NSA Type-X (where X=1, 2, 3, 4) products are NSA-certified, hardware-based encryption modules. </t>
    </r>
    <r>
      <rPr>
        <sz val="11"/>
        <color rgb="FF000000"/>
        <rFont val="Calibri"/>
      </rPr>
      <t xml:space="preserve">
</t>
    </r>
    <r>
      <rPr>
        <sz val="11"/>
        <color rgb="FF000000"/>
        <rFont val="Calibri"/>
      </rPr>
      <t>vROps relies upon the OpenSSL suite of encryption libraries. A special carefully defined software component called the OpenSSL FIPS Object Module has been created from the OpenSSL libraries to provide FIPS 140-2 validated encryption. This Module was designed for compatibility with OpenSSL so that products using the OpenSSL API can be converted to use validated cryptography with minimal effort.</t>
    </r>
  </si>
  <si>
    <t>V-88957</t>
  </si>
  <si>
    <r>
      <rPr>
        <sz val="11"/>
        <rFont val="Calibri"/>
      </rPr>
      <t>tc Server CaSa must use cryptographic modules that meet the requirements of applicable federal laws, Executive Orders, directives, policies, regulations, standards, and guidance when authenticating users and processes.</t>
    </r>
  </si>
  <si>
    <r>
      <rPr>
        <sz val="11"/>
        <color rgb="FF000000"/>
        <rFont val="Calibri"/>
      </rPr>
      <t>Encryption is only as good as the encryption modules utilized. Unapproved cryptographic module algorithms cannot be verified and cannot be relied upon to provide confidentiality or integrity, and DoD data may be compromised due to weak algorithms.</t>
    </r>
    <r>
      <rPr>
        <sz val="11"/>
        <color rgb="FF000000"/>
        <rFont val="Calibri"/>
      </rPr>
      <t xml:space="preserve">
</t>
    </r>
    <r>
      <rPr>
        <sz val="11"/>
        <color rgb="FF000000"/>
        <rFont val="Calibri"/>
      </rPr>
      <t>FIPS 140-2 is the current standard for validating cryptographic modules and NSA Type-X (where X=1, 2, 3, 4) products are NSA-certified, hardware-based encryption modules.</t>
    </r>
    <r>
      <rPr>
        <sz val="11"/>
        <color rgb="FF000000"/>
        <rFont val="Calibri"/>
      </rPr>
      <t xml:space="preserve">
</t>
    </r>
    <r>
      <rPr>
        <sz val="11"/>
        <color rgb="FF000000"/>
        <rFont val="Calibri"/>
      </rPr>
      <t>vROps relies upon the OpenSSL suite of encryption libraries. A special carefully defined software component called the OpenSSL FIPS Object Module has been created from the OpenSSL libraries to provide FIPS 140-2 validated encryption. This Module was designed for compatibility with OpenSSL so that products using the OpenSSL API can be converted to use validated cryptography with minimal effort.</t>
    </r>
  </si>
  <si>
    <t>V-88959</t>
  </si>
  <si>
    <r>
      <rPr>
        <sz val="11"/>
        <rFont val="Calibri"/>
      </rPr>
      <t>tc Server API must use cryptographic modules that meet the requirements of applicable federal laws, Executive Orders, directives, policies, regulations, standards, and guidance when authenticating users and processes.</t>
    </r>
  </si>
  <si>
    <t>V-88961</t>
  </si>
  <si>
    <r>
      <rPr>
        <sz val="11"/>
        <rFont val="Calibri"/>
      </rPr>
      <t>tc Server UI accounts accessing the directory tree, the shell, or other operating system functions and utilities must be administrative accounts.</t>
    </r>
  </si>
  <si>
    <r>
      <rPr>
        <sz val="11"/>
        <color rgb="FF000000"/>
        <rFont val="Calibri"/>
      </rPr>
      <t>At the command prompt, execute the following command:</t>
    </r>
    <r>
      <rPr>
        <sz val="11"/>
        <color rgb="FF000000"/>
        <rFont val="Calibri"/>
      </rPr>
      <t xml:space="preserve">
</t>
    </r>
    <r>
      <rPr>
        <sz val="11"/>
        <color rgb="FF000000"/>
        <rFont val="Calibri"/>
      </rPr>
      <t>Note: Replace &lt;file_name&gt; for the name of the file that was returned.</t>
    </r>
    <r>
      <rPr>
        <sz val="11"/>
        <color rgb="FF000000"/>
        <rFont val="Calibri"/>
      </rPr>
      <t xml:space="preserve">
</t>
    </r>
    <r>
      <rPr>
        <sz val="11"/>
        <color rgb="FF000000"/>
        <rFont val="Calibri"/>
      </rPr>
      <t>chown admin:admin &lt;file_name&gt;</t>
    </r>
    <r>
      <rPr>
        <sz val="11"/>
        <color rgb="FF000000"/>
        <rFont val="Calibri"/>
      </rPr>
      <t xml:space="preserve">
</t>
    </r>
    <r>
      <rPr>
        <sz val="11"/>
        <color rgb="FF000000"/>
        <rFont val="Calibri"/>
      </rPr>
      <t>Repeat the command for each file that was returned.</t>
    </r>
  </si>
  <si>
    <r>
      <rPr>
        <sz val="11"/>
        <color rgb="FF000000"/>
        <rFont val="Calibri"/>
      </rPr>
      <t>As a rule, accounts on a web server are to be kept to a minimum. Only administrators, web managers, developers, auditors, and web authors require accounts on the machine hosting the web server. The resources to which these accounts have access must also be closely monitored and controlled. Only the system administrator needs access to all the system's capabilities, while the web administrator and associated staff require access and control of the web content and web server configuration files.</t>
    </r>
    <r>
      <rPr>
        <sz val="11"/>
        <color rgb="FF000000"/>
        <rFont val="Calibri"/>
      </rPr>
      <t xml:space="preserve">
</t>
    </r>
    <r>
      <rPr>
        <sz val="11"/>
        <color rgb="FF000000"/>
        <rFont val="Calibri"/>
      </rPr>
      <t>As with all secure web server installations, tc Server files and directories must be adequately protected with correct permissions.</t>
    </r>
  </si>
  <si>
    <r>
      <rPr>
        <sz val="11"/>
        <color rgb="FF000000"/>
        <rFont val="Calibri"/>
      </rPr>
      <t>At the command prompt, execute the following commands:</t>
    </r>
    <r>
      <rPr>
        <sz val="11"/>
        <color rgb="FF000000"/>
        <rFont val="Calibri"/>
      </rPr>
      <t xml:space="preserve">
</t>
    </r>
    <r>
      <rPr>
        <sz val="11"/>
        <color rgb="FF000000"/>
        <rFont val="Calibri"/>
      </rPr>
      <t>cd /usr/lib/vmware-vcops/tomcat-web-app</t>
    </r>
    <r>
      <rPr>
        <sz val="11"/>
        <color rgb="FF000000"/>
        <rFont val="Calibri"/>
      </rPr>
      <t xml:space="preserve">
</t>
    </r>
    <r>
      <rPr>
        <sz val="11"/>
        <color rgb="FF000000"/>
        <rFont val="Calibri"/>
      </rPr>
      <t>ls -alR bin lib conf | grep -E '^-' | awk '$3 !~ /admin/ {print}'</t>
    </r>
    <r>
      <rPr>
        <sz val="11"/>
        <color rgb="FF000000"/>
        <rFont val="Calibri"/>
      </rPr>
      <t xml:space="preserve">
</t>
    </r>
    <r>
      <rPr>
        <sz val="11"/>
        <color rgb="FF000000"/>
        <rFont val="Calibri"/>
      </rPr>
      <t>If the command produces any output, this is a finding.</t>
    </r>
  </si>
  <si>
    <t>V-88963</t>
  </si>
  <si>
    <r>
      <rPr>
        <sz val="11"/>
        <rFont val="Calibri"/>
      </rPr>
      <t>tc Server CaSa accounts accessing the directory tree, the shell, or other operating system functions and utilities must be administrative accounts.</t>
    </r>
  </si>
  <si>
    <r>
      <rPr>
        <sz val="11"/>
        <color rgb="FF000000"/>
        <rFont val="Calibri"/>
      </rPr>
      <t>At the command prompt, execute the following commands:</t>
    </r>
    <r>
      <rPr>
        <sz val="11"/>
        <color rgb="FF000000"/>
        <rFont val="Calibri"/>
      </rPr>
      <t xml:space="preserve">
</t>
    </r>
    <r>
      <rPr>
        <sz val="11"/>
        <color rgb="FF000000"/>
        <rFont val="Calibri"/>
      </rPr>
      <t>cd /usr/lib/vmware-casa/casa-webapp</t>
    </r>
    <r>
      <rPr>
        <sz val="11"/>
        <color rgb="FF000000"/>
        <rFont val="Calibri"/>
      </rPr>
      <t xml:space="preserve">
</t>
    </r>
    <r>
      <rPr>
        <sz val="11"/>
        <color rgb="FF000000"/>
        <rFont val="Calibri"/>
      </rPr>
      <t>ls -alR bin lib conf | grep -E '^-' | awk '$3 !~ /admin/ {print}'</t>
    </r>
    <r>
      <rPr>
        <sz val="11"/>
        <color rgb="FF000000"/>
        <rFont val="Calibri"/>
      </rPr>
      <t xml:space="preserve">
</t>
    </r>
    <r>
      <rPr>
        <sz val="11"/>
        <color rgb="FF000000"/>
        <rFont val="Calibri"/>
      </rPr>
      <t>If the command produces any output, this is a finding.</t>
    </r>
  </si>
  <si>
    <t>V-88965</t>
  </si>
  <si>
    <r>
      <rPr>
        <sz val="11"/>
        <rFont val="Calibri"/>
      </rPr>
      <t>tc Server API accounts accessing the directory tree, the shell, or other operating system functions and utilities must be administrative accounts.</t>
    </r>
  </si>
  <si>
    <r>
      <rPr>
        <sz val="11"/>
        <color rgb="FF000000"/>
        <rFont val="Calibri"/>
      </rPr>
      <t>Find any files that are not owned by admin or not group owned by admin, execute the following command:</t>
    </r>
    <r>
      <rPr>
        <sz val="11"/>
        <color rgb="FF000000"/>
        <rFont val="Calibri"/>
      </rPr>
      <t xml:space="preserve">
</t>
    </r>
    <r>
      <rPr>
        <sz val="11"/>
        <color rgb="FF000000"/>
        <rFont val="Calibri"/>
      </rPr>
      <t>cd /usr/lib/vmware-vcops/tomcat-enterprise</t>
    </r>
    <r>
      <rPr>
        <sz val="11"/>
        <color rgb="FF000000"/>
        <rFont val="Calibri"/>
      </rPr>
      <t xml:space="preserve">
</t>
    </r>
    <r>
      <rPr>
        <sz val="11"/>
        <color rgb="FF000000"/>
        <rFont val="Calibri"/>
      </rPr>
      <t>ls -alR bin conf | grep -E '^-' | awk '$3 !~ /admin/ {print}'</t>
    </r>
    <r>
      <rPr>
        <sz val="11"/>
        <color rgb="FF000000"/>
        <rFont val="Calibri"/>
      </rPr>
      <t xml:space="preserve">
</t>
    </r>
    <r>
      <rPr>
        <sz val="11"/>
        <color rgb="FF000000"/>
        <rFont val="Calibri"/>
      </rPr>
      <t>If the command produces any output, this is a finding.</t>
    </r>
  </si>
  <si>
    <t>V-88967</t>
  </si>
  <si>
    <r>
      <rPr>
        <sz val="11"/>
        <rFont val="Calibri"/>
      </rPr>
      <t>tc Server UI web server application directories must not be accessible to anonymous user.</t>
    </r>
  </si>
  <si>
    <r>
      <rPr>
        <sz val="11"/>
        <color rgb="FF000000"/>
        <rFont val="Calibri"/>
      </rPr>
      <t>At the command prompt, execute the following command:</t>
    </r>
    <r>
      <rPr>
        <sz val="11"/>
        <color rgb="FF000000"/>
        <rFont val="Calibri"/>
      </rPr>
      <t xml:space="preserve">
</t>
    </r>
    <r>
      <rPr>
        <sz val="11"/>
        <color rgb="FF000000"/>
        <rFont val="Calibri"/>
      </rPr>
      <t>Note: Replace &lt;file_name&gt; for the name of the file that was returned.</t>
    </r>
    <r>
      <rPr>
        <sz val="11"/>
        <color rgb="FF000000"/>
        <rFont val="Calibri"/>
      </rPr>
      <t xml:space="preserve">
</t>
    </r>
    <r>
      <rPr>
        <sz val="11"/>
        <color rgb="FF000000"/>
        <rFont val="Calibri"/>
      </rPr>
      <t>If the file was found in /bin or /lib, execute the following command:</t>
    </r>
    <r>
      <rPr>
        <sz val="11"/>
        <color rgb="FF000000"/>
        <rFont val="Calibri"/>
      </rPr>
      <t xml:space="preserve">
</t>
    </r>
    <r>
      <rPr>
        <sz val="11"/>
        <color rgb="FF000000"/>
        <rFont val="Calibri"/>
      </rPr>
      <t>chmod 700 &lt;file_name&gt;</t>
    </r>
    <r>
      <rPr>
        <sz val="11"/>
        <color rgb="FF000000"/>
        <rFont val="Calibri"/>
      </rPr>
      <t xml:space="preserve">
</t>
    </r>
    <r>
      <rPr>
        <sz val="11"/>
        <color rgb="FF000000"/>
        <rFont val="Calibri"/>
      </rPr>
      <t>If the file was found in /conf, execute the following command:</t>
    </r>
    <r>
      <rPr>
        <sz val="11"/>
        <color rgb="FF000000"/>
        <rFont val="Calibri"/>
      </rPr>
      <t xml:space="preserve">
</t>
    </r>
    <r>
      <rPr>
        <sz val="11"/>
        <color rgb="FF000000"/>
        <rFont val="Calibri"/>
      </rPr>
      <t>chmod 600 &lt;file_name&gt;</t>
    </r>
    <r>
      <rPr>
        <sz val="11"/>
        <color rgb="FF000000"/>
        <rFont val="Calibri"/>
      </rPr>
      <t xml:space="preserve">
</t>
    </r>
    <r>
      <rPr>
        <sz val="11"/>
        <color rgb="FF000000"/>
        <rFont val="Calibri"/>
      </rPr>
      <t>Repeat the command for each file that was returned.</t>
    </r>
  </si>
  <si>
    <r>
      <rPr>
        <sz val="11"/>
        <color rgb="FF000000"/>
        <rFont val="Calibri"/>
      </rPr>
      <t>In order to properly monitor the changes to the web server and the hosted applications, logging must be enabled. Along with logging being enabled, each record must properly contain the changes made and the names of those who made the changes.</t>
    </r>
    <r>
      <rPr>
        <sz val="11"/>
        <color rgb="FF000000"/>
        <rFont val="Calibri"/>
      </rPr>
      <t xml:space="preserve">
</t>
    </r>
    <r>
      <rPr>
        <sz val="11"/>
        <color rgb="FF000000"/>
        <rFont val="Calibri"/>
      </rPr>
      <t>Allowing anonymous users the capability to change the web server or the hosted application will not generate proper log information that can then be used for forensic reporting in the case of a security issue. Allowing anonymous users to make changes will also grant change capabilities to anybody without forcing a user to authenticate before the changes can be made.</t>
    </r>
  </si>
  <si>
    <r>
      <rPr>
        <sz val="11"/>
        <color rgb="FF000000"/>
        <rFont val="Calibri"/>
      </rPr>
      <t>At the command prompt, execute the following commands:</t>
    </r>
    <r>
      <rPr>
        <sz val="11"/>
        <color rgb="FF000000"/>
        <rFont val="Calibri"/>
      </rPr>
      <t xml:space="preserve">
</t>
    </r>
    <r>
      <rPr>
        <sz val="11"/>
        <color rgb="FF000000"/>
        <rFont val="Calibri"/>
      </rPr>
      <t>cd /usr/lib/vmware-vcops/tomcat-web-app</t>
    </r>
    <r>
      <rPr>
        <sz val="11"/>
        <color rgb="FF000000"/>
        <rFont val="Calibri"/>
      </rPr>
      <t xml:space="preserve">
</t>
    </r>
    <r>
      <rPr>
        <sz val="11"/>
        <color rgb="FF000000"/>
        <rFont val="Calibri"/>
      </rPr>
      <t>ls -alR bin lib conf | grep -E '^-' | awk '$1 !~ /---$/ {print}'</t>
    </r>
    <r>
      <rPr>
        <sz val="11"/>
        <color rgb="FF000000"/>
        <rFont val="Calibri"/>
      </rPr>
      <t xml:space="preserve">
</t>
    </r>
    <r>
      <rPr>
        <sz val="11"/>
        <color rgb="FF000000"/>
        <rFont val="Calibri"/>
      </rPr>
      <t>If the command produces any output, this is a finding.</t>
    </r>
  </si>
  <si>
    <t>V-88969</t>
  </si>
  <si>
    <r>
      <rPr>
        <sz val="11"/>
        <rFont val="Calibri"/>
      </rPr>
      <t>tc Server CaSa web server application directories must not be accessible to anonymous user.</t>
    </r>
  </si>
  <si>
    <r>
      <rPr>
        <sz val="11"/>
        <color rgb="FF000000"/>
        <rFont val="Calibri"/>
      </rPr>
      <t>At the command prompt, execute the following commands:</t>
    </r>
    <r>
      <rPr>
        <sz val="11"/>
        <color rgb="FF000000"/>
        <rFont val="Calibri"/>
      </rPr>
      <t xml:space="preserve">
</t>
    </r>
    <r>
      <rPr>
        <sz val="11"/>
        <color rgb="FF000000"/>
        <rFont val="Calibri"/>
      </rPr>
      <t>cd /usr/lib/vmware-casa/casa-webapp</t>
    </r>
    <r>
      <rPr>
        <sz val="11"/>
        <color rgb="FF000000"/>
        <rFont val="Calibri"/>
      </rPr>
      <t xml:space="preserve">
</t>
    </r>
    <r>
      <rPr>
        <sz val="11"/>
        <color rgb="FF000000"/>
        <rFont val="Calibri"/>
      </rPr>
      <t>ls -alR bin lib conf | grep -E '^-' | awk '$1 !~ /---$/ {print}'</t>
    </r>
    <r>
      <rPr>
        <sz val="11"/>
        <color rgb="FF000000"/>
        <rFont val="Calibri"/>
      </rPr>
      <t xml:space="preserve">
</t>
    </r>
    <r>
      <rPr>
        <sz val="11"/>
        <color rgb="FF000000"/>
        <rFont val="Calibri"/>
      </rPr>
      <t>If the command produces any output, this is a finding.</t>
    </r>
  </si>
  <si>
    <t>V-88971</t>
  </si>
  <si>
    <r>
      <rPr>
        <sz val="11"/>
        <rFont val="Calibri"/>
      </rPr>
      <t>tc Server API web server application directories must not be accessible to anonymous user.</t>
    </r>
  </si>
  <si>
    <r>
      <rPr>
        <sz val="11"/>
        <color rgb="FF000000"/>
        <rFont val="Calibri"/>
      </rPr>
      <t>At the command prompt, execute the following commands:</t>
    </r>
    <r>
      <rPr>
        <sz val="11"/>
        <color rgb="FF000000"/>
        <rFont val="Calibri"/>
      </rPr>
      <t xml:space="preserve">
</t>
    </r>
    <r>
      <rPr>
        <sz val="11"/>
        <color rgb="FF000000"/>
        <rFont val="Calibri"/>
      </rPr>
      <t>find /usr/lib/vmware-vcops/tomcat-enterprise/conf -type f -exec chmod o=--- {} \;</t>
    </r>
    <r>
      <rPr>
        <sz val="11"/>
        <color rgb="FF000000"/>
        <rFont val="Calibri"/>
      </rPr>
      <t xml:space="preserve">
</t>
    </r>
    <r>
      <rPr>
        <sz val="11"/>
        <color rgb="FF000000"/>
        <rFont val="Calibri"/>
      </rPr>
      <t>find /usr/lib/vmware-vcops/tomcat-enterprise/bin -type f -exec chmod o=--- {} \;</t>
    </r>
  </si>
  <si>
    <r>
      <rPr>
        <sz val="11"/>
        <color rgb="FF000000"/>
        <rFont val="Calibri"/>
      </rPr>
      <t>At the command prompt, find any world accessible files by executing the following commands:</t>
    </r>
    <r>
      <rPr>
        <sz val="11"/>
        <color rgb="FF000000"/>
        <rFont val="Calibri"/>
      </rPr>
      <t xml:space="preserve">
</t>
    </r>
    <r>
      <rPr>
        <sz val="11"/>
        <color rgb="FF000000"/>
        <rFont val="Calibri"/>
      </rPr>
      <t>ls -alR /usr/lib/vmware-vcops/tomcat-enterprise/bin /usr/lib/vmware-vcops/tomcat-enterprise/conf | grep -E '^-' | awk '$1 !~ /---$/ {print}'</t>
    </r>
    <r>
      <rPr>
        <sz val="11"/>
        <color rgb="FF000000"/>
        <rFont val="Calibri"/>
      </rPr>
      <t xml:space="preserve">
</t>
    </r>
    <r>
      <rPr>
        <sz val="11"/>
        <color rgb="FF000000"/>
        <rFont val="Calibri"/>
      </rPr>
      <t>If the command produces any output, this is a finding.</t>
    </r>
  </si>
  <si>
    <t>V-88973</t>
  </si>
  <si>
    <r>
      <rPr>
        <sz val="11"/>
        <rFont val="Calibri"/>
      </rPr>
      <t>tc Server ALL baseline must be documented and maintained.</t>
    </r>
  </si>
  <si>
    <r>
      <rPr>
        <sz val="11"/>
        <color rgb="FF000000"/>
        <rFont val="Calibri"/>
      </rPr>
      <t>Develop baseline documentation of the tc Server codebase and ensure the tc Server baseline is configured properly.</t>
    </r>
  </si>
  <si>
    <r>
      <rPr>
        <sz val="11"/>
        <color rgb="FF000000"/>
        <rFont val="Calibri"/>
      </rPr>
      <t>Making certain that the web server has not been updated by an unauthorized user is always a concern. Adding patches, functions, and modules that are untested and not part of the baseline opens the possibility for security risks. The web server must offer, and not hinder, a method that allows for the quick and easy reinstallation of a verified and patched baseline to guarantee the production web server is up-to-date and has not been modified to add functionality or expose security risks.</t>
    </r>
    <r>
      <rPr>
        <sz val="11"/>
        <color rgb="FF000000"/>
        <rFont val="Calibri"/>
      </rPr>
      <t xml:space="preserve">
</t>
    </r>
    <r>
      <rPr>
        <sz val="11"/>
        <color rgb="FF000000"/>
        <rFont val="Calibri"/>
      </rPr>
      <t>Because tc Server is installed as part of the entire vROps application, and not installed separately, VMware has ensured that all updates, upgrades, and patches have been thoroughly tested before becoming part of the production build process.</t>
    </r>
  </si>
  <si>
    <r>
      <rPr>
        <sz val="11"/>
        <color rgb="FF000000"/>
        <rFont val="Calibri"/>
      </rPr>
      <t>Obtain supporting documentation from the ISSO.</t>
    </r>
    <r>
      <rPr>
        <sz val="11"/>
        <color rgb="FF000000"/>
        <rFont val="Calibri"/>
      </rPr>
      <t xml:space="preserve">
</t>
    </r>
    <r>
      <rPr>
        <sz val="11"/>
        <color rgb="FF000000"/>
        <rFont val="Calibri"/>
      </rPr>
      <t>Review the web server documentation and deployed configuration to determine if the tc Server code baseline is documented and maintained.</t>
    </r>
    <r>
      <rPr>
        <sz val="11"/>
        <color rgb="FF000000"/>
        <rFont val="Calibri"/>
      </rPr>
      <t xml:space="preserve">
</t>
    </r>
    <r>
      <rPr>
        <sz val="11"/>
        <color rgb="FF000000"/>
        <rFont val="Calibri"/>
      </rPr>
      <t>If the tc Server code baseline is not documented and maintained, this is a finding.</t>
    </r>
  </si>
  <si>
    <t>V-88975</t>
  </si>
  <si>
    <r>
      <rPr>
        <sz val="11"/>
        <rFont val="Calibri"/>
      </rPr>
      <t>tc Server UI must be built to fail to a known safe state if system initialization fails, shutdown fails, or aborts fail.</t>
    </r>
  </si>
  <si>
    <r>
      <rPr>
        <sz val="11"/>
        <color rgb="FF000000"/>
        <rFont val="Calibri"/>
      </rPr>
      <t>Navigate to and open /usr/lib/vmware-vcops/tomcat-web-app/conf/catalina.properties.</t>
    </r>
    <r>
      <rPr>
        <sz val="11"/>
        <color rgb="FF000000"/>
        <rFont val="Calibri"/>
      </rPr>
      <t xml:space="preserve">
</t>
    </r>
    <r>
      <rPr>
        <sz val="11"/>
        <color rgb="FF000000"/>
        <rFont val="Calibri"/>
      </rPr>
      <t>Configure the setting “org.apache.catalina.startup.EXIT_ON_INIT_FAILURE” with the value “true”.</t>
    </r>
    <r>
      <rPr>
        <sz val="11"/>
        <color rgb="FF000000"/>
        <rFont val="Calibri"/>
      </rPr>
      <t xml:space="preserve">
</t>
    </r>
    <r>
      <rPr>
        <sz val="11"/>
        <color rgb="FF000000"/>
        <rFont val="Calibri"/>
      </rPr>
      <t>Note: The word “true” should not be surrounded with quotation marks.</t>
    </r>
  </si>
  <si>
    <r>
      <rPr>
        <sz val="11"/>
        <color rgb="FF000000"/>
        <rFont val="Calibri"/>
      </rPr>
      <t>Determining a safe state for failure and weighing that against a potential DoS for users depends on what type of application the web server is hosting. For an application presenting publicly available information that is not critical, a safe state for failure might be to shut down for any type of failure; but for an application that presents critical and timely information, a shutdown might not be the best state for all failures.</t>
    </r>
    <r>
      <rPr>
        <sz val="11"/>
        <color rgb="FF000000"/>
        <rFont val="Calibri"/>
      </rPr>
      <t xml:space="preserve">
</t>
    </r>
    <r>
      <rPr>
        <sz val="11"/>
        <color rgb="FF000000"/>
        <rFont val="Calibri"/>
      </rPr>
      <t>Performing a proper risk analysis of the hosted applications and configuring the web server according to what actions to take for each failure condition will provide a known fail safe state for the web server.  The VMware engineering process includes regression testing of new and modified components before they become part of the production build process.</t>
    </r>
  </si>
  <si>
    <r>
      <rPr>
        <sz val="11"/>
        <color rgb="FF000000"/>
        <rFont val="Calibri"/>
      </rPr>
      <t>At the command line, execute the following command:</t>
    </r>
    <r>
      <rPr>
        <sz val="11"/>
        <color rgb="FF000000"/>
        <rFont val="Calibri"/>
      </rPr>
      <t xml:space="preserve">
</t>
    </r>
    <r>
      <rPr>
        <sz val="11"/>
        <color rgb="FF000000"/>
        <rFont val="Calibri"/>
      </rPr>
      <t>grep EXIT_ON_INIT_FAILURE /usr/lib/vmware-vcops/tomcat-web-app/conf/catalina.properties</t>
    </r>
    <r>
      <rPr>
        <sz val="11"/>
        <color rgb="FF000000"/>
        <rFont val="Calibri"/>
      </rPr>
      <t xml:space="preserve">
</t>
    </r>
    <r>
      <rPr>
        <sz val="11"/>
        <color rgb="FF000000"/>
        <rFont val="Calibri"/>
      </rPr>
      <t>If the “org.apache.catalina.startup.EXIT_ON_INIT_FAILURE” setting is not set to "true" or is missing, this is a finding.</t>
    </r>
  </si>
  <si>
    <t>V-88977</t>
  </si>
  <si>
    <r>
      <rPr>
        <sz val="11"/>
        <rFont val="Calibri"/>
      </rPr>
      <t>tc Server CaSa must be built to fail to a known safe state if system initialization fails, shutdown fails, or aborts fail.</t>
    </r>
  </si>
  <si>
    <r>
      <rPr>
        <sz val="11"/>
        <color rgb="FF000000"/>
        <rFont val="Calibri"/>
      </rPr>
      <t>Navigate to and open /usr/lib/vmware-casa/casa-webapp/conf/catalina.properties.</t>
    </r>
    <r>
      <rPr>
        <sz val="11"/>
        <color rgb="FF000000"/>
        <rFont val="Calibri"/>
      </rPr>
      <t xml:space="preserve">
</t>
    </r>
    <r>
      <rPr>
        <sz val="11"/>
        <color rgb="FF000000"/>
        <rFont val="Calibri"/>
      </rPr>
      <t>Configure the setting “org.apache.catalina.startup.EXIT_ON_INIT_FAILURE” with the value “true”.</t>
    </r>
    <r>
      <rPr>
        <sz val="11"/>
        <color rgb="FF000000"/>
        <rFont val="Calibri"/>
      </rPr>
      <t xml:space="preserve">
</t>
    </r>
    <r>
      <rPr>
        <sz val="11"/>
        <color rgb="FF000000"/>
        <rFont val="Calibri"/>
      </rPr>
      <t>Note: The word “true” should not be surrounded with quotation marks.</t>
    </r>
  </si>
  <si>
    <r>
      <rPr>
        <sz val="11"/>
        <color rgb="FF000000"/>
        <rFont val="Calibri"/>
      </rPr>
      <t>Determining a safe state for failure and weighing that against a potential DoS for users depends on what type of application the web server is hosting. For an application presenting publicly available information that is not critical, a safe state for failure might be to shut down for any type of failure; but for an application that presents critical and timely information, a shutdown might not be the best state for all failures.</t>
    </r>
    <r>
      <rPr>
        <sz val="11"/>
        <color rgb="FF000000"/>
        <rFont val="Calibri"/>
      </rPr>
      <t xml:space="preserve">
</t>
    </r>
    <r>
      <rPr>
        <sz val="11"/>
        <color rgb="FF000000"/>
        <rFont val="Calibri"/>
      </rPr>
      <t>Performing a proper risk analysis of the hosted applications and configuring the web server according to what actions to take for each failure condition will provide a known fail safe state for the web server. The VMware engineering process includes regression testing of new and modified components before they become part of the production build process.</t>
    </r>
  </si>
  <si>
    <r>
      <rPr>
        <sz val="11"/>
        <color rgb="FF000000"/>
        <rFont val="Calibri"/>
      </rPr>
      <t>At the command line, execute the following command:</t>
    </r>
    <r>
      <rPr>
        <sz val="11"/>
        <color rgb="FF000000"/>
        <rFont val="Calibri"/>
      </rPr>
      <t xml:space="preserve">
</t>
    </r>
    <r>
      <rPr>
        <sz val="11"/>
        <color rgb="FF000000"/>
        <rFont val="Calibri"/>
      </rPr>
      <t>grep EXIT_ON_INIT_FAILURE /usr/lib/vmware-casa/casa-webapp/conf/catalina.properties</t>
    </r>
    <r>
      <rPr>
        <sz val="11"/>
        <color rgb="FF000000"/>
        <rFont val="Calibri"/>
      </rPr>
      <t xml:space="preserve">
</t>
    </r>
    <r>
      <rPr>
        <sz val="11"/>
        <color rgb="FF000000"/>
        <rFont val="Calibri"/>
      </rPr>
      <t>If the “org.apache.catalina.startup.EXIT_ON_INIT_FAILURE” setting is not set to "true" or is missing, this is a finding.</t>
    </r>
  </si>
  <si>
    <t>V-88979</t>
  </si>
  <si>
    <r>
      <rPr>
        <sz val="11"/>
        <rFont val="Calibri"/>
      </rPr>
      <t>tc Server API must be built to fail to a known safe state if system initialization fails, shutdown fails, or aborts fail.</t>
    </r>
  </si>
  <si>
    <r>
      <rPr>
        <sz val="11"/>
        <color rgb="FF000000"/>
        <rFont val="Calibri"/>
      </rPr>
      <t>Navigate to and open /usr/lib/vmware-vcops/tomcat-enterprise/conf/catalina.properties.</t>
    </r>
    <r>
      <rPr>
        <sz val="11"/>
        <color rgb="FF000000"/>
        <rFont val="Calibri"/>
      </rPr>
      <t xml:space="preserve">
</t>
    </r>
    <r>
      <rPr>
        <sz val="11"/>
        <color rgb="FF000000"/>
        <rFont val="Calibri"/>
      </rPr>
      <t>Configure the setting “org.apache.catalina.startup.EXIT_ON_INIT_FAILURE” with the value “true”.</t>
    </r>
    <r>
      <rPr>
        <sz val="11"/>
        <color rgb="FF000000"/>
        <rFont val="Calibri"/>
      </rPr>
      <t xml:space="preserve">
</t>
    </r>
    <r>
      <rPr>
        <sz val="11"/>
        <color rgb="FF000000"/>
        <rFont val="Calibri"/>
      </rPr>
      <t>Note: The word “true” should not be surrounded with quotation marks.</t>
    </r>
  </si>
  <si>
    <r>
      <rPr>
        <sz val="11"/>
        <color rgb="FF000000"/>
        <rFont val="Calibri"/>
      </rPr>
      <t xml:space="preserve">Determining a safe state for failure and weighing that against a potential DoS for users depends on what type of application the web server is hosting. For an application presenting publicly available information that is not critical, a safe state for failure might be to shut down for any type of failure; but for an application that presents critical and timely information, a shutdown might not be the best state for all failures. </t>
    </r>
    <r>
      <rPr>
        <sz val="11"/>
        <color rgb="FF000000"/>
        <rFont val="Calibri"/>
      </rPr>
      <t xml:space="preserve">
</t>
    </r>
    <r>
      <rPr>
        <sz val="11"/>
        <color rgb="FF000000"/>
        <rFont val="Calibri"/>
      </rPr>
      <t>Performing a proper risk analysis of the hosted applications and configuring the web server according to what actions to take for each failure condition will provide a known fail safe state for the web server. The VMware engineering process includes regression testing of new and modified components before they become part of the production build process.</t>
    </r>
  </si>
  <si>
    <r>
      <rPr>
        <sz val="11"/>
        <color rgb="FF000000"/>
        <rFont val="Calibri"/>
      </rPr>
      <t>At the command line, execute the following command:</t>
    </r>
    <r>
      <rPr>
        <sz val="11"/>
        <color rgb="FF000000"/>
        <rFont val="Calibri"/>
      </rPr>
      <t xml:space="preserve">
</t>
    </r>
    <r>
      <rPr>
        <sz val="11"/>
        <color rgb="FF000000"/>
        <rFont val="Calibri"/>
      </rPr>
      <t>grep EXIT_ON_INIT_FAILURE /usr/lib/vmware-vcops/tomcat-enterprise/conf/catalina.properties</t>
    </r>
    <r>
      <rPr>
        <sz val="11"/>
        <color rgb="FF000000"/>
        <rFont val="Calibri"/>
      </rPr>
      <t xml:space="preserve">
</t>
    </r>
    <r>
      <rPr>
        <sz val="11"/>
        <color rgb="FF000000"/>
        <rFont val="Calibri"/>
      </rPr>
      <t>If the “org.apache.catalina.startup.EXIT_ON_INIT_FAILURE” setting is not set to "true" or is missing, this is a finding.</t>
    </r>
  </si>
  <si>
    <t>V-88981</t>
  </si>
  <si>
    <r>
      <rPr>
        <sz val="11"/>
        <rFont val="Calibri"/>
      </rPr>
      <t>tc Server UI document directory must be in a separate partition from the web servers system files.</t>
    </r>
  </si>
  <si>
    <r>
      <rPr>
        <sz val="11"/>
        <color rgb="FF000000"/>
        <rFont val="Calibri"/>
      </rPr>
      <t>Consult with the ISSO. Move the tc Server UI /usr/lib/vmware-vcops/tomcat-web-app/webapps directory to a separate partition.</t>
    </r>
  </si>
  <si>
    <r>
      <rPr>
        <sz val="11"/>
        <color rgb="FF000000"/>
        <rFont val="Calibri"/>
      </rPr>
      <t>A web server is used to deliver content on the request of a client. The content delivered to a client must be controlled, allowing only hosted application files to be accessed and delivered. To allow a client access to system files of any type is a major security risk that is entirely avoidable. Obtaining such access is the goal of directory traversal and URL manipulation vulnerabilities. To facilitate such access by misconfiguring the web document (home) directory is a serious error. In addition, having the path on the same drive as the system folder compounds potential attacks such as drive space exhaustion.</t>
    </r>
    <r>
      <rPr>
        <sz val="11"/>
        <color rgb="FF000000"/>
        <rFont val="Calibri"/>
      </rPr>
      <t xml:space="preserve">
</t>
    </r>
    <r>
      <rPr>
        <sz val="11"/>
        <color rgb="FF000000"/>
        <rFont val="Calibri"/>
      </rPr>
      <t>As a Tomcat derivative, tc Server stores the web applications in a special “webapps” folder.  The Java engine, however, is stored in a separate are of the OS directory structure.  For greatest security it is important to verify that the “webapps” and the Java directories remain separated.</t>
    </r>
  </si>
  <si>
    <r>
      <rPr>
        <sz val="11"/>
        <color rgb="FF000000"/>
        <rFont val="Calibri"/>
      </rPr>
      <t>At the command prompt, execute the following commands:</t>
    </r>
    <r>
      <rPr>
        <sz val="11"/>
        <color rgb="FF000000"/>
        <rFont val="Calibri"/>
      </rPr>
      <t xml:space="preserve">
</t>
    </r>
    <r>
      <rPr>
        <sz val="11"/>
        <color rgb="FF000000"/>
        <rFont val="Calibri"/>
      </rPr>
      <t>df -k /usr/java/default/bin/java</t>
    </r>
    <r>
      <rPr>
        <sz val="11"/>
        <color rgb="FF000000"/>
        <rFont val="Calibri"/>
      </rPr>
      <t xml:space="preserve">
</t>
    </r>
    <r>
      <rPr>
        <sz val="11"/>
        <color rgb="FF000000"/>
        <rFont val="Calibri"/>
      </rPr>
      <t>df -k /usr/lib/vmware-vcops/tomcat-web-app/webapps</t>
    </r>
    <r>
      <rPr>
        <sz val="11"/>
        <color rgb="FF000000"/>
        <rFont val="Calibri"/>
      </rPr>
      <t xml:space="preserve">
</t>
    </r>
    <r>
      <rPr>
        <sz val="11"/>
        <color rgb="FF000000"/>
        <rFont val="Calibri"/>
      </rPr>
      <t>If the two directories above are on the same partition, this is a finding.</t>
    </r>
  </si>
  <si>
    <t>V-88983</t>
  </si>
  <si>
    <r>
      <rPr>
        <sz val="11"/>
        <rFont val="Calibri"/>
      </rPr>
      <t>tc Server CaSa document directory must be in a separate partition from the web servers system files.</t>
    </r>
  </si>
  <si>
    <r>
      <rPr>
        <sz val="11"/>
        <color rgb="FF000000"/>
        <rFont val="Calibri"/>
      </rPr>
      <t>Consult with the ISSO. Move the tc Server CaSa /usr/lib/vmware-casa/casa-webapp/webapps directory to a separate partition.</t>
    </r>
  </si>
  <si>
    <r>
      <rPr>
        <sz val="11"/>
        <color rgb="FF000000"/>
        <rFont val="Calibri"/>
      </rPr>
      <t>At the command prompt, execute the following commands:</t>
    </r>
    <r>
      <rPr>
        <sz val="11"/>
        <color rgb="FF000000"/>
        <rFont val="Calibri"/>
      </rPr>
      <t xml:space="preserve">
</t>
    </r>
    <r>
      <rPr>
        <sz val="11"/>
        <color rgb="FF000000"/>
        <rFont val="Calibri"/>
      </rPr>
      <t>df -k /usr/java/default/bin/java</t>
    </r>
    <r>
      <rPr>
        <sz val="11"/>
        <color rgb="FF000000"/>
        <rFont val="Calibri"/>
      </rPr>
      <t xml:space="preserve">
</t>
    </r>
    <r>
      <rPr>
        <sz val="11"/>
        <color rgb="FF000000"/>
        <rFont val="Calibri"/>
      </rPr>
      <t>df -k /usr/lib/vmware-casa/casa-webapp/webapps</t>
    </r>
    <r>
      <rPr>
        <sz val="11"/>
        <color rgb="FF000000"/>
        <rFont val="Calibri"/>
      </rPr>
      <t xml:space="preserve">
</t>
    </r>
    <r>
      <rPr>
        <sz val="11"/>
        <color rgb="FF000000"/>
        <rFont val="Calibri"/>
      </rPr>
      <t>If the two directories above are on the same partition, this is a finding</t>
    </r>
  </si>
  <si>
    <t>V-88985</t>
  </si>
  <si>
    <r>
      <rPr>
        <sz val="11"/>
        <rFont val="Calibri"/>
      </rPr>
      <t>tc Server API document directory must be in a separate partition from the web servers system files.</t>
    </r>
  </si>
  <si>
    <r>
      <rPr>
        <sz val="11"/>
        <color rgb="FF000000"/>
        <rFont val="Calibri"/>
      </rPr>
      <t>Consult with the ISSO. Move the tc Server API /usr/lib/vmware-vcops/tomcat-enterprise/webapps directory to a separate partition.</t>
    </r>
  </si>
  <si>
    <r>
      <rPr>
        <sz val="11"/>
        <color rgb="FF000000"/>
        <rFont val="Calibri"/>
      </rPr>
      <t>A web server is used to deliver content on the request of a client. The content delivered to a client must be controlled, allowing only hosted application files to be accessed and delivered. To allow a client access to system files of any type is a major security risk that is entirely avoidable. Obtaining such access is the goal of directory traversal and URL manipulation vulnerabilities. To facilitate such access by misconfiguring the web document (home) directory is a serious error. In addition, having the path on the same drive as the system folder compounds potential attacks such as drive space exhaustion.</t>
    </r>
    <r>
      <rPr>
        <sz val="11"/>
        <color rgb="FF000000"/>
        <rFont val="Calibri"/>
      </rPr>
      <t xml:space="preserve">
</t>
    </r>
    <r>
      <rPr>
        <sz val="11"/>
        <color rgb="FF000000"/>
        <rFont val="Calibri"/>
      </rPr>
      <t>As a Tomcat derivative, tc Server stores the web applications in a special “webapps” folder. The Java engine, however, is stored in a separate are of the OS directory structure. For greatest security it is important to verify that the “webapps” and the Java directories remain separated.</t>
    </r>
  </si>
  <si>
    <r>
      <rPr>
        <sz val="11"/>
        <color rgb="FF000000"/>
        <rFont val="Calibri"/>
      </rPr>
      <t>At the command prompt, execute the following commands:</t>
    </r>
    <r>
      <rPr>
        <sz val="11"/>
        <color rgb="FF000000"/>
        <rFont val="Calibri"/>
      </rPr>
      <t xml:space="preserve">
</t>
    </r>
    <r>
      <rPr>
        <sz val="11"/>
        <color rgb="FF000000"/>
        <rFont val="Calibri"/>
      </rPr>
      <t>df -k /usr/java/default/bin/java</t>
    </r>
    <r>
      <rPr>
        <sz val="11"/>
        <color rgb="FF000000"/>
        <rFont val="Calibri"/>
      </rPr>
      <t xml:space="preserve">
</t>
    </r>
    <r>
      <rPr>
        <sz val="11"/>
        <color rgb="FF000000"/>
        <rFont val="Calibri"/>
      </rPr>
      <t>df -k /usr/lib/vmware-vcops/tomcat-enterprise/webapps</t>
    </r>
    <r>
      <rPr>
        <sz val="11"/>
        <color rgb="FF000000"/>
        <rFont val="Calibri"/>
      </rPr>
      <t xml:space="preserve">
</t>
    </r>
    <r>
      <rPr>
        <sz val="11"/>
        <color rgb="FF000000"/>
        <rFont val="Calibri"/>
      </rPr>
      <t>If the two directories above are on the same partition, this is a finding</t>
    </r>
  </si>
  <si>
    <t>V-88987</t>
  </si>
  <si>
    <r>
      <rPr>
        <sz val="11"/>
        <rFont val="Calibri"/>
      </rPr>
      <t>tc Server UI must be configured with a cross-site scripting (XSS) filter.</t>
    </r>
  </si>
  <si>
    <r>
      <rPr>
        <sz val="11"/>
        <color rgb="FF000000"/>
        <rFont val="Calibri"/>
      </rPr>
      <t>Navigate to and open /usr/lib/vmware-vcops/tomcat-web-app/webapps/ui/WEB-INF/web.xml.</t>
    </r>
    <r>
      <rPr>
        <sz val="11"/>
        <color rgb="FF000000"/>
        <rFont val="Calibri"/>
      </rPr>
      <t xml:space="preserve">
</t>
    </r>
    <r>
      <rPr>
        <sz val="11"/>
        <color rgb="FF000000"/>
        <rFont val="Calibri"/>
      </rPr>
      <t>Configure a &lt;filter&gt; node with the below configuration:</t>
    </r>
    <r>
      <rPr>
        <sz val="11"/>
        <color rgb="FF000000"/>
        <rFont val="Calibri"/>
      </rPr>
      <t xml:space="preserve">
</t>
    </r>
    <r>
      <rPr>
        <sz val="11"/>
        <color rgb="FF000000"/>
        <rFont val="Calibri"/>
      </rPr>
      <t xml:space="preserve">   &lt;filter&gt;</t>
    </r>
    <r>
      <rPr>
        <sz val="11"/>
        <color rgb="FF000000"/>
        <rFont val="Calibri"/>
      </rPr>
      <t xml:space="preserve">
</t>
    </r>
    <r>
      <rPr>
        <sz val="11"/>
        <color rgb="FF000000"/>
        <rFont val="Calibri"/>
      </rPr>
      <t xml:space="preserve">      &lt;filter-name&gt;xssfilter&lt;/filter-name&gt;</t>
    </r>
    <r>
      <rPr>
        <sz val="11"/>
        <color rgb="FF000000"/>
        <rFont val="Calibri"/>
      </rPr>
      <t xml:space="preserve">
</t>
    </r>
    <r>
      <rPr>
        <sz val="11"/>
        <color rgb="FF000000"/>
        <rFont val="Calibri"/>
      </rPr>
      <t xml:space="preserve">      &lt;filter-class&gt;com.vmware.vcops.ui.util.XssFilter&lt;/filter-class&gt;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 xml:space="preserve">         &lt;!-- Comma separated list of URLs that will be sanitized by this filter  --&gt;</t>
    </r>
    <r>
      <rPr>
        <sz val="11"/>
        <color rgb="FF000000"/>
        <rFont val="Calibri"/>
      </rPr>
      <t xml:space="preserve">
</t>
    </r>
    <r>
      <rPr>
        <sz val="11"/>
        <color rgb="FF000000"/>
        <rFont val="Calibri"/>
      </rPr>
      <t xml:space="preserve">         &lt;param-name&gt;fileIncludes&lt;/param-name&gt;</t>
    </r>
    <r>
      <rPr>
        <sz val="11"/>
        <color rgb="FF000000"/>
        <rFont val="Calibri"/>
      </rPr>
      <t xml:space="preserve">
</t>
    </r>
    <r>
      <rPr>
        <sz val="11"/>
        <color rgb="FF000000"/>
        <rFont val="Calibri"/>
      </rPr>
      <t xml:space="preserve">         &lt;param-value&gt;/vcops/services/api.js,/vcops/services/api-debug.js,/vcops/services/api-debug-doc.js&lt;/param-value&gt;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 xml:space="preserve">   &lt;/filter&gt;</t>
    </r>
    <r>
      <rPr>
        <sz val="11"/>
        <color rgb="FF000000"/>
        <rFont val="Calibri"/>
      </rPr>
      <t xml:space="preserve">
</t>
    </r>
    <r>
      <rPr>
        <sz val="11"/>
        <color rgb="FF000000"/>
        <rFont val="Calibri"/>
      </rPr>
      <t xml:space="preserve">   &lt;filter-mapping&gt;</t>
    </r>
    <r>
      <rPr>
        <sz val="11"/>
        <color rgb="FF000000"/>
        <rFont val="Calibri"/>
      </rPr>
      <t xml:space="preserve">
</t>
    </r>
    <r>
      <rPr>
        <sz val="11"/>
        <color rgb="FF000000"/>
        <rFont val="Calibri"/>
      </rPr>
      <t xml:space="preserve">      &lt;filter-name&gt;xssfilter&lt;/filter-name&gt;</t>
    </r>
    <r>
      <rPr>
        <sz val="11"/>
        <color rgb="FF000000"/>
        <rFont val="Calibri"/>
      </rPr>
      <t xml:space="preserve">
</t>
    </r>
    <r>
      <rPr>
        <sz val="11"/>
        <color rgb="FF000000"/>
        <rFont val="Calibri"/>
      </rPr>
      <t xml:space="preserve">      &lt;url-pattern&gt;/vcops/services/*&lt;/url-pattern&gt;</t>
    </r>
    <r>
      <rPr>
        <sz val="11"/>
        <color rgb="FF000000"/>
        <rFont val="Calibri"/>
      </rPr>
      <t xml:space="preserve">
</t>
    </r>
    <r>
      <rPr>
        <sz val="11"/>
        <color rgb="FF000000"/>
        <rFont val="Calibri"/>
      </rPr>
      <t xml:space="preserve">   &lt;/filter-mapping&gt;</t>
    </r>
  </si>
  <si>
    <r>
      <rPr>
        <sz val="11"/>
        <color rgb="FF000000"/>
        <rFont val="Calibri"/>
      </rPr>
      <t>Cross-site scripting (XSS) is a type of computer security vulnerability typically found in web applications. XSS enables attackers to inject client-side scripts into web pages viewed by other users. A cross-site scripting vulnerability may be used by attackers to bypass access controls such as the same-origin policy.</t>
    </r>
    <r>
      <rPr>
        <sz val="11"/>
        <color rgb="FF000000"/>
        <rFont val="Calibri"/>
      </rPr>
      <t xml:space="preserve">
</t>
    </r>
    <r>
      <rPr>
        <sz val="11"/>
        <color rgb="FF000000"/>
        <rFont val="Calibri"/>
      </rPr>
      <t>As a web server, tc Server can be vulnerable to XSS if steps are not taken to mitigate the threat.  VMware provides the XssFilter component to provide a layer of defense against XSS. Filters are Java objects that performs filtering tasks on either the request to a resource (a servlet or static content), or on the response from a resource, or both.</t>
    </r>
  </si>
  <si>
    <r>
      <rPr>
        <sz val="11"/>
        <color rgb="FF000000"/>
        <rFont val="Calibri"/>
      </rPr>
      <t>At the command prompt, execute the following command:</t>
    </r>
    <r>
      <rPr>
        <sz val="11"/>
        <color rgb="FF000000"/>
        <rFont val="Calibri"/>
      </rPr>
      <t xml:space="preserve">
</t>
    </r>
    <r>
      <rPr>
        <sz val="11"/>
        <color rgb="FF000000"/>
        <rFont val="Calibri"/>
      </rPr>
      <t>grep -B 2 -A 7 XssFilter /usr/lib/vmware-vcops/tomcat-web-app/webapps/ui/WEB-INF/web.xml</t>
    </r>
    <r>
      <rPr>
        <sz val="11"/>
        <color rgb="FF000000"/>
        <rFont val="Calibri"/>
      </rPr>
      <t xml:space="preserve">
</t>
    </r>
    <r>
      <rPr>
        <sz val="11"/>
        <color rgb="FF000000"/>
        <rFont val="Calibri"/>
      </rPr>
      <t>If the XSS filter is not present, this is a finding.</t>
    </r>
  </si>
  <si>
    <t>V-88989</t>
  </si>
  <si>
    <r>
      <rPr>
        <sz val="11"/>
        <rFont val="Calibri"/>
      </rPr>
      <t>tc Server CaSa must be configured with a cross-site scripting (XSS) filter.</t>
    </r>
  </si>
  <si>
    <r>
      <rPr>
        <sz val="11"/>
        <color rgb="FF000000"/>
        <rFont val="Calibri"/>
      </rPr>
      <t>Navigate to and open /usr/lib/vmware-casa/casa-webapp/webapps/admin/WEB-INF/web.xml.</t>
    </r>
    <r>
      <rPr>
        <sz val="11"/>
        <color rgb="FF000000"/>
        <rFont val="Calibri"/>
      </rPr>
      <t xml:space="preserve">
</t>
    </r>
    <r>
      <rPr>
        <sz val="11"/>
        <color rgb="FF000000"/>
        <rFont val="Calibri"/>
      </rPr>
      <t>Configure a &lt;filter&gt; node with the below configuration:</t>
    </r>
    <r>
      <rPr>
        <sz val="11"/>
        <color rgb="FF000000"/>
        <rFont val="Calibri"/>
      </rPr>
      <t xml:space="preserve">
</t>
    </r>
    <r>
      <rPr>
        <sz val="11"/>
        <color rgb="FF000000"/>
        <rFont val="Calibri"/>
      </rPr>
      <t xml:space="preserve">   &lt;filter&gt;</t>
    </r>
    <r>
      <rPr>
        <sz val="11"/>
        <color rgb="FF000000"/>
        <rFont val="Calibri"/>
      </rPr>
      <t xml:space="preserve">
</t>
    </r>
    <r>
      <rPr>
        <sz val="11"/>
        <color rgb="FF000000"/>
        <rFont val="Calibri"/>
      </rPr>
      <t xml:space="preserve">      &lt;filter-name&gt;xssfilter&lt;/filter-name&gt;</t>
    </r>
    <r>
      <rPr>
        <sz val="11"/>
        <color rgb="FF000000"/>
        <rFont val="Calibri"/>
      </rPr>
      <t xml:space="preserve">
</t>
    </r>
    <r>
      <rPr>
        <sz val="11"/>
        <color rgb="FF000000"/>
        <rFont val="Calibri"/>
      </rPr>
      <t xml:space="preserve">      &lt;filter-class&gt;com.vmware.vcops.ui.util.XssFilter&lt;/filter-class&gt;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 xml:space="preserve">         &lt;!-- Comma separated list of URLs that will be sanitized by this filter  --&gt;</t>
    </r>
    <r>
      <rPr>
        <sz val="11"/>
        <color rgb="FF000000"/>
        <rFont val="Calibri"/>
      </rPr>
      <t xml:space="preserve">
</t>
    </r>
    <r>
      <rPr>
        <sz val="11"/>
        <color rgb="FF000000"/>
        <rFont val="Calibri"/>
      </rPr>
      <t xml:space="preserve">         &lt;param-name&gt;fileIncludes&lt;/param-name&gt;</t>
    </r>
    <r>
      <rPr>
        <sz val="11"/>
        <color rgb="FF000000"/>
        <rFont val="Calibri"/>
      </rPr>
      <t xml:space="preserve">
</t>
    </r>
    <r>
      <rPr>
        <sz val="11"/>
        <color rgb="FF000000"/>
        <rFont val="Calibri"/>
      </rPr>
      <t xml:space="preserve">         &lt;param-value&gt;/vcops/services/api.js,/vcops/services/api-debug.js,/vcops/services/api-debug-doc.js&lt;/param-value&gt;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 xml:space="preserve">   &lt;/filter&gt;</t>
    </r>
    <r>
      <rPr>
        <sz val="11"/>
        <color rgb="FF000000"/>
        <rFont val="Calibri"/>
      </rPr>
      <t xml:space="preserve">
</t>
    </r>
    <r>
      <rPr>
        <sz val="11"/>
        <color rgb="FF000000"/>
        <rFont val="Calibri"/>
      </rPr>
      <t xml:space="preserve">   &lt;filter-mapping&gt;</t>
    </r>
    <r>
      <rPr>
        <sz val="11"/>
        <color rgb="FF000000"/>
        <rFont val="Calibri"/>
      </rPr>
      <t xml:space="preserve">
</t>
    </r>
    <r>
      <rPr>
        <sz val="11"/>
        <color rgb="FF000000"/>
        <rFont val="Calibri"/>
      </rPr>
      <t xml:space="preserve">      &lt;filter-name&gt;xssfilter&lt;/filter-name&gt;</t>
    </r>
    <r>
      <rPr>
        <sz val="11"/>
        <color rgb="FF000000"/>
        <rFont val="Calibri"/>
      </rPr>
      <t xml:space="preserve">
</t>
    </r>
    <r>
      <rPr>
        <sz val="11"/>
        <color rgb="FF000000"/>
        <rFont val="Calibri"/>
      </rPr>
      <t xml:space="preserve">      &lt;url-pattern&gt;/vcops/services/*&lt;/url-pattern&gt;</t>
    </r>
    <r>
      <rPr>
        <sz val="11"/>
        <color rgb="FF000000"/>
        <rFont val="Calibri"/>
      </rPr>
      <t xml:space="preserve">
</t>
    </r>
    <r>
      <rPr>
        <sz val="11"/>
        <color rgb="FF000000"/>
        <rFont val="Calibri"/>
      </rPr>
      <t xml:space="preserve">   &lt;/filter-mapping&gt;</t>
    </r>
  </si>
  <si>
    <r>
      <rPr>
        <sz val="11"/>
        <color rgb="FF000000"/>
        <rFont val="Calibri"/>
      </rPr>
      <t>At the command prompt, execute the following command:</t>
    </r>
    <r>
      <rPr>
        <sz val="11"/>
        <color rgb="FF000000"/>
        <rFont val="Calibri"/>
      </rPr>
      <t xml:space="preserve">
</t>
    </r>
    <r>
      <rPr>
        <sz val="11"/>
        <color rgb="FF000000"/>
        <rFont val="Calibri"/>
      </rPr>
      <t>grep -B 2 -A 7 XssFilter /usr/lib/vmware-casa/casa-webapp/webapps/admin/WEB-INF/web.xml</t>
    </r>
    <r>
      <rPr>
        <sz val="11"/>
        <color rgb="FF000000"/>
        <rFont val="Calibri"/>
      </rPr>
      <t xml:space="preserve">
</t>
    </r>
    <r>
      <rPr>
        <sz val="11"/>
        <color rgb="FF000000"/>
        <rFont val="Calibri"/>
      </rPr>
      <t>If the XSS filter is not present and there is no result returned, then this is a finding.</t>
    </r>
  </si>
  <si>
    <t>V-88991</t>
  </si>
  <si>
    <r>
      <rPr>
        <sz val="11"/>
        <rFont val="Calibri"/>
      </rPr>
      <t>tc Server API must be configured with a cross-site scripting (XSS) filter.</t>
    </r>
  </si>
  <si>
    <r>
      <rPr>
        <sz val="11"/>
        <color rgb="FF000000"/>
        <rFont val="Calibri"/>
      </rPr>
      <t>Navigate to and open /usr/lib/vmware-vcops/tomcat-enterprise/webapps/suite-api/WEB-INF/web.xml.</t>
    </r>
    <r>
      <rPr>
        <sz val="11"/>
        <color rgb="FF000000"/>
        <rFont val="Calibri"/>
      </rPr>
      <t xml:space="preserve">
</t>
    </r>
    <r>
      <rPr>
        <sz val="11"/>
        <color rgb="FF000000"/>
        <rFont val="Calibri"/>
      </rPr>
      <t>Configure a &lt;filter&gt; node with the below configuration:</t>
    </r>
    <r>
      <rPr>
        <sz val="11"/>
        <color rgb="FF000000"/>
        <rFont val="Calibri"/>
      </rPr>
      <t xml:space="preserve">
</t>
    </r>
    <r>
      <rPr>
        <sz val="11"/>
        <color rgb="FF000000"/>
        <rFont val="Calibri"/>
      </rPr>
      <t xml:space="preserve">   &lt;filter&gt;</t>
    </r>
    <r>
      <rPr>
        <sz val="11"/>
        <color rgb="FF000000"/>
        <rFont val="Calibri"/>
      </rPr>
      <t xml:space="preserve">
</t>
    </r>
    <r>
      <rPr>
        <sz val="11"/>
        <color rgb="FF000000"/>
        <rFont val="Calibri"/>
      </rPr>
      <t xml:space="preserve">      &lt;filter-name&gt;xssfilter&lt;/filter-name&gt;</t>
    </r>
    <r>
      <rPr>
        <sz val="11"/>
        <color rgb="FF000000"/>
        <rFont val="Calibri"/>
      </rPr>
      <t xml:space="preserve">
</t>
    </r>
    <r>
      <rPr>
        <sz val="11"/>
        <color rgb="FF000000"/>
        <rFont val="Calibri"/>
      </rPr>
      <t xml:space="preserve">      &lt;filter-class&gt;com.vmware.vcops.ui.util.XssFilter&lt;/filter-class&gt;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 xml:space="preserve">         &lt;!-- Comma separated list of URLs that will be sanitized by this filter  --&gt;</t>
    </r>
    <r>
      <rPr>
        <sz val="11"/>
        <color rgb="FF000000"/>
        <rFont val="Calibri"/>
      </rPr>
      <t xml:space="preserve">
</t>
    </r>
    <r>
      <rPr>
        <sz val="11"/>
        <color rgb="FF000000"/>
        <rFont val="Calibri"/>
      </rPr>
      <t xml:space="preserve">         &lt;param-name&gt;fileIncludes&lt;/param-name&gt;</t>
    </r>
    <r>
      <rPr>
        <sz val="11"/>
        <color rgb="FF000000"/>
        <rFont val="Calibri"/>
      </rPr>
      <t xml:space="preserve">
</t>
    </r>
    <r>
      <rPr>
        <sz val="11"/>
        <color rgb="FF000000"/>
        <rFont val="Calibri"/>
      </rPr>
      <t xml:space="preserve">         &lt;param-value&gt;/vcops/services/api.js,/vcops/services/api-debug.js,/vcops/services/api-debug-doc.js&lt;/param-value&gt;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 xml:space="preserve">   &lt;/filter&gt;</t>
    </r>
    <r>
      <rPr>
        <sz val="11"/>
        <color rgb="FF000000"/>
        <rFont val="Calibri"/>
      </rPr>
      <t xml:space="preserve">
</t>
    </r>
    <r>
      <rPr>
        <sz val="11"/>
        <color rgb="FF000000"/>
        <rFont val="Calibri"/>
      </rPr>
      <t xml:space="preserve">   &lt;filter-mapping&gt;</t>
    </r>
    <r>
      <rPr>
        <sz val="11"/>
        <color rgb="FF000000"/>
        <rFont val="Calibri"/>
      </rPr>
      <t xml:space="preserve">
</t>
    </r>
    <r>
      <rPr>
        <sz val="11"/>
        <color rgb="FF000000"/>
        <rFont val="Calibri"/>
      </rPr>
      <t xml:space="preserve">      &lt;filter-name&gt;xssfilter&lt;/filter-name&gt;</t>
    </r>
    <r>
      <rPr>
        <sz val="11"/>
        <color rgb="FF000000"/>
        <rFont val="Calibri"/>
      </rPr>
      <t xml:space="preserve">
</t>
    </r>
    <r>
      <rPr>
        <sz val="11"/>
        <color rgb="FF000000"/>
        <rFont val="Calibri"/>
      </rPr>
      <t xml:space="preserve">      &lt;url-pattern&gt;/vcops/services/*&lt;/url-pattern&gt;</t>
    </r>
    <r>
      <rPr>
        <sz val="11"/>
        <color rgb="FF000000"/>
        <rFont val="Calibri"/>
      </rPr>
      <t xml:space="preserve">
</t>
    </r>
    <r>
      <rPr>
        <sz val="11"/>
        <color rgb="FF000000"/>
        <rFont val="Calibri"/>
      </rPr>
      <t xml:space="preserve">   &lt;/filter-mapping&gt;</t>
    </r>
  </si>
  <si>
    <r>
      <rPr>
        <sz val="11"/>
        <color rgb="FF000000"/>
        <rFont val="Calibri"/>
      </rPr>
      <t>At the command prompt, execute the following command:</t>
    </r>
    <r>
      <rPr>
        <sz val="11"/>
        <color rgb="FF000000"/>
        <rFont val="Calibri"/>
      </rPr>
      <t xml:space="preserve">
</t>
    </r>
    <r>
      <rPr>
        <sz val="11"/>
        <color rgb="FF000000"/>
        <rFont val="Calibri"/>
      </rPr>
      <t>grep -B 2 -A 7 XssFilter /usr/lib/vmware-vcops/tomcat-enterprise/webapps/suite-api/WEB-INF/web.xml</t>
    </r>
    <r>
      <rPr>
        <sz val="11"/>
        <color rgb="FF000000"/>
        <rFont val="Calibri"/>
      </rPr>
      <t xml:space="preserve">
</t>
    </r>
    <r>
      <rPr>
        <sz val="11"/>
        <color rgb="FF000000"/>
        <rFont val="Calibri"/>
      </rPr>
      <t>If the XSS filter is not present and there is no result returned, then this is a finding.</t>
    </r>
  </si>
  <si>
    <t>V-88993</t>
  </si>
  <si>
    <r>
      <rPr>
        <sz val="11"/>
        <rFont val="Calibri"/>
      </rPr>
      <t>tc Server UI must set URIEncoding to UTF-8.</t>
    </r>
  </si>
  <si>
    <r>
      <rPr>
        <sz val="11"/>
        <color rgb="FF000000"/>
        <rFont val="Calibri"/>
      </rPr>
      <t>Navigate to and open /usr/lib/vmware-vcops/tomcat-web-app/conf/server.xml.</t>
    </r>
    <r>
      <rPr>
        <sz val="11"/>
        <color rgb="FF000000"/>
        <rFont val="Calibri"/>
      </rPr>
      <t xml:space="preserve">
</t>
    </r>
    <r>
      <rPr>
        <sz val="11"/>
        <color rgb="FF000000"/>
        <rFont val="Calibri"/>
      </rPr>
      <t>Navigate to each of the &lt;Connector&gt; nodes.</t>
    </r>
    <r>
      <rPr>
        <sz val="11"/>
        <color rgb="FF000000"/>
        <rFont val="Calibri"/>
      </rPr>
      <t xml:space="preserve">
</t>
    </r>
    <r>
      <rPr>
        <sz val="11"/>
        <color rgb="FF000000"/>
        <rFont val="Calibri"/>
      </rPr>
      <t>Configure each &lt;Connector&gt; node with the value "URIEncoding="UTF-8"'.</t>
    </r>
  </si>
  <si>
    <r>
      <rPr>
        <sz val="11"/>
        <color rgb="FF000000"/>
        <rFont val="Calibri"/>
      </rPr>
      <t xml:space="preserve">Invalid user input occurs when a user inserts data or characters into a hosted application's data entry field and the hosted application is unprepared to process that data. This results in unanticipated application behavior, potentially leading to an application compromise. Invalid user input is one of the primary methods employed when attempting to compromise an application. </t>
    </r>
    <r>
      <rPr>
        <sz val="11"/>
        <color rgb="FF000000"/>
        <rFont val="Calibri"/>
      </rPr>
      <t xml:space="preserve">
</t>
    </r>
    <r>
      <rPr>
        <sz val="11"/>
        <color rgb="FF000000"/>
        <rFont val="Calibri"/>
      </rPr>
      <t>An attacker can also enter Unicode into hosted applications in an effort to break out of the document home or root home directory or to bypass security checks.</t>
    </r>
    <r>
      <rPr>
        <sz val="11"/>
        <color rgb="FF000000"/>
        <rFont val="Calibri"/>
      </rPr>
      <t xml:space="preserve">
</t>
    </r>
    <r>
      <rPr>
        <sz val="11"/>
        <color rgb="FF000000"/>
        <rFont val="Calibri"/>
      </rPr>
      <t>To mitigate against many types of character-based vulnerabilities, tc Server should be configured to use a consistent character set. The “URIEncoding” attribute on the Connector nodes provides the means for tc Server to enforce a consistent character set encoding.</t>
    </r>
  </si>
  <si>
    <r>
      <rPr>
        <sz val="11"/>
        <color rgb="FF000000"/>
        <rFont val="Calibri"/>
      </rPr>
      <t>Navigate to and open /usr/lib/vmware-vcops/tomcat-web-app/conf/server.xml.</t>
    </r>
    <r>
      <rPr>
        <sz val="11"/>
        <color rgb="FF000000"/>
        <rFont val="Calibri"/>
      </rPr>
      <t xml:space="preserve">
</t>
    </r>
    <r>
      <rPr>
        <sz val="11"/>
        <color rgb="FF000000"/>
        <rFont val="Calibri"/>
      </rPr>
      <t>Navigate to each of the &lt;Connector&gt; nodes.</t>
    </r>
    <r>
      <rPr>
        <sz val="11"/>
        <color rgb="FF000000"/>
        <rFont val="Calibri"/>
      </rPr>
      <t xml:space="preserve">
</t>
    </r>
    <r>
      <rPr>
        <sz val="11"/>
        <color rgb="FF000000"/>
        <rFont val="Calibri"/>
      </rPr>
      <t>If the value of “URIEncoding” is not set to “UTF-8” or is missing, this is a finding.</t>
    </r>
  </si>
  <si>
    <t>V-88995</t>
  </si>
  <si>
    <r>
      <rPr>
        <sz val="11"/>
        <rFont val="Calibri"/>
      </rPr>
      <t>tc Server CaSa must set URIEncoding to UTF-8.</t>
    </r>
  </si>
  <si>
    <r>
      <rPr>
        <sz val="11"/>
        <color rgb="FF000000"/>
        <rFont val="Calibri"/>
      </rPr>
      <t>Navigate to and open /usr/lib/vmware-casa/casa-webapp/conf/server.xml.</t>
    </r>
    <r>
      <rPr>
        <sz val="11"/>
        <color rgb="FF000000"/>
        <rFont val="Calibri"/>
      </rPr>
      <t xml:space="preserve">
</t>
    </r>
    <r>
      <rPr>
        <sz val="11"/>
        <color rgb="FF000000"/>
        <rFont val="Calibri"/>
      </rPr>
      <t>Navigate to each of the &lt;Connector&gt; nodes.</t>
    </r>
    <r>
      <rPr>
        <sz val="11"/>
        <color rgb="FF000000"/>
        <rFont val="Calibri"/>
      </rPr>
      <t xml:space="preserve">
</t>
    </r>
    <r>
      <rPr>
        <sz val="11"/>
        <color rgb="FF000000"/>
        <rFont val="Calibri"/>
      </rPr>
      <t>Configure each &lt;Connector&gt; node with the value 'URIEncoding="UTF-8"'.</t>
    </r>
  </si>
  <si>
    <r>
      <rPr>
        <sz val="11"/>
        <color rgb="FF000000"/>
        <rFont val="Calibri"/>
      </rPr>
      <t>Navigate to and open /usr/lib/vmware-casa/casa-webapp/conf/server.xml.</t>
    </r>
    <r>
      <rPr>
        <sz val="11"/>
        <color rgb="FF000000"/>
        <rFont val="Calibri"/>
      </rPr>
      <t xml:space="preserve">
</t>
    </r>
    <r>
      <rPr>
        <sz val="11"/>
        <color rgb="FF000000"/>
        <rFont val="Calibri"/>
      </rPr>
      <t>Navigate to each of the &lt;Connector&gt; nodes.</t>
    </r>
    <r>
      <rPr>
        <sz val="11"/>
        <color rgb="FF000000"/>
        <rFont val="Calibri"/>
      </rPr>
      <t xml:space="preserve">
</t>
    </r>
    <r>
      <rPr>
        <sz val="11"/>
        <color rgb="FF000000"/>
        <rFont val="Calibri"/>
      </rPr>
      <t>If the value of “URIEncoding” is not set to “UTF-8” or is missing, this is a finding.</t>
    </r>
  </si>
  <si>
    <t>V-88997</t>
  </si>
  <si>
    <r>
      <rPr>
        <sz val="11"/>
        <rFont val="Calibri"/>
      </rPr>
      <t>tc Server API must set URIEncoding to UTF-8.</t>
    </r>
  </si>
  <si>
    <r>
      <rPr>
        <sz val="11"/>
        <color rgb="FF000000"/>
        <rFont val="Calibri"/>
      </rPr>
      <t>Navigate to and open /usr/lib/vmware-vcops/tomcat-enterprise/conf/server.xml.</t>
    </r>
    <r>
      <rPr>
        <sz val="11"/>
        <color rgb="FF000000"/>
        <rFont val="Calibri"/>
      </rPr>
      <t xml:space="preserve">
</t>
    </r>
    <r>
      <rPr>
        <sz val="11"/>
        <color rgb="FF000000"/>
        <rFont val="Calibri"/>
      </rPr>
      <t>Navigate to each of the &lt;Connector&gt; nodes.</t>
    </r>
    <r>
      <rPr>
        <sz val="11"/>
        <color rgb="FF000000"/>
        <rFont val="Calibri"/>
      </rPr>
      <t xml:space="preserve">
</t>
    </r>
    <r>
      <rPr>
        <sz val="11"/>
        <color rgb="FF000000"/>
        <rFont val="Calibri"/>
      </rPr>
      <t>Configure each &lt;Connector&gt; node with the value 'URIEncoding="UTF-8"'.</t>
    </r>
  </si>
  <si>
    <r>
      <rPr>
        <sz val="11"/>
        <color rgb="FF000000"/>
        <rFont val="Calibri"/>
      </rPr>
      <t>Navigate to and open /usr/lib/vmware-vcops/tomcat-enterprise/conf/server.xml.</t>
    </r>
    <r>
      <rPr>
        <sz val="11"/>
        <color rgb="FF000000"/>
        <rFont val="Calibri"/>
      </rPr>
      <t xml:space="preserve">
</t>
    </r>
    <r>
      <rPr>
        <sz val="11"/>
        <color rgb="FF000000"/>
        <rFont val="Calibri"/>
      </rPr>
      <t>Navigate to each of the &lt;Connector&gt; nodes.</t>
    </r>
    <r>
      <rPr>
        <sz val="11"/>
        <color rgb="FF000000"/>
        <rFont val="Calibri"/>
      </rPr>
      <t xml:space="preserve">
</t>
    </r>
    <r>
      <rPr>
        <sz val="11"/>
        <color rgb="FF000000"/>
        <rFont val="Calibri"/>
      </rPr>
      <t>If the value of “URIEncoding” is not set to “UTF-8” or is missing, this is a finding.</t>
    </r>
  </si>
  <si>
    <t>V-88999</t>
  </si>
  <si>
    <r>
      <rPr>
        <sz val="11"/>
        <rFont val="Calibri"/>
      </rPr>
      <t>tc Server UI must use the setCharacterEncodingFilter filter.</t>
    </r>
  </si>
  <si>
    <r>
      <rPr>
        <sz val="11"/>
        <color rgb="FF000000"/>
        <rFont val="Calibri"/>
      </rPr>
      <t>Navigate to and open /usr/lib/vmware-vcops/tomcat-web-app/conf/web.xml.</t>
    </r>
    <r>
      <rPr>
        <sz val="11"/>
        <color rgb="FF000000"/>
        <rFont val="Calibri"/>
      </rPr>
      <t xml:space="preserve">
</t>
    </r>
    <r>
      <rPr>
        <sz val="11"/>
        <color rgb="FF000000"/>
        <rFont val="Calibri"/>
      </rPr>
      <t>Configure the &lt;web-app&gt; node with the &lt;filter&gt; node listed below.</t>
    </r>
    <r>
      <rPr>
        <sz val="11"/>
        <color rgb="FF000000"/>
        <rFont val="Calibri"/>
      </rPr>
      <t xml:space="preserve">
</t>
    </r>
    <r>
      <rPr>
        <sz val="11"/>
        <color rgb="FF000000"/>
        <rFont val="Calibri"/>
      </rPr>
      <t xml:space="preserve">            &lt;filter&gt;</t>
    </r>
    <r>
      <rPr>
        <sz val="11"/>
        <color rgb="FF000000"/>
        <rFont val="Calibri"/>
      </rPr>
      <t xml:space="preserve">
</t>
    </r>
    <r>
      <rPr>
        <sz val="11"/>
        <color rgb="FF000000"/>
        <rFont val="Calibri"/>
      </rPr>
      <t xml:space="preserve">                &lt;filter-name&gt;setCharacterEncodingFilter&lt;/filter-name&gt;</t>
    </r>
    <r>
      <rPr>
        <sz val="11"/>
        <color rgb="FF000000"/>
        <rFont val="Calibri"/>
      </rPr>
      <t xml:space="preserve">
</t>
    </r>
    <r>
      <rPr>
        <sz val="11"/>
        <color rgb="FF000000"/>
        <rFont val="Calibri"/>
      </rPr>
      <t xml:space="preserve">                &lt;filter-class&gt;org.apache.catalina.filters.SetCharacterEncodingFilter&lt;/filter-class&gt;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 xml:space="preserve">                    &lt;param-name&gt;encoding&lt;/param-name&gt;</t>
    </r>
    <r>
      <rPr>
        <sz val="11"/>
        <color rgb="FF000000"/>
        <rFont val="Calibri"/>
      </rPr>
      <t xml:space="preserve">
</t>
    </r>
    <r>
      <rPr>
        <sz val="11"/>
        <color rgb="FF000000"/>
        <rFont val="Calibri"/>
      </rPr>
      <t xml:space="preserve">                    &lt;param-value&gt;UTF-8&lt;/param-value&gt;</t>
    </r>
    <r>
      <rPr>
        <sz val="11"/>
        <color rgb="FF000000"/>
        <rFont val="Calibri"/>
      </rPr>
      <t xml:space="preserve">
</t>
    </r>
    <r>
      <rPr>
        <sz val="11"/>
        <color rgb="FF000000"/>
        <rFont val="Calibri"/>
      </rPr>
      <t xml:space="preserve">                    &lt;param-name&gt;ignore&lt;/param-name&gt;</t>
    </r>
    <r>
      <rPr>
        <sz val="11"/>
        <color rgb="FF000000"/>
        <rFont val="Calibri"/>
      </rPr>
      <t xml:space="preserve">
</t>
    </r>
    <r>
      <rPr>
        <sz val="11"/>
        <color rgb="FF000000"/>
        <rFont val="Calibri"/>
      </rPr>
      <t xml:space="preserve">                    &lt;param-value&gt;false&lt;/param-value&gt;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 xml:space="preserve">                &lt;async-supported&gt;true&lt;/async-supported&gt;</t>
    </r>
    <r>
      <rPr>
        <sz val="11"/>
        <color rgb="FF000000"/>
        <rFont val="Calibri"/>
      </rPr>
      <t xml:space="preserve">
</t>
    </r>
    <r>
      <rPr>
        <sz val="11"/>
        <color rgb="FF000000"/>
        <rFont val="Calibri"/>
      </rPr>
      <t xml:space="preserve">            &lt;/filter&gt;</t>
    </r>
    <r>
      <rPr>
        <sz val="11"/>
        <color rgb="FF000000"/>
        <rFont val="Calibri"/>
      </rPr>
      <t xml:space="preserve">
</t>
    </r>
    <r>
      <rPr>
        <sz val="11"/>
        <color rgb="FF000000"/>
        <rFont val="Calibri"/>
      </rPr>
      <t xml:space="preserve">           &lt;filter-mapping&gt;</t>
    </r>
    <r>
      <rPr>
        <sz val="11"/>
        <color rgb="FF000000"/>
        <rFont val="Calibri"/>
      </rPr>
      <t xml:space="preserve">
</t>
    </r>
    <r>
      <rPr>
        <sz val="11"/>
        <color rgb="FF000000"/>
        <rFont val="Calibri"/>
      </rPr>
      <t xml:space="preserve">             &lt;filter-name&gt;setCharacterEncodingFilter&lt;/filter-name&gt;</t>
    </r>
    <r>
      <rPr>
        <sz val="11"/>
        <color rgb="FF000000"/>
        <rFont val="Calibri"/>
      </rPr>
      <t xml:space="preserve">
</t>
    </r>
    <r>
      <rPr>
        <sz val="11"/>
        <color rgb="FF000000"/>
        <rFont val="Calibri"/>
      </rPr>
      <t xml:space="preserve">             &lt;url-pattern&gt;/*&lt;/url-pattern&gt;</t>
    </r>
    <r>
      <rPr>
        <sz val="11"/>
        <color rgb="FF000000"/>
        <rFont val="Calibri"/>
      </rPr>
      <t xml:space="preserve">
</t>
    </r>
    <r>
      <rPr>
        <sz val="11"/>
        <color rgb="FF000000"/>
        <rFont val="Calibri"/>
      </rPr>
      <t xml:space="preserve">          &lt;/filter-mapping&gt;</t>
    </r>
  </si>
  <si>
    <r>
      <rPr>
        <sz val="11"/>
        <color rgb="FF000000"/>
        <rFont val="Calibri"/>
      </rPr>
      <t xml:space="preserve">Invalid user input occurs when a user inserts data or characters into a hosted application's data entry field and the hosted application is unprepared to process that data. This results in unanticipated application behavior, potentially leading to an application compromise. Invalid user input is one of the primary methods employed when attempting to compromise an application. </t>
    </r>
    <r>
      <rPr>
        <sz val="11"/>
        <color rgb="FF000000"/>
        <rFont val="Calibri"/>
      </rPr>
      <t xml:space="preserve">
</t>
    </r>
    <r>
      <rPr>
        <sz val="11"/>
        <color rgb="FF000000"/>
        <rFont val="Calibri"/>
      </rPr>
      <t>An attacker can also enter Unicode into hosted applications in an effort to break out of the document home or root home directory or to bypass security checks.</t>
    </r>
    <r>
      <rPr>
        <sz val="11"/>
        <color rgb="FF000000"/>
        <rFont val="Calibri"/>
      </rPr>
      <t xml:space="preserve">
</t>
    </r>
    <r>
      <rPr>
        <sz val="11"/>
        <color rgb="FF000000"/>
        <rFont val="Calibri"/>
      </rPr>
      <t>As a web server, tc Server can be vulnerable to character encoding attacks if steps are not taken to mitigate the threat. VMware utilizes the standard Tomcat “setCharacterEncodingFilter” filter to provide a layer of defense against character encoding attacks. Filters are Java objects that performs filtering tasks on either the request to a resource (a servlet or static content), or on the response from a resource, or both.</t>
    </r>
  </si>
  <si>
    <r>
      <rPr>
        <sz val="11"/>
        <color rgb="FF000000"/>
        <rFont val="Calibri"/>
      </rPr>
      <t>Navigate to and open /usr/lib/vmware-vcops/tomcat-web-app/conf/web.xml.</t>
    </r>
    <r>
      <rPr>
        <sz val="11"/>
        <color rgb="FF000000"/>
        <rFont val="Calibri"/>
      </rPr>
      <t xml:space="preserve">
</t>
    </r>
    <r>
      <rPr>
        <sz val="11"/>
        <color rgb="FF000000"/>
        <rFont val="Calibri"/>
      </rPr>
      <t>Verify that the 'setCharacterEncodingFilter' &lt;filter&gt; has been specified with the following command:</t>
    </r>
    <r>
      <rPr>
        <sz val="11"/>
        <color rgb="FF000000"/>
        <rFont val="Calibri"/>
      </rPr>
      <t xml:space="preserve">
</t>
    </r>
    <r>
      <rPr>
        <sz val="11"/>
        <color rgb="FF000000"/>
        <rFont val="Calibri"/>
      </rPr>
      <t>grep -B 2 -A 7 setCharacterEncodingFilter /usr/lib/vmware-vcops/tomcat-web-app/conf/web.xml</t>
    </r>
    <r>
      <rPr>
        <sz val="11"/>
        <color rgb="FF000000"/>
        <rFont val="Calibri"/>
      </rPr>
      <t xml:space="preserve">
</t>
    </r>
    <r>
      <rPr>
        <sz val="11"/>
        <color rgb="FF000000"/>
        <rFont val="Calibri"/>
      </rPr>
      <t>If the “setCharacterEncodingFilter” filter has not been specified or is commented out, this is a finding.</t>
    </r>
  </si>
  <si>
    <t>V-89001</t>
  </si>
  <si>
    <r>
      <rPr>
        <sz val="11"/>
        <rFont val="Calibri"/>
      </rPr>
      <t>tc Server CaSa must use the setCharacterEncodingFilter filter.</t>
    </r>
  </si>
  <si>
    <r>
      <rPr>
        <sz val="11"/>
        <color rgb="FF000000"/>
        <rFont val="Calibri"/>
      </rPr>
      <t>Navigate to and open /usr/lib/vmware-casa/casa-webapp/conf/web.xml.</t>
    </r>
    <r>
      <rPr>
        <sz val="11"/>
        <color rgb="FF000000"/>
        <rFont val="Calibri"/>
      </rPr>
      <t xml:space="preserve">
</t>
    </r>
    <r>
      <rPr>
        <sz val="11"/>
        <color rgb="FF000000"/>
        <rFont val="Calibri"/>
      </rPr>
      <t>Configure the &lt;web-app&gt; node with the &lt;filter&gt; node listed below.</t>
    </r>
    <r>
      <rPr>
        <sz val="11"/>
        <color rgb="FF000000"/>
        <rFont val="Calibri"/>
      </rPr>
      <t xml:space="preserve">
</t>
    </r>
    <r>
      <rPr>
        <sz val="11"/>
        <color rgb="FF000000"/>
        <rFont val="Calibri"/>
      </rPr>
      <t xml:space="preserve">            &lt;filter&gt;</t>
    </r>
    <r>
      <rPr>
        <sz val="11"/>
        <color rgb="FF000000"/>
        <rFont val="Calibri"/>
      </rPr>
      <t xml:space="preserve">
</t>
    </r>
    <r>
      <rPr>
        <sz val="11"/>
        <color rgb="FF000000"/>
        <rFont val="Calibri"/>
      </rPr>
      <t xml:space="preserve">                &lt;filter-name&gt;setCharacterEncodingFilter&lt;/filter-name&gt;</t>
    </r>
    <r>
      <rPr>
        <sz val="11"/>
        <color rgb="FF000000"/>
        <rFont val="Calibri"/>
      </rPr>
      <t xml:space="preserve">
</t>
    </r>
    <r>
      <rPr>
        <sz val="11"/>
        <color rgb="FF000000"/>
        <rFont val="Calibri"/>
      </rPr>
      <t xml:space="preserve">                &lt;filter-class&gt;org.apache.catalina.filters.SetCharacterEncodingFilter&lt;/filter-class&gt;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 xml:space="preserve">                    &lt;param-name&gt;encoding&lt;/param-name&gt;</t>
    </r>
    <r>
      <rPr>
        <sz val="11"/>
        <color rgb="FF000000"/>
        <rFont val="Calibri"/>
      </rPr>
      <t xml:space="preserve">
</t>
    </r>
    <r>
      <rPr>
        <sz val="11"/>
        <color rgb="FF000000"/>
        <rFont val="Calibri"/>
      </rPr>
      <t xml:space="preserve">                    &lt;param-value&gt;UTF-8&lt;/param-value&gt;</t>
    </r>
    <r>
      <rPr>
        <sz val="11"/>
        <color rgb="FF000000"/>
        <rFont val="Calibri"/>
      </rPr>
      <t xml:space="preserve">
</t>
    </r>
    <r>
      <rPr>
        <sz val="11"/>
        <color rgb="FF000000"/>
        <rFont val="Calibri"/>
      </rPr>
      <t xml:space="preserve">                    &lt;param-name&gt;ignore&lt;/param-name&gt;</t>
    </r>
    <r>
      <rPr>
        <sz val="11"/>
        <color rgb="FF000000"/>
        <rFont val="Calibri"/>
      </rPr>
      <t xml:space="preserve">
</t>
    </r>
    <r>
      <rPr>
        <sz val="11"/>
        <color rgb="FF000000"/>
        <rFont val="Calibri"/>
      </rPr>
      <t xml:space="preserve">                    &lt;param-value&gt;false&lt;/param-value&gt;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 xml:space="preserve">                &lt;async-supported&gt;true&lt;/async-supported&gt;</t>
    </r>
    <r>
      <rPr>
        <sz val="11"/>
        <color rgb="FF000000"/>
        <rFont val="Calibri"/>
      </rPr>
      <t xml:space="preserve">
</t>
    </r>
    <r>
      <rPr>
        <sz val="11"/>
        <color rgb="FF000000"/>
        <rFont val="Calibri"/>
      </rPr>
      <t xml:space="preserve">            &lt;/filter&gt;</t>
    </r>
    <r>
      <rPr>
        <sz val="11"/>
        <color rgb="FF000000"/>
        <rFont val="Calibri"/>
      </rPr>
      <t xml:space="preserve">
</t>
    </r>
    <r>
      <rPr>
        <sz val="11"/>
        <color rgb="FF000000"/>
        <rFont val="Calibri"/>
      </rPr>
      <t xml:space="preserve">           &lt;filter-mapping&gt;</t>
    </r>
    <r>
      <rPr>
        <sz val="11"/>
        <color rgb="FF000000"/>
        <rFont val="Calibri"/>
      </rPr>
      <t xml:space="preserve">
</t>
    </r>
    <r>
      <rPr>
        <sz val="11"/>
        <color rgb="FF000000"/>
        <rFont val="Calibri"/>
      </rPr>
      <t xml:space="preserve">             &lt;filter-name&gt;setCharacterEncodingFilter&lt;/filter-name&gt;</t>
    </r>
    <r>
      <rPr>
        <sz val="11"/>
        <color rgb="FF000000"/>
        <rFont val="Calibri"/>
      </rPr>
      <t xml:space="preserve">
</t>
    </r>
    <r>
      <rPr>
        <sz val="11"/>
        <color rgb="FF000000"/>
        <rFont val="Calibri"/>
      </rPr>
      <t xml:space="preserve">             &lt;url-pattern&gt;/*&lt;/url-pattern&gt;</t>
    </r>
    <r>
      <rPr>
        <sz val="11"/>
        <color rgb="FF000000"/>
        <rFont val="Calibri"/>
      </rPr>
      <t xml:space="preserve">
</t>
    </r>
    <r>
      <rPr>
        <sz val="11"/>
        <color rgb="FF000000"/>
        <rFont val="Calibri"/>
      </rPr>
      <t xml:space="preserve">          &lt;/filter-mapping&gt;</t>
    </r>
  </si>
  <si>
    <r>
      <rPr>
        <sz val="11"/>
        <color rgb="FF000000"/>
        <rFont val="Calibri"/>
      </rPr>
      <t xml:space="preserve">Invalid user input occurs when a user inserts data or characters into a hosted application's data entry field and the hosted application is unprepared to process that data. This results in unanticipated application behavior, potentially leading to an application compromise. Invalid user input is one of the primary methods employed when attempting to compromise an application. </t>
    </r>
    <r>
      <rPr>
        <sz val="11"/>
        <color rgb="FF000000"/>
        <rFont val="Calibri"/>
      </rPr>
      <t xml:space="preserve">
</t>
    </r>
    <r>
      <rPr>
        <sz val="11"/>
        <color rgb="FF000000"/>
        <rFont val="Calibri"/>
      </rPr>
      <t>An attacker can also enter Unicode into hosted applications in an effort to break out of the document home or root home directory or to bypass security checks.</t>
    </r>
    <r>
      <rPr>
        <sz val="11"/>
        <color rgb="FF000000"/>
        <rFont val="Calibri"/>
      </rPr>
      <t xml:space="preserve">
</t>
    </r>
    <r>
      <rPr>
        <sz val="11"/>
        <color rgb="FF000000"/>
        <rFont val="Calibri"/>
      </rPr>
      <t>As a web server, tc Server can be vulnerable to character encoding attacks if steps are not taken to mitigate the threat.  VMware utilizes the standard Tomcat setCharacterEncodingFilter filter to provide a layer of defense against character encoding attacks. Filters are Java objects that performs filtering tasks on either the request to a resource (a servlet or static content), or on the response from a resource, or both.</t>
    </r>
  </si>
  <si>
    <r>
      <rPr>
        <sz val="11"/>
        <color rgb="FF000000"/>
        <rFont val="Calibri"/>
      </rPr>
      <t>Navigate to and open /usr/lib/vmware-casa/casa-webapp/conf/web.xml.</t>
    </r>
    <r>
      <rPr>
        <sz val="11"/>
        <color rgb="FF000000"/>
        <rFont val="Calibri"/>
      </rPr>
      <t xml:space="preserve">
</t>
    </r>
    <r>
      <rPr>
        <sz val="11"/>
        <color rgb="FF000000"/>
        <rFont val="Calibri"/>
      </rPr>
      <t>Verify that the 'setCharacterEncodingFilter' &lt;filter&gt; has been specified with the following command:</t>
    </r>
    <r>
      <rPr>
        <sz val="11"/>
        <color rgb="FF000000"/>
        <rFont val="Calibri"/>
      </rPr>
      <t xml:space="preserve">
</t>
    </r>
    <r>
      <rPr>
        <sz val="11"/>
        <color rgb="FF000000"/>
        <rFont val="Calibri"/>
      </rPr>
      <t>grep -B 2 -A 7 setCharacterEncodingFilter /usr/lib/vmware-casa/casa-webapp/conf/web.xml</t>
    </r>
    <r>
      <rPr>
        <sz val="11"/>
        <color rgb="FF000000"/>
        <rFont val="Calibri"/>
      </rPr>
      <t xml:space="preserve">
</t>
    </r>
    <r>
      <rPr>
        <sz val="11"/>
        <color rgb="FF000000"/>
        <rFont val="Calibri"/>
      </rPr>
      <t>If the “setCharacterEncodingFilter” filter has not been specified or is commented out, this is a finding.</t>
    </r>
  </si>
  <si>
    <t>V-89003</t>
  </si>
  <si>
    <r>
      <rPr>
        <sz val="11"/>
        <rFont val="Calibri"/>
      </rPr>
      <t>tc Server API must use the setCharacterEncodingFilter filter.</t>
    </r>
  </si>
  <si>
    <r>
      <rPr>
        <sz val="11"/>
        <color rgb="FF000000"/>
        <rFont val="Calibri"/>
      </rPr>
      <t>Navigate to and open /usr/lib/vmware-vcops/tomcat-enterprise/conf/web.xml.</t>
    </r>
    <r>
      <rPr>
        <sz val="11"/>
        <color rgb="FF000000"/>
        <rFont val="Calibri"/>
      </rPr>
      <t xml:space="preserve">
</t>
    </r>
    <r>
      <rPr>
        <sz val="11"/>
        <color rgb="FF000000"/>
        <rFont val="Calibri"/>
      </rPr>
      <t>Configure the &lt;web-app&gt; node with the &lt;filter&gt; node listed below.</t>
    </r>
    <r>
      <rPr>
        <sz val="11"/>
        <color rgb="FF000000"/>
        <rFont val="Calibri"/>
      </rPr>
      <t xml:space="preserve">
</t>
    </r>
    <r>
      <rPr>
        <sz val="11"/>
        <color rgb="FF000000"/>
        <rFont val="Calibri"/>
      </rPr>
      <t xml:space="preserve">            &lt;filter&gt;</t>
    </r>
    <r>
      <rPr>
        <sz val="11"/>
        <color rgb="FF000000"/>
        <rFont val="Calibri"/>
      </rPr>
      <t xml:space="preserve">
</t>
    </r>
    <r>
      <rPr>
        <sz val="11"/>
        <color rgb="FF000000"/>
        <rFont val="Calibri"/>
      </rPr>
      <t xml:space="preserve">                &lt;filter-name&gt;setCharacterEncodingFilter&lt;/filter-name&gt;</t>
    </r>
    <r>
      <rPr>
        <sz val="11"/>
        <color rgb="FF000000"/>
        <rFont val="Calibri"/>
      </rPr>
      <t xml:space="preserve">
</t>
    </r>
    <r>
      <rPr>
        <sz val="11"/>
        <color rgb="FF000000"/>
        <rFont val="Calibri"/>
      </rPr>
      <t xml:space="preserve">                &lt;filter-class&gt;org.apache.catalina.filters.SetCharacterEncodingFilter&lt;/filter-class&gt;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 xml:space="preserve">                    &lt;param-name&gt;encoding&lt;/param-name&gt;</t>
    </r>
    <r>
      <rPr>
        <sz val="11"/>
        <color rgb="FF000000"/>
        <rFont val="Calibri"/>
      </rPr>
      <t xml:space="preserve">
</t>
    </r>
    <r>
      <rPr>
        <sz val="11"/>
        <color rgb="FF000000"/>
        <rFont val="Calibri"/>
      </rPr>
      <t xml:space="preserve">                    &lt;param-value&gt;UTF-8&lt;/param-value&gt;</t>
    </r>
    <r>
      <rPr>
        <sz val="11"/>
        <color rgb="FF000000"/>
        <rFont val="Calibri"/>
      </rPr>
      <t xml:space="preserve">
</t>
    </r>
    <r>
      <rPr>
        <sz val="11"/>
        <color rgb="FF000000"/>
        <rFont val="Calibri"/>
      </rPr>
      <t xml:space="preserve">                    &lt;param-name&gt;ignore&lt;/param-name&gt;</t>
    </r>
    <r>
      <rPr>
        <sz val="11"/>
        <color rgb="FF000000"/>
        <rFont val="Calibri"/>
      </rPr>
      <t xml:space="preserve">
</t>
    </r>
    <r>
      <rPr>
        <sz val="11"/>
        <color rgb="FF000000"/>
        <rFont val="Calibri"/>
      </rPr>
      <t xml:space="preserve">                    &lt;param-value&gt;false&lt;/param-value&gt;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 xml:space="preserve">                &lt;async-supported&gt;true&lt;/async-supported&gt;</t>
    </r>
    <r>
      <rPr>
        <sz val="11"/>
        <color rgb="FF000000"/>
        <rFont val="Calibri"/>
      </rPr>
      <t xml:space="preserve">
</t>
    </r>
    <r>
      <rPr>
        <sz val="11"/>
        <color rgb="FF000000"/>
        <rFont val="Calibri"/>
      </rPr>
      <t xml:space="preserve">            &lt;/filter&gt;</t>
    </r>
    <r>
      <rPr>
        <sz val="11"/>
        <color rgb="FF000000"/>
        <rFont val="Calibri"/>
      </rPr>
      <t xml:space="preserve">
</t>
    </r>
    <r>
      <rPr>
        <sz val="11"/>
        <color rgb="FF000000"/>
        <rFont val="Calibri"/>
      </rPr>
      <t xml:space="preserve">           &lt;filter-mapping&gt;</t>
    </r>
    <r>
      <rPr>
        <sz val="11"/>
        <color rgb="FF000000"/>
        <rFont val="Calibri"/>
      </rPr>
      <t xml:space="preserve">
</t>
    </r>
    <r>
      <rPr>
        <sz val="11"/>
        <color rgb="FF000000"/>
        <rFont val="Calibri"/>
      </rPr>
      <t xml:space="preserve">             &lt;filter-name&gt;setCharacterEncodingFilter&lt;/filter-name&gt;</t>
    </r>
    <r>
      <rPr>
        <sz val="11"/>
        <color rgb="FF000000"/>
        <rFont val="Calibri"/>
      </rPr>
      <t xml:space="preserve">
</t>
    </r>
    <r>
      <rPr>
        <sz val="11"/>
        <color rgb="FF000000"/>
        <rFont val="Calibri"/>
      </rPr>
      <t xml:space="preserve">             &lt;url-pattern&gt;/*&lt;/url-pattern&gt;</t>
    </r>
    <r>
      <rPr>
        <sz val="11"/>
        <color rgb="FF000000"/>
        <rFont val="Calibri"/>
      </rPr>
      <t xml:space="preserve">
</t>
    </r>
    <r>
      <rPr>
        <sz val="11"/>
        <color rgb="FF000000"/>
        <rFont val="Calibri"/>
      </rPr>
      <t xml:space="preserve">          &lt;/filter-mapping&gt;</t>
    </r>
  </si>
  <si>
    <r>
      <rPr>
        <sz val="11"/>
        <color rgb="FF000000"/>
        <rFont val="Calibri"/>
      </rPr>
      <t>Navigate to and open /usr/lib/vmware-vcops/tomcat-enterprise/conf/web.xml.</t>
    </r>
    <r>
      <rPr>
        <sz val="11"/>
        <color rgb="FF000000"/>
        <rFont val="Calibri"/>
      </rPr>
      <t xml:space="preserve">
</t>
    </r>
    <r>
      <rPr>
        <sz val="11"/>
        <color rgb="FF000000"/>
        <rFont val="Calibri"/>
      </rPr>
      <t>Verify that the 'setCharacterEncodingFilter' &lt;filter&gt; has been specified with the following command:</t>
    </r>
    <r>
      <rPr>
        <sz val="11"/>
        <color rgb="FF000000"/>
        <rFont val="Calibri"/>
      </rPr>
      <t xml:space="preserve">
</t>
    </r>
    <r>
      <rPr>
        <sz val="11"/>
        <color rgb="FF000000"/>
        <rFont val="Calibri"/>
      </rPr>
      <t>grep -B 2 -A 7 setCharacterEncodingFilter /usr/lib/vmware-vcops/tomcat-enterprise/conf/web.xml</t>
    </r>
    <r>
      <rPr>
        <sz val="11"/>
        <color rgb="FF000000"/>
        <rFont val="Calibri"/>
      </rPr>
      <t xml:space="preserve">
</t>
    </r>
    <r>
      <rPr>
        <sz val="11"/>
        <color rgb="FF000000"/>
        <rFont val="Calibri"/>
      </rPr>
      <t>If the “setCharacterEncodingFilter” filter has not been specified or is commented out, this is a finding.</t>
    </r>
  </si>
  <si>
    <t>V-89005</t>
  </si>
  <si>
    <r>
      <rPr>
        <sz val="11"/>
        <rFont val="Calibri"/>
      </rPr>
      <t>tc Server UI must set the welcome-file node to a default web page.</t>
    </r>
  </si>
  <si>
    <r>
      <rPr>
        <sz val="11"/>
        <color rgb="FF000000"/>
        <rFont val="Calibri"/>
      </rPr>
      <t>Navigate to and open /usr/lib/vmware-vcops/tomcat-web-app/conf/web.xml.</t>
    </r>
    <r>
      <rPr>
        <sz val="11"/>
        <color rgb="FF000000"/>
        <rFont val="Calibri"/>
      </rPr>
      <t xml:space="preserve">
</t>
    </r>
    <r>
      <rPr>
        <sz val="11"/>
        <color rgb="FF000000"/>
        <rFont val="Calibri"/>
      </rPr>
      <t>Inspect the file and ensure that it contains the below section:</t>
    </r>
    <r>
      <rPr>
        <sz val="11"/>
        <color rgb="FF000000"/>
        <rFont val="Calibri"/>
      </rPr>
      <t xml:space="preserve">
</t>
    </r>
    <r>
      <rPr>
        <sz val="11"/>
        <color rgb="FF000000"/>
        <rFont val="Calibri"/>
      </rPr>
      <t xml:space="preserve">    &lt;welcome-file-list&gt;</t>
    </r>
    <r>
      <rPr>
        <sz val="11"/>
        <color rgb="FF000000"/>
        <rFont val="Calibri"/>
      </rPr>
      <t xml:space="preserve">
</t>
    </r>
    <r>
      <rPr>
        <sz val="11"/>
        <color rgb="FF000000"/>
        <rFont val="Calibri"/>
      </rPr>
      <t xml:space="preserve">        &lt;welcome-file&gt;index.html&lt;/welcome-file&gt;</t>
    </r>
    <r>
      <rPr>
        <sz val="11"/>
        <color rgb="FF000000"/>
        <rFont val="Calibri"/>
      </rPr>
      <t xml:space="preserve">
</t>
    </r>
    <r>
      <rPr>
        <sz val="11"/>
        <color rgb="FF000000"/>
        <rFont val="Calibri"/>
      </rPr>
      <t xml:space="preserve">        &lt;welcome-file&gt;index.htm&lt;/welcome-file&gt;</t>
    </r>
    <r>
      <rPr>
        <sz val="11"/>
        <color rgb="FF000000"/>
        <rFont val="Calibri"/>
      </rPr>
      <t xml:space="preserve">
</t>
    </r>
    <r>
      <rPr>
        <sz val="11"/>
        <color rgb="FF000000"/>
        <rFont val="Calibri"/>
      </rPr>
      <t xml:space="preserve">        &lt;welcome-file&gt;index.jsp&lt;/welcome-file&gt;</t>
    </r>
    <r>
      <rPr>
        <sz val="11"/>
        <color rgb="FF000000"/>
        <rFont val="Calibri"/>
      </rPr>
      <t xml:space="preserve">
</t>
    </r>
    <r>
      <rPr>
        <sz val="11"/>
        <color rgb="FF000000"/>
        <rFont val="Calibri"/>
      </rPr>
      <t xml:space="preserve">    &lt;/welcome-file-list&gt;</t>
    </r>
  </si>
  <si>
    <r>
      <rPr>
        <sz val="11"/>
        <color rgb="FF000000"/>
        <rFont val="Calibri"/>
      </rPr>
      <t>The goal is to completely control the web user's experience in navigating any portion of the web document root directories. Ensuring all web content directories have at least the equivalent of an index.html file is a significant factor to accomplish this end.</t>
    </r>
    <r>
      <rPr>
        <sz val="11"/>
        <color rgb="FF000000"/>
        <rFont val="Calibri"/>
      </rPr>
      <t xml:space="preserve">
</t>
    </r>
    <r>
      <rPr>
        <sz val="11"/>
        <color rgb="FF000000"/>
        <rFont val="Calibri"/>
      </rPr>
      <t>Enumeration techniques, such as URL parameter manipulation, rely upon being able to obtain information about the web server's directory structure by locating directories without default pages. In the scenario, the web server will display to the user a listing of the files in the directory being accessed. By having a default hosted application web page, the anonymous web user will not obtain directory browsing information or an error message that reveals the server type and version.</t>
    </r>
    <r>
      <rPr>
        <sz val="11"/>
        <color rgb="FF000000"/>
        <rFont val="Calibri"/>
      </rPr>
      <t xml:space="preserve">
</t>
    </r>
    <r>
      <rPr>
        <sz val="11"/>
        <color rgb="FF000000"/>
        <rFont val="Calibri"/>
      </rPr>
      <t>As a web server, tc Server can be vulnerable to enumeration techniques if steps are not taken to mitigate the vulnerability. Ensuring that every document directory has an “index.jsp” (or equivalent) file is one common sense approach to mitigating the vulnerability.</t>
    </r>
  </si>
  <si>
    <r>
      <rPr>
        <sz val="11"/>
        <color rgb="FF000000"/>
        <rFont val="Calibri"/>
      </rPr>
      <t>At the command prompt, execute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grep -E -A 4 '&lt;welcome-file-list' /usr/lib/vmware-vcops/tomcat-web-app/conf/web.xml</t>
    </r>
    <r>
      <rPr>
        <sz val="11"/>
        <color rgb="FF000000"/>
        <rFont val="Calibri"/>
      </rPr>
      <t xml:space="preserve">
</t>
    </r>
    <r>
      <rPr>
        <sz val="11"/>
        <color rgb="FF000000"/>
        <rFont val="Calibri"/>
      </rPr>
      <t>If a &lt;welcome-file&gt; node is not set to a default web page, this is a finding.</t>
    </r>
  </si>
  <si>
    <t>V-89007</t>
  </si>
  <si>
    <r>
      <rPr>
        <sz val="11"/>
        <rFont val="Calibri"/>
      </rPr>
      <t>tc Server CaSa must set the welcome-file node to a default web page.</t>
    </r>
  </si>
  <si>
    <r>
      <rPr>
        <sz val="11"/>
        <color rgb="FF000000"/>
        <rFont val="Calibri"/>
      </rPr>
      <t>Navigate to and open /usr/lib/vmware-casa/casa-webapp/conf/web.xml.</t>
    </r>
    <r>
      <rPr>
        <sz val="11"/>
        <color rgb="FF000000"/>
        <rFont val="Calibri"/>
      </rPr>
      <t xml:space="preserve">
</t>
    </r>
    <r>
      <rPr>
        <sz val="11"/>
        <color rgb="FF000000"/>
        <rFont val="Calibri"/>
      </rPr>
      <t>Inspect the file and ensure that it contains the below section:</t>
    </r>
    <r>
      <rPr>
        <sz val="11"/>
        <color rgb="FF000000"/>
        <rFont val="Calibri"/>
      </rPr>
      <t xml:space="preserve">
</t>
    </r>
    <r>
      <rPr>
        <sz val="11"/>
        <color rgb="FF000000"/>
        <rFont val="Calibri"/>
      </rPr>
      <t xml:space="preserve">    &lt;welcome-file-list&gt;</t>
    </r>
    <r>
      <rPr>
        <sz val="11"/>
        <color rgb="FF000000"/>
        <rFont val="Calibri"/>
      </rPr>
      <t xml:space="preserve">
</t>
    </r>
    <r>
      <rPr>
        <sz val="11"/>
        <color rgb="FF000000"/>
        <rFont val="Calibri"/>
      </rPr>
      <t xml:space="preserve">        &lt;welcome-file&gt;index.html&lt;/welcome-file&gt;</t>
    </r>
    <r>
      <rPr>
        <sz val="11"/>
        <color rgb="FF000000"/>
        <rFont val="Calibri"/>
      </rPr>
      <t xml:space="preserve">
</t>
    </r>
    <r>
      <rPr>
        <sz val="11"/>
        <color rgb="FF000000"/>
        <rFont val="Calibri"/>
      </rPr>
      <t xml:space="preserve">        &lt;welcome-file&gt;index.htm&lt;/welcome-file&gt;</t>
    </r>
    <r>
      <rPr>
        <sz val="11"/>
        <color rgb="FF000000"/>
        <rFont val="Calibri"/>
      </rPr>
      <t xml:space="preserve">
</t>
    </r>
    <r>
      <rPr>
        <sz val="11"/>
        <color rgb="FF000000"/>
        <rFont val="Calibri"/>
      </rPr>
      <t xml:space="preserve">        &lt;welcome-file&gt;index.jsp&lt;/welcome-file&gt;</t>
    </r>
    <r>
      <rPr>
        <sz val="11"/>
        <color rgb="FF000000"/>
        <rFont val="Calibri"/>
      </rPr>
      <t xml:space="preserve">
</t>
    </r>
    <r>
      <rPr>
        <sz val="11"/>
        <color rgb="FF000000"/>
        <rFont val="Calibri"/>
      </rPr>
      <t xml:space="preserve">    &lt;/welcome-file-list&gt;</t>
    </r>
  </si>
  <si>
    <r>
      <rPr>
        <sz val="11"/>
        <color rgb="FF000000"/>
        <rFont val="Calibri"/>
      </rPr>
      <t>The goal is to completely control the web user's experience in navigating any portion of the web document root directories. Ensuring all web content directories have at least the equivalent of an index.html file is a significant factor to accomplish this end.</t>
    </r>
    <r>
      <rPr>
        <sz val="11"/>
        <color rgb="FF000000"/>
        <rFont val="Calibri"/>
      </rPr>
      <t xml:space="preserve">
</t>
    </r>
    <r>
      <rPr>
        <sz val="11"/>
        <color rgb="FF000000"/>
        <rFont val="Calibri"/>
      </rPr>
      <t>Enumeration techniques, such as URL parameter manipulation, rely upon being able to obtain information about the web server's directory structure by locating directories without default pages. In the scenario, the web server will display to the user a listing of the files in the directory being accessed. By having a default hosted application web page, the anonymous web user will not obtain directory browsing information or an error message that reveals the server type and version.</t>
    </r>
    <r>
      <rPr>
        <sz val="11"/>
        <color rgb="FF000000"/>
        <rFont val="Calibri"/>
      </rPr>
      <t xml:space="preserve">
</t>
    </r>
    <r>
      <rPr>
        <sz val="11"/>
        <color rgb="FF000000"/>
        <rFont val="Calibri"/>
      </rPr>
      <t>As a web server, tc Server can be vulnerable to enumeration techniques if steps are not taken to mitigate the vulnerability.  Ensuring that every document directory has an “index.jsp” (or equivalent) file is one common sense approach to mitigating the vulnerability.</t>
    </r>
  </si>
  <si>
    <r>
      <rPr>
        <sz val="11"/>
        <color rgb="FF000000"/>
        <rFont val="Calibri"/>
      </rPr>
      <t>At the command prompt, execute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grep -E -A 4 '&lt;welcome-file-list' /usr/lib/vmware-casa/casa-webapp/conf/web.xml</t>
    </r>
    <r>
      <rPr>
        <sz val="11"/>
        <color rgb="FF000000"/>
        <rFont val="Calibri"/>
      </rPr>
      <t xml:space="preserve">
</t>
    </r>
    <r>
      <rPr>
        <sz val="11"/>
        <color rgb="FF000000"/>
        <rFont val="Calibri"/>
      </rPr>
      <t>If a &lt;welcome-file&gt; node is not set to a default web page, this is a finding.</t>
    </r>
  </si>
  <si>
    <t>V-89009</t>
  </si>
  <si>
    <r>
      <rPr>
        <sz val="11"/>
        <rFont val="Calibri"/>
      </rPr>
      <t>tc Server API must set the welcome-file node to a default web page.</t>
    </r>
  </si>
  <si>
    <r>
      <rPr>
        <sz val="11"/>
        <color rgb="FF000000"/>
        <rFont val="Calibri"/>
      </rPr>
      <t>Navigate to and open /usr/lib/vmware-vcops/tomcat-enterprise/conf/web.xml.</t>
    </r>
    <r>
      <rPr>
        <sz val="11"/>
        <color rgb="FF000000"/>
        <rFont val="Calibri"/>
      </rPr>
      <t xml:space="preserve">
</t>
    </r>
    <r>
      <rPr>
        <sz val="11"/>
        <color rgb="FF000000"/>
        <rFont val="Calibri"/>
      </rPr>
      <t>Inspect the file and ensure that it contains the below section:</t>
    </r>
    <r>
      <rPr>
        <sz val="11"/>
        <color rgb="FF000000"/>
        <rFont val="Calibri"/>
      </rPr>
      <t xml:space="preserve">
</t>
    </r>
    <r>
      <rPr>
        <sz val="11"/>
        <color rgb="FF000000"/>
        <rFont val="Calibri"/>
      </rPr>
      <t xml:space="preserve">    &lt;welcome-file-list&gt;</t>
    </r>
    <r>
      <rPr>
        <sz val="11"/>
        <color rgb="FF000000"/>
        <rFont val="Calibri"/>
      </rPr>
      <t xml:space="preserve">
</t>
    </r>
    <r>
      <rPr>
        <sz val="11"/>
        <color rgb="FF000000"/>
        <rFont val="Calibri"/>
      </rPr>
      <t xml:space="preserve">        &lt;welcome-file&gt;index.html&lt;/welcome-file&gt;</t>
    </r>
    <r>
      <rPr>
        <sz val="11"/>
        <color rgb="FF000000"/>
        <rFont val="Calibri"/>
      </rPr>
      <t xml:space="preserve">
</t>
    </r>
    <r>
      <rPr>
        <sz val="11"/>
        <color rgb="FF000000"/>
        <rFont val="Calibri"/>
      </rPr>
      <t xml:space="preserve">        &lt;welcome-file&gt;index.htm&lt;/welcome-file&gt;</t>
    </r>
    <r>
      <rPr>
        <sz val="11"/>
        <color rgb="FF000000"/>
        <rFont val="Calibri"/>
      </rPr>
      <t xml:space="preserve">
</t>
    </r>
    <r>
      <rPr>
        <sz val="11"/>
        <color rgb="FF000000"/>
        <rFont val="Calibri"/>
      </rPr>
      <t xml:space="preserve">        &lt;welcome-file&gt;index.jsp&lt;/welcome-file&gt;</t>
    </r>
    <r>
      <rPr>
        <sz val="11"/>
        <color rgb="FF000000"/>
        <rFont val="Calibri"/>
      </rPr>
      <t xml:space="preserve">
</t>
    </r>
    <r>
      <rPr>
        <sz val="11"/>
        <color rgb="FF000000"/>
        <rFont val="Calibri"/>
      </rPr>
      <t xml:space="preserve">    &lt;/welcome-file-list&gt;</t>
    </r>
  </si>
  <si>
    <r>
      <rPr>
        <sz val="11"/>
        <color rgb="FF000000"/>
        <rFont val="Calibri"/>
      </rPr>
      <t>At the command prompt, execute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grep -E -A 4 '&lt;welcome-file-list' /usr/lib/vmware-vcops/tomcat-enterprise/conf/web.xml</t>
    </r>
    <r>
      <rPr>
        <sz val="11"/>
        <color rgb="FF000000"/>
        <rFont val="Calibri"/>
      </rPr>
      <t xml:space="preserve">
</t>
    </r>
    <r>
      <rPr>
        <sz val="11"/>
        <color rgb="FF000000"/>
        <rFont val="Calibri"/>
      </rPr>
      <t>If a &lt;welcome-file&gt; node is not set to a default web page, this is a finding.</t>
    </r>
  </si>
  <si>
    <t>V-89011</t>
  </si>
  <si>
    <r>
      <rPr>
        <sz val="11"/>
        <rFont val="Calibri"/>
      </rPr>
      <t>tc Server UI must have the allowTrace parameter set to false.</t>
    </r>
  </si>
  <si>
    <r>
      <rPr>
        <sz val="11"/>
        <color rgb="FF000000"/>
        <rFont val="Calibri"/>
      </rPr>
      <t>Navigate to and open /usr/lib/vmware-vcops/tomcat-web-app/conf/server.xml.</t>
    </r>
    <r>
      <rPr>
        <sz val="11"/>
        <color rgb="FF000000"/>
        <rFont val="Calibri"/>
      </rPr>
      <t xml:space="preserve">
</t>
    </r>
    <r>
      <rPr>
        <sz val="11"/>
        <color rgb="FF000000"/>
        <rFont val="Calibri"/>
      </rPr>
      <t>Navigate to and locate the &lt;Connector&gt; nodes that have 'allowTrace="true"'</t>
    </r>
    <r>
      <rPr>
        <sz val="11"/>
        <color rgb="FF000000"/>
        <rFont val="Calibri"/>
      </rPr>
      <t xml:space="preserve">
</t>
    </r>
    <r>
      <rPr>
        <sz val="11"/>
        <color rgb="FF000000"/>
        <rFont val="Calibri"/>
      </rPr>
      <t>Remove the 'allowTrace="true"' setting.</t>
    </r>
  </si>
  <si>
    <r>
      <rPr>
        <sz val="11"/>
        <color rgb="FF000000"/>
        <rFont val="Calibri"/>
      </rPr>
      <t>Web servers will often display error messages to client users displaying enough information to aid in the debugging of the error. The information given back in error messages may display the web server type, version, patches installed, plug-ins and modules installed, type of code being used by the hosted application, and any backends being used for data storage.</t>
    </r>
  </si>
  <si>
    <r>
      <rPr>
        <sz val="11"/>
        <color rgb="FF000000"/>
        <rFont val="Calibri"/>
      </rPr>
      <t>At the command prompt, execute the following command:</t>
    </r>
    <r>
      <rPr>
        <sz val="11"/>
        <color rgb="FF000000"/>
        <rFont val="Calibri"/>
      </rPr>
      <t xml:space="preserve">
</t>
    </r>
    <r>
      <rPr>
        <sz val="11"/>
        <color rgb="FF000000"/>
        <rFont val="Calibri"/>
      </rPr>
      <t>grep allowTrace /usr/lib/vmware-vcops/tomcat-web-app/conf/server.xml</t>
    </r>
    <r>
      <rPr>
        <sz val="11"/>
        <color rgb="FF000000"/>
        <rFont val="Calibri"/>
      </rPr>
      <t xml:space="preserve">
</t>
    </r>
    <r>
      <rPr>
        <sz val="11"/>
        <color rgb="FF000000"/>
        <rFont val="Calibri"/>
      </rPr>
      <t>If “allowTrace” is set to "true", this is a finding.</t>
    </r>
    <r>
      <rPr>
        <sz val="11"/>
        <color rgb="FF000000"/>
        <rFont val="Calibri"/>
      </rPr>
      <t xml:space="preserve">
</t>
    </r>
    <r>
      <rPr>
        <sz val="11"/>
        <color rgb="FF000000"/>
        <rFont val="Calibri"/>
      </rPr>
      <t>Note: If no line is returned this is NOT a finding.</t>
    </r>
  </si>
  <si>
    <t>V-89013</t>
  </si>
  <si>
    <r>
      <rPr>
        <sz val="11"/>
        <rFont val="Calibri"/>
      </rPr>
      <t>tc Server CaSa must have the allowTrace parameter set to false.</t>
    </r>
  </si>
  <si>
    <r>
      <rPr>
        <sz val="11"/>
        <color rgb="FF000000"/>
        <rFont val="Calibri"/>
      </rPr>
      <t>Navigate to and open /usr/lib/vmware-casa/casa-webapp/conf/server.xml.</t>
    </r>
    <r>
      <rPr>
        <sz val="11"/>
        <color rgb="FF000000"/>
        <rFont val="Calibri"/>
      </rPr>
      <t xml:space="preserve">
</t>
    </r>
    <r>
      <rPr>
        <sz val="11"/>
        <color rgb="FF000000"/>
        <rFont val="Calibri"/>
      </rPr>
      <t>Navigate to and locate the &lt;Connector&gt; nodes that have 'allowTrace="true"'</t>
    </r>
    <r>
      <rPr>
        <sz val="11"/>
        <color rgb="FF000000"/>
        <rFont val="Calibri"/>
      </rPr>
      <t xml:space="preserve">
</t>
    </r>
    <r>
      <rPr>
        <sz val="11"/>
        <color rgb="FF000000"/>
        <rFont val="Calibri"/>
      </rPr>
      <t>Remove the 'allowTrace="true"' setting.</t>
    </r>
  </si>
  <si>
    <r>
      <rPr>
        <sz val="11"/>
        <color rgb="FF000000"/>
        <rFont val="Calibri"/>
      </rPr>
      <t>At the command prompt, execute the following command:</t>
    </r>
    <r>
      <rPr>
        <sz val="11"/>
        <color rgb="FF000000"/>
        <rFont val="Calibri"/>
      </rPr>
      <t xml:space="preserve">
</t>
    </r>
    <r>
      <rPr>
        <sz val="11"/>
        <color rgb="FF000000"/>
        <rFont val="Calibri"/>
      </rPr>
      <t>grep allowTrace /usr/lib/vmware-casa/casa-webapp/conf/server.xml</t>
    </r>
    <r>
      <rPr>
        <sz val="11"/>
        <color rgb="FF000000"/>
        <rFont val="Calibri"/>
      </rPr>
      <t xml:space="preserve">
</t>
    </r>
    <r>
      <rPr>
        <sz val="11"/>
        <color rgb="FF000000"/>
        <rFont val="Calibri"/>
      </rPr>
      <t>If “allowTrace” is set to "true", this is a finding.</t>
    </r>
    <r>
      <rPr>
        <sz val="11"/>
        <color rgb="FF000000"/>
        <rFont val="Calibri"/>
      </rPr>
      <t xml:space="preserve">
</t>
    </r>
    <r>
      <rPr>
        <sz val="11"/>
        <color rgb="FF000000"/>
        <rFont val="Calibri"/>
      </rPr>
      <t>Note: If no line is returned this is NOT a finding.</t>
    </r>
  </si>
  <si>
    <t>V-89015</t>
  </si>
  <si>
    <r>
      <rPr>
        <sz val="11"/>
        <rFont val="Calibri"/>
      </rPr>
      <t>tc Server API must have the allowTrace parameter set to false.</t>
    </r>
  </si>
  <si>
    <r>
      <rPr>
        <sz val="11"/>
        <color rgb="FF000000"/>
        <rFont val="Calibri"/>
      </rPr>
      <t>Navigate to and open /usr/lib/vmware-vcops/tomcat-enterprise/conf/server.xml.</t>
    </r>
    <r>
      <rPr>
        <sz val="11"/>
        <color rgb="FF000000"/>
        <rFont val="Calibri"/>
      </rPr>
      <t xml:space="preserve">
</t>
    </r>
    <r>
      <rPr>
        <sz val="11"/>
        <color rgb="FF000000"/>
        <rFont val="Calibri"/>
      </rPr>
      <t>Navigate to and locate the &lt;Connector&gt; nodes that have 'allowTrace="true"'</t>
    </r>
    <r>
      <rPr>
        <sz val="11"/>
        <color rgb="FF000000"/>
        <rFont val="Calibri"/>
      </rPr>
      <t xml:space="preserve">
</t>
    </r>
    <r>
      <rPr>
        <sz val="11"/>
        <color rgb="FF000000"/>
        <rFont val="Calibri"/>
      </rPr>
      <t>Remove the 'allowTrace="true"' setting.</t>
    </r>
  </si>
  <si>
    <r>
      <rPr>
        <sz val="11"/>
        <color rgb="FF000000"/>
        <rFont val="Calibri"/>
      </rPr>
      <t>At the command prompt, execute the following command:</t>
    </r>
    <r>
      <rPr>
        <sz val="11"/>
        <color rgb="FF000000"/>
        <rFont val="Calibri"/>
      </rPr>
      <t xml:space="preserve">
</t>
    </r>
    <r>
      <rPr>
        <sz val="11"/>
        <color rgb="FF000000"/>
        <rFont val="Calibri"/>
      </rPr>
      <t>grep allowTrace /usr/lib/vmware-vcops/tomcat-enterprise/conf/server.xml</t>
    </r>
    <r>
      <rPr>
        <sz val="11"/>
        <color rgb="FF000000"/>
        <rFont val="Calibri"/>
      </rPr>
      <t xml:space="preserve">
</t>
    </r>
    <r>
      <rPr>
        <sz val="11"/>
        <color rgb="FF000000"/>
        <rFont val="Calibri"/>
      </rPr>
      <t>If “allowTrace” is set to "true", this is a finding.</t>
    </r>
    <r>
      <rPr>
        <sz val="11"/>
        <color rgb="FF000000"/>
        <rFont val="Calibri"/>
      </rPr>
      <t xml:space="preserve">
</t>
    </r>
    <r>
      <rPr>
        <sz val="11"/>
        <color rgb="FF000000"/>
        <rFont val="Calibri"/>
      </rPr>
      <t>Note: If no line is returned this is NOT a finding.</t>
    </r>
  </si>
  <si>
    <t>V-89017</t>
  </si>
  <si>
    <r>
      <rPr>
        <sz val="11"/>
        <rFont val="Calibri"/>
      </rPr>
      <t>tc Server UI must have the debug option turned off.</t>
    </r>
  </si>
  <si>
    <r>
      <rPr>
        <sz val="11"/>
        <color rgb="FF000000"/>
        <rFont val="Calibri"/>
      </rPr>
      <t>Navigate to and open /usr/lib/vmware-vcops/tomcat-web-app/conf/web.xml.</t>
    </r>
    <r>
      <rPr>
        <sz val="11"/>
        <color rgb="FF000000"/>
        <rFont val="Calibri"/>
      </rPr>
      <t xml:space="preserve">
</t>
    </r>
    <r>
      <rPr>
        <sz val="11"/>
        <color rgb="FF000000"/>
        <rFont val="Calibri"/>
      </rPr>
      <t>Navigate to all &lt;debug&gt; nodes that are not set to "0".</t>
    </r>
    <r>
      <rPr>
        <sz val="11"/>
        <color rgb="FF000000"/>
        <rFont val="Calibri"/>
      </rPr>
      <t xml:space="preserve">
</t>
    </r>
    <r>
      <rPr>
        <sz val="11"/>
        <color rgb="FF000000"/>
        <rFont val="Calibri"/>
      </rPr>
      <t>Set the &lt;param-value&gt; to "0" in all &lt;param-name&gt;debug&lt;/param-name&gt; nodes.</t>
    </r>
    <r>
      <rPr>
        <sz val="11"/>
        <color rgb="FF000000"/>
        <rFont val="Calibri"/>
      </rPr>
      <t xml:space="preserve">
</t>
    </r>
    <r>
      <rPr>
        <sz val="11"/>
        <color rgb="FF000000"/>
        <rFont val="Calibri"/>
      </rPr>
      <t>Note: The debug setting should look like the below:</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 xml:space="preserve">                  &lt;param-name&gt;debug&lt;/param-name&gt;</t>
    </r>
    <r>
      <rPr>
        <sz val="11"/>
        <color rgb="FF000000"/>
        <rFont val="Calibri"/>
      </rPr>
      <t xml:space="preserve">
</t>
    </r>
    <r>
      <rPr>
        <sz val="11"/>
        <color rgb="FF000000"/>
        <rFont val="Calibri"/>
      </rPr>
      <t xml:space="preserve">                  &lt;param-value&gt;0&lt;/param-value&gt;</t>
    </r>
    <r>
      <rPr>
        <sz val="11"/>
        <color rgb="FF000000"/>
        <rFont val="Calibri"/>
      </rPr>
      <t xml:space="preserve">
</t>
    </r>
    <r>
      <rPr>
        <sz val="11"/>
        <color rgb="FF000000"/>
        <rFont val="Calibri"/>
      </rPr>
      <t xml:space="preserve">               &lt;/init-param&gt;</t>
    </r>
  </si>
  <si>
    <r>
      <rPr>
        <sz val="11"/>
        <color rgb="FF000000"/>
        <rFont val="Calibri"/>
      </rPr>
      <t>Information needed by an attacker to begin looking for possible vulnerabilities in a web server includes any information about the web server and plug-ins or modules being used. When debugging or trace information is enabled in a production web server, information about the web server, such as web server type, version, patches installed, plug-ins and modules installed, type of code being used by the hosted application, and any backends being used for data storage may be displayed. Since this information may be placed in logs and general messages during normal operation of the web server, an attacker does not need to cause an error condition to gain this information.</t>
    </r>
    <r>
      <rPr>
        <sz val="11"/>
        <color rgb="FF000000"/>
        <rFont val="Calibri"/>
      </rPr>
      <t xml:space="preserve">
</t>
    </r>
    <r>
      <rPr>
        <sz val="11"/>
        <color rgb="FF000000"/>
        <rFont val="Calibri"/>
      </rPr>
      <t>As a Tomcat derivative, tc Server can be configured to set the debugging level. By setting the debugging level to zero (0), no debugging information will be provided to a malicious user.  This provides a layer of defense to vROps.</t>
    </r>
  </si>
  <si>
    <r>
      <rPr>
        <sz val="11"/>
        <color rgb="FF000000"/>
        <rFont val="Calibri"/>
      </rPr>
      <t>At the command prompt, execute the following command:</t>
    </r>
    <r>
      <rPr>
        <sz val="11"/>
        <color rgb="FF000000"/>
        <rFont val="Calibri"/>
      </rPr>
      <t xml:space="preserve">
</t>
    </r>
    <r>
      <rPr>
        <sz val="11"/>
        <color rgb="FF000000"/>
        <rFont val="Calibri"/>
      </rPr>
      <t>grep -En -A 2 -B 1 '&lt;param-name&gt;debug&lt;/param-name&gt;' /usr/lib/vmware-vcops/tomcat-web-app/conf/web.xml</t>
    </r>
    <r>
      <rPr>
        <sz val="11"/>
        <color rgb="FF000000"/>
        <rFont val="Calibri"/>
      </rPr>
      <t xml:space="preserve">
</t>
    </r>
    <r>
      <rPr>
        <sz val="11"/>
        <color rgb="FF000000"/>
        <rFont val="Calibri"/>
      </rPr>
      <t>If all instances of the debug parameter are not set to "0", this is a finding.</t>
    </r>
  </si>
  <si>
    <t>V-89019</t>
  </si>
  <si>
    <r>
      <rPr>
        <sz val="11"/>
        <rFont val="Calibri"/>
      </rPr>
      <t>tc Server CaSa must have the debug option turned off.</t>
    </r>
  </si>
  <si>
    <r>
      <rPr>
        <sz val="11"/>
        <color rgb="FF000000"/>
        <rFont val="Calibri"/>
      </rPr>
      <t>Navigate to and open /usr/lib/vmware-casa/casa-webapp/conf/web.xml.</t>
    </r>
    <r>
      <rPr>
        <sz val="11"/>
        <color rgb="FF000000"/>
        <rFont val="Calibri"/>
      </rPr>
      <t xml:space="preserve">
</t>
    </r>
    <r>
      <rPr>
        <sz val="11"/>
        <color rgb="FF000000"/>
        <rFont val="Calibri"/>
      </rPr>
      <t>Navigate to all &lt;debug&gt; nodes that are not set to "0".</t>
    </r>
    <r>
      <rPr>
        <sz val="11"/>
        <color rgb="FF000000"/>
        <rFont val="Calibri"/>
      </rPr>
      <t xml:space="preserve">
</t>
    </r>
    <r>
      <rPr>
        <sz val="11"/>
        <color rgb="FF000000"/>
        <rFont val="Calibri"/>
      </rPr>
      <t>Set the &lt;param-value&gt; to "0" in all &lt;param-name&gt;debug&lt;/param-name&gt; nodes.</t>
    </r>
    <r>
      <rPr>
        <sz val="11"/>
        <color rgb="FF000000"/>
        <rFont val="Calibri"/>
      </rPr>
      <t xml:space="preserve">
</t>
    </r>
    <r>
      <rPr>
        <sz val="11"/>
        <color rgb="FF000000"/>
        <rFont val="Calibri"/>
      </rPr>
      <t>Note: The debug setting should look like the below:</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 xml:space="preserve">                  &lt;param-name&gt;debug&lt;/param-name&gt;</t>
    </r>
    <r>
      <rPr>
        <sz val="11"/>
        <color rgb="FF000000"/>
        <rFont val="Calibri"/>
      </rPr>
      <t xml:space="preserve">
</t>
    </r>
    <r>
      <rPr>
        <sz val="11"/>
        <color rgb="FF000000"/>
        <rFont val="Calibri"/>
      </rPr>
      <t xml:space="preserve">                  &lt;param-value&gt;0&lt;/param-value&gt;</t>
    </r>
    <r>
      <rPr>
        <sz val="11"/>
        <color rgb="FF000000"/>
        <rFont val="Calibri"/>
      </rPr>
      <t xml:space="preserve">
</t>
    </r>
    <r>
      <rPr>
        <sz val="11"/>
        <color rgb="FF000000"/>
        <rFont val="Calibri"/>
      </rPr>
      <t xml:space="preserve">               &lt;/init-param&gt;</t>
    </r>
  </si>
  <si>
    <r>
      <rPr>
        <sz val="11"/>
        <color rgb="FF000000"/>
        <rFont val="Calibri"/>
      </rPr>
      <t>At the command prompt, execute the following command:</t>
    </r>
    <r>
      <rPr>
        <sz val="11"/>
        <color rgb="FF000000"/>
        <rFont val="Calibri"/>
      </rPr>
      <t xml:space="preserve">
</t>
    </r>
    <r>
      <rPr>
        <sz val="11"/>
        <color rgb="FF000000"/>
        <rFont val="Calibri"/>
      </rPr>
      <t>grep -En -A 2 -B 1 '&lt;param-name&gt;debug&lt;/param-name&gt;' /usr/lib/vmware-casa/casa-webapp/conf/web.xml</t>
    </r>
    <r>
      <rPr>
        <sz val="11"/>
        <color rgb="FF000000"/>
        <rFont val="Calibri"/>
      </rPr>
      <t xml:space="preserve">
</t>
    </r>
    <r>
      <rPr>
        <sz val="11"/>
        <color rgb="FF000000"/>
        <rFont val="Calibri"/>
      </rPr>
      <t>If all instances of the debug parameter are not set to "0", this is a finding.</t>
    </r>
  </si>
  <si>
    <t>V-89021</t>
  </si>
  <si>
    <r>
      <rPr>
        <sz val="11"/>
        <rFont val="Calibri"/>
      </rPr>
      <t>tc Server API must have the debug option turned off.</t>
    </r>
  </si>
  <si>
    <r>
      <rPr>
        <sz val="11"/>
        <color rgb="FF000000"/>
        <rFont val="Calibri"/>
      </rPr>
      <t>Navigate to and open /usr/lib/vmware-vcops/tomcat-enterprise/conf/web.xml.</t>
    </r>
    <r>
      <rPr>
        <sz val="11"/>
        <color rgb="FF000000"/>
        <rFont val="Calibri"/>
      </rPr>
      <t xml:space="preserve">
</t>
    </r>
    <r>
      <rPr>
        <sz val="11"/>
        <color rgb="FF000000"/>
        <rFont val="Calibri"/>
      </rPr>
      <t>Navigate to all &lt;debug&gt; nodes that are not set to "0".</t>
    </r>
    <r>
      <rPr>
        <sz val="11"/>
        <color rgb="FF000000"/>
        <rFont val="Calibri"/>
      </rPr>
      <t xml:space="preserve">
</t>
    </r>
    <r>
      <rPr>
        <sz val="11"/>
        <color rgb="FF000000"/>
        <rFont val="Calibri"/>
      </rPr>
      <t>Set the &lt;param-value&gt; to "0" in all &lt;param-name&gt;debug&lt;/param-name&gt; nodes.</t>
    </r>
    <r>
      <rPr>
        <sz val="11"/>
        <color rgb="FF000000"/>
        <rFont val="Calibri"/>
      </rPr>
      <t xml:space="preserve">
</t>
    </r>
    <r>
      <rPr>
        <sz val="11"/>
        <color rgb="FF000000"/>
        <rFont val="Calibri"/>
      </rPr>
      <t>Note: The debug setting should look like the below:</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 xml:space="preserve">                  &lt;param-name&gt;debug&lt;/param-name&gt;</t>
    </r>
    <r>
      <rPr>
        <sz val="11"/>
        <color rgb="FF000000"/>
        <rFont val="Calibri"/>
      </rPr>
      <t xml:space="preserve">
</t>
    </r>
    <r>
      <rPr>
        <sz val="11"/>
        <color rgb="FF000000"/>
        <rFont val="Calibri"/>
      </rPr>
      <t xml:space="preserve">                  &lt;param-value&gt;0&lt;/param-value&gt;</t>
    </r>
    <r>
      <rPr>
        <sz val="11"/>
        <color rgb="FF000000"/>
        <rFont val="Calibri"/>
      </rPr>
      <t xml:space="preserve">
</t>
    </r>
    <r>
      <rPr>
        <sz val="11"/>
        <color rgb="FF000000"/>
        <rFont val="Calibri"/>
      </rPr>
      <t xml:space="preserve">               &lt;/init-param&gt;</t>
    </r>
  </si>
  <si>
    <r>
      <rPr>
        <sz val="11"/>
        <color rgb="FF000000"/>
        <rFont val="Calibri"/>
      </rPr>
      <t>At the command prompt, execute the following command:</t>
    </r>
    <r>
      <rPr>
        <sz val="11"/>
        <color rgb="FF000000"/>
        <rFont val="Calibri"/>
      </rPr>
      <t xml:space="preserve">
</t>
    </r>
    <r>
      <rPr>
        <sz val="11"/>
        <color rgb="FF000000"/>
        <rFont val="Calibri"/>
      </rPr>
      <t>grep -En -A 2 -B 1 '&lt;param-name&gt;debug&lt;/param-name&gt;' /usr/lib/vmware-vcops/tomcat-enterprise/conf/web.xml</t>
    </r>
    <r>
      <rPr>
        <sz val="11"/>
        <color rgb="FF000000"/>
        <rFont val="Calibri"/>
      </rPr>
      <t xml:space="preserve">
</t>
    </r>
    <r>
      <rPr>
        <sz val="11"/>
        <color rgb="FF000000"/>
        <rFont val="Calibri"/>
      </rPr>
      <t>If all instances of the debug parameter are not set to "0", this is a finding.</t>
    </r>
  </si>
  <si>
    <t>V-89023</t>
  </si>
  <si>
    <r>
      <rPr>
        <sz val="11"/>
        <rFont val="Calibri"/>
      </rPr>
      <t>tc Server UI must set an inactive timeout for sessions.</t>
    </r>
  </si>
  <si>
    <r>
      <rPr>
        <sz val="11"/>
        <color rgb="FF000000"/>
        <rFont val="Calibri"/>
      </rPr>
      <t>Navigate to and open /usr/lib/vmware-vcops/tomcat-web-app/webapps/ui/WEB-INF/web.xml.</t>
    </r>
    <r>
      <rPr>
        <sz val="11"/>
        <color rgb="FF000000"/>
        <rFont val="Calibri"/>
      </rPr>
      <t xml:space="preserve">
</t>
    </r>
    <r>
      <rPr>
        <sz val="11"/>
        <color rgb="FF000000"/>
        <rFont val="Calibri"/>
      </rPr>
      <t>Navigate to the &lt;session-config&gt; node.</t>
    </r>
    <r>
      <rPr>
        <sz val="11"/>
        <color rgb="FF000000"/>
        <rFont val="Calibri"/>
      </rPr>
      <t xml:space="preserve">
</t>
    </r>
    <r>
      <rPr>
        <sz val="11"/>
        <color rgb="FF000000"/>
        <rFont val="Calibri"/>
      </rPr>
      <t>Add the &lt;session-timeout&gt;30&lt;/session-timeout&gt; node setting to the &lt;session-config&gt; node.</t>
    </r>
  </si>
  <si>
    <r>
      <rPr>
        <sz val="11"/>
        <color rgb="FF000000"/>
        <rFont val="Calibri"/>
      </rPr>
      <t>Leaving sessions open indefinitely is a major security risk. An attacker can easily use an already authenticated session to access the hosted application as the previously authenticated user. By closing sessions after a set period of inactivity, the web server can make certain that those sessions that are not closed through the user logging out of an application are eventually closed.</t>
    </r>
    <r>
      <rPr>
        <sz val="11"/>
        <color rgb="FF000000"/>
        <rFont val="Calibri"/>
      </rPr>
      <t xml:space="preserve">
</t>
    </r>
    <r>
      <rPr>
        <sz val="11"/>
        <color rgb="FF000000"/>
        <rFont val="Calibri"/>
      </rPr>
      <t>tc Server provides a session timeout parameter in the web.xml configuration file.</t>
    </r>
  </si>
  <si>
    <r>
      <rPr>
        <sz val="11"/>
        <color rgb="FF000000"/>
        <rFont val="Calibri"/>
      </rPr>
      <t>At the command prompt, execute the following command:</t>
    </r>
    <r>
      <rPr>
        <sz val="11"/>
        <color rgb="FF000000"/>
        <rFont val="Calibri"/>
      </rPr>
      <t xml:space="preserve">
</t>
    </r>
    <r>
      <rPr>
        <sz val="11"/>
        <color rgb="FF000000"/>
        <rFont val="Calibri"/>
      </rPr>
      <t>grep session-timeout /usr/lib/vmware-vcops/tomcat-web-app/webapps/ui/WEB-INF/web.xml</t>
    </r>
    <r>
      <rPr>
        <sz val="11"/>
        <color rgb="FF000000"/>
        <rFont val="Calibri"/>
      </rPr>
      <t xml:space="preserve">
</t>
    </r>
    <r>
      <rPr>
        <sz val="11"/>
        <color rgb="FF000000"/>
        <rFont val="Calibri"/>
      </rPr>
      <t>If the value of &lt;session-timeout&gt; is not “30” or is missing, this is a finding.</t>
    </r>
  </si>
  <si>
    <t>V-89025</t>
  </si>
  <si>
    <r>
      <rPr>
        <sz val="11"/>
        <rFont val="Calibri"/>
      </rPr>
      <t>tc Server CaSa must set an inactive timeout for sessions.</t>
    </r>
  </si>
  <si>
    <r>
      <rPr>
        <sz val="11"/>
        <color rgb="FF000000"/>
        <rFont val="Calibri"/>
      </rPr>
      <t>Navigate to and open /usr/lib/vmware-casa/casa-webapp/webapps/admin/WEB-INF/web.xml.</t>
    </r>
    <r>
      <rPr>
        <sz val="11"/>
        <color rgb="FF000000"/>
        <rFont val="Calibri"/>
      </rPr>
      <t xml:space="preserve">
</t>
    </r>
    <r>
      <rPr>
        <sz val="11"/>
        <color rgb="FF000000"/>
        <rFont val="Calibri"/>
      </rPr>
      <t>Navigate to the &lt;session-config&gt; node.</t>
    </r>
    <r>
      <rPr>
        <sz val="11"/>
        <color rgb="FF000000"/>
        <rFont val="Calibri"/>
      </rPr>
      <t xml:space="preserve">
</t>
    </r>
    <r>
      <rPr>
        <sz val="11"/>
        <color rgb="FF000000"/>
        <rFont val="Calibri"/>
      </rPr>
      <t>Add the &lt;session-timeout&gt;30&lt;/session-timeout&gt; node setting to the &lt;session-config&gt; node.</t>
    </r>
  </si>
  <si>
    <r>
      <rPr>
        <sz val="11"/>
        <color rgb="FF000000"/>
        <rFont val="Calibri"/>
      </rPr>
      <t xml:space="preserve">Leaving sessions open indefinitely is a major security risk. An attacker can easily use an already authenticated session to access the hosted application as the previously authenticated user. By closing sessions after a set period of inactivity, the web server can make certain that those sessions that are not closed through the user logging out of an application are eventually closed. </t>
    </r>
    <r>
      <rPr>
        <sz val="11"/>
        <color rgb="FF000000"/>
        <rFont val="Calibri"/>
      </rPr>
      <t xml:space="preserve">
</t>
    </r>
    <r>
      <rPr>
        <sz val="11"/>
        <color rgb="FF000000"/>
        <rFont val="Calibri"/>
      </rPr>
      <t>tc Server provides a session timeout parameter in the web.xml configuration file.</t>
    </r>
  </si>
  <si>
    <r>
      <rPr>
        <sz val="11"/>
        <color rgb="FF000000"/>
        <rFont val="Calibri"/>
      </rPr>
      <t>At the command prompt, execute the following command:</t>
    </r>
    <r>
      <rPr>
        <sz val="11"/>
        <color rgb="FF000000"/>
        <rFont val="Calibri"/>
      </rPr>
      <t xml:space="preserve">
</t>
    </r>
    <r>
      <rPr>
        <sz val="11"/>
        <color rgb="FF000000"/>
        <rFont val="Calibri"/>
      </rPr>
      <t>grep session-timeout  /usr/lib/vmware-casa/casa-webapp/webapps/admin/WEB-INF/web.xml</t>
    </r>
    <r>
      <rPr>
        <sz val="11"/>
        <color rgb="FF000000"/>
        <rFont val="Calibri"/>
      </rPr>
      <t xml:space="preserve">
</t>
    </r>
    <r>
      <rPr>
        <sz val="11"/>
        <color rgb="FF000000"/>
        <rFont val="Calibri"/>
      </rPr>
      <t>If the value of &lt;session-timeout&gt; is not “30” or is missing, this is a finding.</t>
    </r>
  </si>
  <si>
    <t>V-89027</t>
  </si>
  <si>
    <r>
      <rPr>
        <sz val="11"/>
        <rFont val="Calibri"/>
      </rPr>
      <t>tc Server API must set an inactive timeout for sessions.</t>
    </r>
  </si>
  <si>
    <r>
      <rPr>
        <sz val="11"/>
        <color rgb="FF000000"/>
        <rFont val="Calibri"/>
      </rPr>
      <t>Navigate to and open /usr/lib/vmware-vcops/tomcat-enterprise/conf/web.xml.</t>
    </r>
    <r>
      <rPr>
        <sz val="11"/>
        <color rgb="FF000000"/>
        <rFont val="Calibri"/>
      </rPr>
      <t xml:space="preserve">
</t>
    </r>
    <r>
      <rPr>
        <sz val="11"/>
        <color rgb="FF000000"/>
        <rFont val="Calibri"/>
      </rPr>
      <t>Navigate to the &lt;session-config&gt; node.</t>
    </r>
    <r>
      <rPr>
        <sz val="11"/>
        <color rgb="FF000000"/>
        <rFont val="Calibri"/>
      </rPr>
      <t xml:space="preserve">
</t>
    </r>
    <r>
      <rPr>
        <sz val="11"/>
        <color rgb="FF000000"/>
        <rFont val="Calibri"/>
      </rPr>
      <t>Add the &lt;session-timeout&gt;30&lt;/session-timeout&gt; node setting to the &lt;session-config&gt; node.</t>
    </r>
  </si>
  <si>
    <r>
      <rPr>
        <sz val="11"/>
        <color rgb="FF000000"/>
        <rFont val="Calibri"/>
      </rPr>
      <t xml:space="preserve">At the command prompt, execute the following command: </t>
    </r>
    <r>
      <rPr>
        <sz val="11"/>
        <color rgb="FF000000"/>
        <rFont val="Calibri"/>
      </rPr>
      <t xml:space="preserve">
</t>
    </r>
    <r>
      <rPr>
        <sz val="11"/>
        <color rgb="FF000000"/>
        <rFont val="Calibri"/>
      </rPr>
      <t>grep session-timeout /usr/lib/vmware-vcops/tomcat-enterprise/conf/web.xml</t>
    </r>
    <r>
      <rPr>
        <sz val="11"/>
        <color rgb="FF000000"/>
        <rFont val="Calibri"/>
      </rPr>
      <t xml:space="preserve">
</t>
    </r>
    <r>
      <rPr>
        <sz val="11"/>
        <color rgb="FF000000"/>
        <rFont val="Calibri"/>
      </rPr>
      <t>If the value of &lt;session-timeout&gt; is not “30” or is missing, this is a finding.</t>
    </r>
  </si>
  <si>
    <t>V-89029</t>
  </si>
  <si>
    <r>
      <rPr>
        <sz val="11"/>
        <rFont val="Calibri"/>
      </rPr>
      <t>tc Server ALL must be configured to the correct user authentication source.</t>
    </r>
  </si>
  <si>
    <r>
      <rPr>
        <sz val="11"/>
        <color rgb="FF000000"/>
        <rFont val="Calibri"/>
      </rPr>
      <t>Document the correct configuration data for the Authentication Source and provide to the ISSO.</t>
    </r>
    <r>
      <rPr>
        <sz val="11"/>
        <color rgb="FF000000"/>
        <rFont val="Calibri"/>
      </rPr>
      <t xml:space="preserve">
</t>
    </r>
    <r>
      <rPr>
        <sz val="11"/>
        <color rgb="FF000000"/>
        <rFont val="Calibri"/>
      </rPr>
      <t>Open a web browser, and put in the vROps URL.</t>
    </r>
    <r>
      <rPr>
        <sz val="11"/>
        <color rgb="FF000000"/>
        <rFont val="Calibri"/>
      </rPr>
      <t xml:space="preserve">
</t>
    </r>
    <r>
      <rPr>
        <sz val="11"/>
        <color rgb="FF000000"/>
        <rFont val="Calibri"/>
      </rPr>
      <t>1. Log into the Administration Portal</t>
    </r>
    <r>
      <rPr>
        <sz val="11"/>
        <color rgb="FF000000"/>
        <rFont val="Calibri"/>
      </rPr>
      <t xml:space="preserve">
</t>
    </r>
    <r>
      <rPr>
        <sz val="11"/>
        <color rgb="FF000000"/>
        <rFont val="Calibri"/>
      </rPr>
      <t>2. Click on Administration &gt;&gt; Authentication Sources</t>
    </r>
    <r>
      <rPr>
        <sz val="11"/>
        <color rgb="FF000000"/>
        <rFont val="Calibri"/>
      </rPr>
      <t xml:space="preserve">
</t>
    </r>
    <r>
      <rPr>
        <sz val="11"/>
        <color rgb="FF000000"/>
        <rFont val="Calibri"/>
      </rPr>
      <t>3. Click on Authentication Source</t>
    </r>
    <r>
      <rPr>
        <sz val="11"/>
        <color rgb="FF000000"/>
        <rFont val="Calibri"/>
      </rPr>
      <t xml:space="preserve">
</t>
    </r>
    <r>
      <rPr>
        <sz val="11"/>
        <color rgb="FF000000"/>
        <rFont val="Calibri"/>
      </rPr>
      <t>4. Ensure that that User Authentication is configured correctly</t>
    </r>
  </si>
  <si>
    <r>
      <rPr>
        <sz val="11"/>
        <color rgb="FF000000"/>
        <rFont val="Calibri"/>
      </rPr>
      <t>Remote access to the web server is any access that communicates through an external, non-organization-controlled network. Remote access can be used to access hosted applications or to perform management functions.</t>
    </r>
    <r>
      <rPr>
        <sz val="11"/>
        <color rgb="FF000000"/>
        <rFont val="Calibri"/>
      </rPr>
      <t xml:space="preserve">
</t>
    </r>
    <r>
      <rPr>
        <sz val="11"/>
        <color rgb="FF000000"/>
        <rFont val="Calibri"/>
      </rPr>
      <t>A web server can be accessed remotely and must be able to enforce remote access policy requirements or work in conjunction with enterprise tools designed to enforce policy requirements.</t>
    </r>
    <r>
      <rPr>
        <sz val="11"/>
        <color rgb="FF000000"/>
        <rFont val="Calibri"/>
      </rPr>
      <t xml:space="preserve">
</t>
    </r>
    <r>
      <rPr>
        <sz val="11"/>
        <color rgb="FF000000"/>
        <rFont val="Calibri"/>
      </rPr>
      <t>vRealize Operations can be configured with a variety of authentication sources.  Site policies and procedures will dictate the appropriate authentication mechanism.</t>
    </r>
  </si>
  <si>
    <r>
      <rPr>
        <sz val="11"/>
        <color rgb="FF000000"/>
        <rFont val="Calibri"/>
      </rPr>
      <t>Obtain the correct configuration data for the Authentication Source from the ISSO.</t>
    </r>
    <r>
      <rPr>
        <sz val="11"/>
        <color rgb="FF000000"/>
        <rFont val="Calibri"/>
      </rPr>
      <t xml:space="preserve">
</t>
    </r>
    <r>
      <rPr>
        <sz val="11"/>
        <color rgb="FF000000"/>
        <rFont val="Calibri"/>
      </rPr>
      <t>Open a web browser, and put in the vROps URL.</t>
    </r>
    <r>
      <rPr>
        <sz val="11"/>
        <color rgb="FF000000"/>
        <rFont val="Calibri"/>
      </rPr>
      <t xml:space="preserve">
</t>
    </r>
    <r>
      <rPr>
        <sz val="11"/>
        <color rgb="FF000000"/>
        <rFont val="Calibri"/>
      </rPr>
      <t>1. Log into the Administration Portal</t>
    </r>
    <r>
      <rPr>
        <sz val="11"/>
        <color rgb="FF000000"/>
        <rFont val="Calibri"/>
      </rPr>
      <t xml:space="preserve">
</t>
    </r>
    <r>
      <rPr>
        <sz val="11"/>
        <color rgb="FF000000"/>
        <rFont val="Calibri"/>
      </rPr>
      <t>2. Click on Administration &gt;&gt; Authentication Sources</t>
    </r>
    <r>
      <rPr>
        <sz val="11"/>
        <color rgb="FF000000"/>
        <rFont val="Calibri"/>
      </rPr>
      <t xml:space="preserve">
</t>
    </r>
    <r>
      <rPr>
        <sz val="11"/>
        <color rgb="FF000000"/>
        <rFont val="Calibri"/>
      </rPr>
      <t>3. Click on Authentication Source</t>
    </r>
    <r>
      <rPr>
        <sz val="11"/>
        <color rgb="FF000000"/>
        <rFont val="Calibri"/>
      </rPr>
      <t xml:space="preserve">
</t>
    </r>
    <r>
      <rPr>
        <sz val="11"/>
        <color rgb="FF000000"/>
        <rFont val="Calibri"/>
      </rPr>
      <t>4. Verify that User Authentication is configured correctly</t>
    </r>
    <r>
      <rPr>
        <sz val="11"/>
        <color rgb="FF000000"/>
        <rFont val="Calibri"/>
      </rPr>
      <t xml:space="preserve">
</t>
    </r>
    <r>
      <rPr>
        <sz val="11"/>
        <color rgb="FF000000"/>
        <rFont val="Calibri"/>
      </rPr>
      <t>If the Authentication Source is not configured in accordance with site policy, this is a finding.</t>
    </r>
  </si>
  <si>
    <t>V-89031</t>
  </si>
  <si>
    <r>
      <rPr>
        <sz val="11"/>
        <rFont val="Calibri"/>
      </rPr>
      <t>tc Server UI must be configured to use the https scheme.</t>
    </r>
  </si>
  <si>
    <r>
      <rPr>
        <sz val="11"/>
        <color rgb="FF000000"/>
        <rFont val="Calibri"/>
      </rPr>
      <t>Navigate to and open /usr/lib/vmware-vcops/tomcat-web-app/conf/server.xml.</t>
    </r>
    <r>
      <rPr>
        <sz val="11"/>
        <color rgb="FF000000"/>
        <rFont val="Calibri"/>
      </rPr>
      <t xml:space="preserve">
</t>
    </r>
    <r>
      <rPr>
        <sz val="11"/>
        <color rgb="FF000000"/>
        <rFont val="Calibri"/>
      </rPr>
      <t>Navigate to each of the &lt;Connector&gt; nodes.</t>
    </r>
    <r>
      <rPr>
        <sz val="11"/>
        <color rgb="FF000000"/>
        <rFont val="Calibri"/>
      </rPr>
      <t xml:space="preserve">
</t>
    </r>
    <r>
      <rPr>
        <sz val="11"/>
        <color rgb="FF000000"/>
        <rFont val="Calibri"/>
      </rPr>
      <t>Configure each &lt;Connector&gt; with the value 'scheme="https"'</t>
    </r>
  </si>
  <si>
    <r>
      <rPr>
        <sz val="11"/>
        <color rgb="FF000000"/>
        <rFont val="Calibri"/>
      </rPr>
      <t>Remote access to the web server is any access that communicates through an external, non-organization-controlled network. Remote access can be used to access hosted applications or to perform management functions.</t>
    </r>
    <r>
      <rPr>
        <sz val="11"/>
        <color rgb="FF000000"/>
        <rFont val="Calibri"/>
      </rPr>
      <t xml:space="preserve">
</t>
    </r>
    <r>
      <rPr>
        <sz val="11"/>
        <color rgb="FF000000"/>
        <rFont val="Calibri"/>
      </rPr>
      <t>tc Server connections are managed by the Connector object class. By configuring external Connector objects to use the HTTPS scheme, vROps's information in flight will be protected.</t>
    </r>
  </si>
  <si>
    <r>
      <rPr>
        <sz val="11"/>
        <color rgb="FF000000"/>
        <rFont val="Calibri"/>
      </rPr>
      <t xml:space="preserve">Navigate to and open /usr/lib/vmware-vcops/tomcat-web-app/conf/server.xml. </t>
    </r>
    <r>
      <rPr>
        <sz val="11"/>
        <color rgb="FF000000"/>
        <rFont val="Calibri"/>
      </rPr>
      <t xml:space="preserve">
</t>
    </r>
    <r>
      <rPr>
        <sz val="11"/>
        <color rgb="FF000000"/>
        <rFont val="Calibri"/>
      </rPr>
      <t>Navigate to each of the &lt;Connector&gt; nodes.</t>
    </r>
    <r>
      <rPr>
        <sz val="11"/>
        <color rgb="FF000000"/>
        <rFont val="Calibri"/>
      </rPr>
      <t xml:space="preserve">
</t>
    </r>
    <r>
      <rPr>
        <sz val="11"/>
        <color rgb="FF000000"/>
        <rFont val="Calibri"/>
      </rPr>
      <t>If the value of “scheme” is not set to “https” or is missing, this is a finding.</t>
    </r>
  </si>
  <si>
    <t>V-89033</t>
  </si>
  <si>
    <r>
      <rPr>
        <sz val="11"/>
        <rFont val="Calibri"/>
      </rPr>
      <t>tc Server CaSa must be configured to use the https scheme.</t>
    </r>
  </si>
  <si>
    <r>
      <rPr>
        <sz val="11"/>
        <color rgb="FF000000"/>
        <rFont val="Calibri"/>
      </rPr>
      <t>Navigate to and open /usr/lib/vmware-casa/casa-webapp/conf/server.xml.</t>
    </r>
    <r>
      <rPr>
        <sz val="11"/>
        <color rgb="FF000000"/>
        <rFont val="Calibri"/>
      </rPr>
      <t xml:space="preserve">
</t>
    </r>
    <r>
      <rPr>
        <sz val="11"/>
        <color rgb="FF000000"/>
        <rFont val="Calibri"/>
      </rPr>
      <t>Navigate to each of the &lt;Connector&gt; nodes.</t>
    </r>
    <r>
      <rPr>
        <sz val="11"/>
        <color rgb="FF000000"/>
        <rFont val="Calibri"/>
      </rPr>
      <t xml:space="preserve">
</t>
    </r>
    <r>
      <rPr>
        <sz val="11"/>
        <color rgb="FF000000"/>
        <rFont val="Calibri"/>
      </rPr>
      <t>Configure each &lt;Connector&gt; with the value 'scheme="https"'</t>
    </r>
  </si>
  <si>
    <r>
      <rPr>
        <sz val="11"/>
        <color rgb="FF000000"/>
        <rFont val="Calibri"/>
      </rPr>
      <t xml:space="preserve">Navigate to and open /usr/lib/vmware-casa/casa-webapp/conf/server.xml. </t>
    </r>
    <r>
      <rPr>
        <sz val="11"/>
        <color rgb="FF000000"/>
        <rFont val="Calibri"/>
      </rPr>
      <t xml:space="preserve">
</t>
    </r>
    <r>
      <rPr>
        <sz val="11"/>
        <color rgb="FF000000"/>
        <rFont val="Calibri"/>
      </rPr>
      <t>Navigate to each of the &lt;Connector&gt; nodes.</t>
    </r>
    <r>
      <rPr>
        <sz val="11"/>
        <color rgb="FF000000"/>
        <rFont val="Calibri"/>
      </rPr>
      <t xml:space="preserve">
</t>
    </r>
    <r>
      <rPr>
        <sz val="11"/>
        <color rgb="FF000000"/>
        <rFont val="Calibri"/>
      </rPr>
      <t>If the value of “scheme” is not set to “https” or is missing, this is a finding.</t>
    </r>
  </si>
  <si>
    <t>V-89035</t>
  </si>
  <si>
    <r>
      <rPr>
        <sz val="11"/>
        <rFont val="Calibri"/>
      </rPr>
      <t>tc Server API must be configured to use the https scheme.</t>
    </r>
  </si>
  <si>
    <r>
      <rPr>
        <sz val="11"/>
        <color rgb="FF000000"/>
        <rFont val="Calibri"/>
      </rPr>
      <t>Navigate to and open /usr/lib/vmware-vcops/tomcat-enterprise/conf/server.xml.</t>
    </r>
    <r>
      <rPr>
        <sz val="11"/>
        <color rgb="FF000000"/>
        <rFont val="Calibri"/>
      </rPr>
      <t xml:space="preserve">
</t>
    </r>
    <r>
      <rPr>
        <sz val="11"/>
        <color rgb="FF000000"/>
        <rFont val="Calibri"/>
      </rPr>
      <t>Navigate to each of the &lt;Connector&gt; nodes.</t>
    </r>
    <r>
      <rPr>
        <sz val="11"/>
        <color rgb="FF000000"/>
        <rFont val="Calibri"/>
      </rPr>
      <t xml:space="preserve">
</t>
    </r>
    <r>
      <rPr>
        <sz val="11"/>
        <color rgb="FF000000"/>
        <rFont val="Calibri"/>
      </rPr>
      <t>Configure each &lt;Connector&gt; with the value 'scheme="https"'</t>
    </r>
  </si>
  <si>
    <r>
      <rPr>
        <sz val="11"/>
        <color rgb="FF000000"/>
        <rFont val="Calibri"/>
      </rPr>
      <t xml:space="preserve">Navigate to and open /usr/lib/vmware-vcops/tomcat-enterprise/conf/server.xml. </t>
    </r>
    <r>
      <rPr>
        <sz val="11"/>
        <color rgb="FF000000"/>
        <rFont val="Calibri"/>
      </rPr>
      <t xml:space="preserve">
</t>
    </r>
    <r>
      <rPr>
        <sz val="11"/>
        <color rgb="FF000000"/>
        <rFont val="Calibri"/>
      </rPr>
      <t>Navigate to each of the &lt;Connector&gt; nodes.</t>
    </r>
    <r>
      <rPr>
        <sz val="11"/>
        <color rgb="FF000000"/>
        <rFont val="Calibri"/>
      </rPr>
      <t xml:space="preserve">
</t>
    </r>
    <r>
      <rPr>
        <sz val="11"/>
        <color rgb="FF000000"/>
        <rFont val="Calibri"/>
      </rPr>
      <t>If the value of “scheme” is not set to “https” or is missing, this is a finding.</t>
    </r>
  </si>
  <si>
    <t>V-89037</t>
  </si>
  <si>
    <r>
      <rPr>
        <sz val="11"/>
        <rFont val="Calibri"/>
      </rPr>
      <t>tc Server ALL must use a logging mechanism that is configured to allocate log record storage capacity large enough to accommodate the logging requirements of the web server.</t>
    </r>
  </si>
  <si>
    <r>
      <rPr>
        <sz val="11"/>
        <color rgb="FF000000"/>
        <rFont val="Calibri"/>
      </rPr>
      <t>Configure the web server to use a logging mechanism that is configured to allocate log record storage capacity in accordance with NIST SP 800-92 log record storage requirements.</t>
    </r>
  </si>
  <si>
    <r>
      <rPr>
        <sz val="11"/>
        <color rgb="FF000000"/>
        <rFont val="Calibri"/>
      </rPr>
      <t>In order to make certain that the logging mechanism used by the web server has sufficient storage capacity in which to write the logs, the logging mechanism needs to be able to allocate log record storage capacity.</t>
    </r>
    <r>
      <rPr>
        <sz val="11"/>
        <color rgb="FF000000"/>
        <rFont val="Calibri"/>
      </rPr>
      <t xml:space="preserve">
</t>
    </r>
    <r>
      <rPr>
        <sz val="11"/>
        <color rgb="FF000000"/>
        <rFont val="Calibri"/>
      </rPr>
      <t>The task of allocating log record storage capacity is usually performed during initial installation of the logging mechanism. The system administrator will usually coordinate the allocation of physical drive space with the web server administrator along with the physical location of the partition and disk. Refer to NIST SP 800-92 for specific requirements on log rotation and storage dependent on the impact of the web server.</t>
    </r>
  </si>
  <si>
    <r>
      <rPr>
        <sz val="11"/>
        <color rgb="FF000000"/>
        <rFont val="Calibri"/>
      </rPr>
      <t>Obtain supporting documentation from the ISSO.</t>
    </r>
    <r>
      <rPr>
        <sz val="11"/>
        <color rgb="FF000000"/>
        <rFont val="Calibri"/>
      </rPr>
      <t xml:space="preserve">
</t>
    </r>
    <r>
      <rPr>
        <sz val="11"/>
        <color rgb="FF000000"/>
        <rFont val="Calibri"/>
      </rPr>
      <t>Determine if tc Server ALL is using a logging mechanism that is configured to have a capacity large enough to accommodate logging requirements.</t>
    </r>
    <r>
      <rPr>
        <sz val="11"/>
        <color rgb="FF000000"/>
        <rFont val="Calibri"/>
      </rPr>
      <t xml:space="preserve">
</t>
    </r>
    <r>
      <rPr>
        <sz val="11"/>
        <color rgb="FF000000"/>
        <rFont val="Calibri"/>
      </rPr>
      <t>If the logging mechanism does not have sufficient capacity, this is a finding.</t>
    </r>
  </si>
  <si>
    <t>V-89039</t>
  </si>
  <si>
    <r>
      <rPr>
        <sz val="11"/>
        <rFont val="Calibri"/>
      </rPr>
      <t>tc Server ALL log files must be moved to a permanent repository in accordance with site policy.</t>
    </r>
  </si>
  <si>
    <r>
      <rPr>
        <sz val="11"/>
        <color rgb="FF000000"/>
        <rFont val="Calibri"/>
      </rPr>
      <t>Develop and enforce a site policy for moving log files periodically from the web server to a permanent repository in accordance with site retention policies.</t>
    </r>
  </si>
  <si>
    <r>
      <rPr>
        <sz val="11"/>
        <color rgb="FF000000"/>
        <rFont val="Calibri"/>
      </rPr>
      <t>A web server will typically utilize logging mechanisms for maintaining a historical log of activity that occurs within a hosted application. This information can then be used for diagnostic purposes, forensics purposes, or other purposes relevant to ensuring the availability and integrity of the hosted application.</t>
    </r>
    <r>
      <rPr>
        <sz val="11"/>
        <color rgb="FF000000"/>
        <rFont val="Calibri"/>
      </rPr>
      <t xml:space="preserve">
</t>
    </r>
    <r>
      <rPr>
        <sz val="11"/>
        <color rgb="FF000000"/>
        <rFont val="Calibri"/>
      </rPr>
      <t>Log files must be periodically moved from the web server to a permanent storage location. This serves two beneficial purposes. First, the web server's resources are freed up for productions. Also, this ensures that the site has, and enforces, policies designed to preserve the integrity of historical logs.</t>
    </r>
  </si>
  <si>
    <r>
      <rPr>
        <sz val="11"/>
        <color rgb="FF000000"/>
        <rFont val="Calibri"/>
      </rPr>
      <t>Obtain supporting documentation from the ISSO.</t>
    </r>
    <r>
      <rPr>
        <sz val="11"/>
        <color rgb="FF000000"/>
        <rFont val="Calibri"/>
      </rPr>
      <t xml:space="preserve">
</t>
    </r>
    <r>
      <rPr>
        <sz val="11"/>
        <color rgb="FF000000"/>
        <rFont val="Calibri"/>
      </rPr>
      <t>Review the site policy for moving log files from the web server to a permanent repository. Ensure that log files are being moved from the web server in accordance with the site policy.</t>
    </r>
    <r>
      <rPr>
        <sz val="11"/>
        <color rgb="FF000000"/>
        <rFont val="Calibri"/>
      </rPr>
      <t xml:space="preserve">
</t>
    </r>
    <r>
      <rPr>
        <sz val="11"/>
        <color rgb="FF000000"/>
        <rFont val="Calibri"/>
      </rPr>
      <t>If the site does not have a policy for periodically moving log files to an archive repository or such policy is not being enforced, this is a finding.</t>
    </r>
  </si>
  <si>
    <t>V-89041</t>
  </si>
  <si>
    <r>
      <rPr>
        <sz val="11"/>
        <rFont val="Calibri"/>
      </rPr>
      <t>tc Server ALL must use a logging mechanism that is configured to provide a warning to the ISSO and SA when allocated record storage volume reaches 75% of maximum log record storage capacity.</t>
    </r>
  </si>
  <si>
    <r>
      <rPr>
        <sz val="11"/>
        <color rgb="FF000000"/>
        <rFont val="Calibri"/>
      </rPr>
      <t>Configure the tc Server ALL logging mechanism to alert the ISSO/SA when the logs have reached 75% of storage capacity.</t>
    </r>
  </si>
  <si>
    <r>
      <rPr>
        <sz val="11"/>
        <color rgb="FF000000"/>
        <rFont val="Calibri"/>
      </rPr>
      <t xml:space="preserve">It is critical for the appropriate personnel to be aware if a system is at risk of failing to process logs as required. Log processing failures include: software/hardware errors, failures in the log capturing mechanisms, and log storage capacity being reached or exceeded. </t>
    </r>
    <r>
      <rPr>
        <sz val="11"/>
        <color rgb="FF000000"/>
        <rFont val="Calibri"/>
      </rPr>
      <t xml:space="preserve">
</t>
    </r>
    <r>
      <rPr>
        <sz val="11"/>
        <color rgb="FF000000"/>
        <rFont val="Calibri"/>
      </rPr>
      <t xml:space="preserve">If log capacity were to be exceeded, then events subsequently occurring would not be recorded. Organizations must define a maximum allowable percentage of storage capacity serving as an alarming threshold (e.g., web server has exceeded 75% of log storage capacity allocated), at which time the web server or the logging mechanism the web server utilizes will provide a warning to the ISSO and SA at a minimum. </t>
    </r>
    <r>
      <rPr>
        <sz val="11"/>
        <color rgb="FF000000"/>
        <rFont val="Calibri"/>
      </rPr>
      <t xml:space="preserve">
</t>
    </r>
    <r>
      <rPr>
        <sz val="11"/>
        <color rgb="FF000000"/>
        <rFont val="Calibri"/>
      </rPr>
      <t>This requirement can be met by configuring the web server to utilize a dedicated log tool that meets this requirement.</t>
    </r>
  </si>
  <si>
    <r>
      <rPr>
        <sz val="11"/>
        <color rgb="FF000000"/>
        <rFont val="Calibri"/>
      </rPr>
      <t>Obtain supporting documentation from the ISSO.</t>
    </r>
    <r>
      <rPr>
        <sz val="11"/>
        <color rgb="FF000000"/>
        <rFont val="Calibri"/>
      </rPr>
      <t xml:space="preserve">
</t>
    </r>
    <r>
      <rPr>
        <sz val="11"/>
        <color rgb="FF000000"/>
        <rFont val="Calibri"/>
      </rPr>
      <t>Review site documentation and system configuration.</t>
    </r>
    <r>
      <rPr>
        <sz val="11"/>
        <color rgb="FF000000"/>
        <rFont val="Calibri"/>
      </rPr>
      <t xml:space="preserve">
</t>
    </r>
    <r>
      <rPr>
        <sz val="11"/>
        <color rgb="FF000000"/>
        <rFont val="Calibri"/>
      </rPr>
      <t>Determine if the system has a logging mechanism that will provide a warning to the ISSO and SA when allocated record storage volume reaches 75% of maximum log record storage capacity.</t>
    </r>
    <r>
      <rPr>
        <sz val="11"/>
        <color rgb="FF000000"/>
        <rFont val="Calibri"/>
      </rPr>
      <t xml:space="preserve">
</t>
    </r>
    <r>
      <rPr>
        <sz val="11"/>
        <color rgb="FF000000"/>
        <rFont val="Calibri"/>
      </rPr>
      <t>If such an alert mechanism is not in use, this is a finding.</t>
    </r>
  </si>
  <si>
    <t>V-89043</t>
  </si>
  <si>
    <r>
      <rPr>
        <sz val="11"/>
        <rFont val="Calibri"/>
      </rPr>
      <t>tc Server UI must generate log records that can be mapped to Coordinated Universal Time (UTC) or Greenwich Mean Time (GMT).</t>
    </r>
  </si>
  <si>
    <r>
      <rPr>
        <sz val="11"/>
        <color rgb="FF000000"/>
        <rFont val="Calibri"/>
      </rPr>
      <t>Navigate to and open /usr/lib/vmware-vcops/tomcat-web-app/conf/server.xml.</t>
    </r>
    <r>
      <rPr>
        <sz val="11"/>
        <color rgb="FF000000"/>
        <rFont val="Calibri"/>
      </rPr>
      <t xml:space="preserve">
</t>
    </r>
    <r>
      <rPr>
        <sz val="11"/>
        <color rgb="FF000000"/>
        <rFont val="Calibri"/>
      </rPr>
      <t>Navigate to the &lt;Valve className="org.apache.catalina.valves.AccessLogValve"&gt; node.</t>
    </r>
    <r>
      <rPr>
        <sz val="11"/>
        <color rgb="FF000000"/>
        <rFont val="Calibri"/>
      </rPr>
      <t xml:space="preserve">
</t>
    </r>
    <r>
      <rPr>
        <sz val="11"/>
        <color rgb="FF000000"/>
        <rFont val="Calibri"/>
      </rPr>
      <t>Set the “pattern” setting with "%h %l %u %t &amp;quot;%r&amp;quot; %s %b"</t>
    </r>
    <r>
      <rPr>
        <sz val="11"/>
        <color rgb="FF000000"/>
        <rFont val="Calibri"/>
      </rPr>
      <t xml:space="preserve">
</t>
    </r>
    <r>
      <rPr>
        <sz val="11"/>
        <color rgb="FF000000"/>
        <rFont val="Calibri"/>
      </rPr>
      <t>Note: The &lt;Valve&gt; node should be configured per the below:</t>
    </r>
    <r>
      <rPr>
        <sz val="11"/>
        <color rgb="FF000000"/>
        <rFont val="Calibri"/>
      </rPr>
      <t xml:space="preserve">
</t>
    </r>
    <r>
      <rPr>
        <sz val="11"/>
        <color rgb="FF000000"/>
        <rFont val="Calibri"/>
      </rPr>
      <t xml:space="preserve">                &lt;Valve className="org.apache.catalina.valves.AccessLogValve"</t>
    </r>
    <r>
      <rPr>
        <sz val="11"/>
        <color rgb="FF000000"/>
        <rFont val="Calibri"/>
      </rPr>
      <t xml:space="preserve">
</t>
    </r>
    <r>
      <rPr>
        <sz val="11"/>
        <color rgb="FF000000"/>
        <rFont val="Calibri"/>
      </rPr>
      <t xml:space="preserve">                       directory="logs"</t>
    </r>
    <r>
      <rPr>
        <sz val="11"/>
        <color rgb="FF000000"/>
        <rFont val="Calibri"/>
      </rPr>
      <t xml:space="preserve">
</t>
    </r>
    <r>
      <rPr>
        <sz val="11"/>
        <color rgb="FF000000"/>
        <rFont val="Calibri"/>
      </rPr>
      <t xml:space="preserve">                       pattern="%h %l %u %t &amp;quot;%r&amp;quot; %s %b"</t>
    </r>
    <r>
      <rPr>
        <sz val="11"/>
        <color rgb="FF000000"/>
        <rFont val="Calibri"/>
      </rPr>
      <t xml:space="preserve">
</t>
    </r>
    <r>
      <rPr>
        <sz val="11"/>
        <color rgb="FF000000"/>
        <rFont val="Calibri"/>
      </rPr>
      <t xml:space="preserve">                       prefix="localhost_access_log."</t>
    </r>
    <r>
      <rPr>
        <sz val="11"/>
        <color rgb="FF000000"/>
        <rFont val="Calibri"/>
      </rPr>
      <t xml:space="preserve">
</t>
    </r>
    <r>
      <rPr>
        <sz val="11"/>
        <color rgb="FF000000"/>
        <rFont val="Calibri"/>
      </rPr>
      <t xml:space="preserve">                       suffix=".txt"/&gt;</t>
    </r>
  </si>
  <si>
    <r>
      <rPr>
        <sz val="11"/>
        <color rgb="FF000000"/>
        <rFont val="Calibri"/>
      </rPr>
      <t>If time stamps are not consistently applied and there is no common time reference, it is difficult to perform forensic analysis across multiple devices and log records.</t>
    </r>
    <r>
      <rPr>
        <sz val="11"/>
        <color rgb="FF000000"/>
        <rFont val="Calibri"/>
      </rPr>
      <t xml:space="preserve">
</t>
    </r>
    <r>
      <rPr>
        <sz val="11"/>
        <color rgb="FF000000"/>
        <rFont val="Calibri"/>
      </rPr>
      <t>Time stamps generated by the web server include date and time. Time is commonly expressed in Coordinated Universal Time (UTC), a modern continuation of Greenwich Mean Time (GMT), or local time with an offset from UTC.</t>
    </r>
    <r>
      <rPr>
        <sz val="11"/>
        <color rgb="FF000000"/>
        <rFont val="Calibri"/>
      </rPr>
      <t xml:space="preserve">
</t>
    </r>
    <r>
      <rPr>
        <sz val="11"/>
        <color rgb="FF000000"/>
        <rFont val="Calibri"/>
      </rPr>
      <t>Like all web servers, tc Server logs can be configured to produce a Common Log Format (CLF).   The tc Server component known as an “AccessLogValve”, which represents a component that can be inserted into the request processing pipeline to capture user interaction. The “Access Log Valve” creates log files in the same format as those created by standard web servers including GMT offset.</t>
    </r>
  </si>
  <si>
    <r>
      <rPr>
        <sz val="11"/>
        <color rgb="FF000000"/>
        <rFont val="Calibri"/>
      </rPr>
      <t xml:space="preserve">At the command prompt, execute the following command: </t>
    </r>
    <r>
      <rPr>
        <sz val="11"/>
        <color rgb="FF000000"/>
        <rFont val="Calibri"/>
      </rPr>
      <t xml:space="preserve">
</t>
    </r>
    <r>
      <rPr>
        <sz val="11"/>
        <color rgb="FF000000"/>
        <rFont val="Calibri"/>
      </rPr>
      <t>tail /storage/log/vcops/log/product-ui/localhost_access_log.YYYY-MM-dd.txt</t>
    </r>
    <r>
      <rPr>
        <sz val="11"/>
        <color rgb="FF000000"/>
        <rFont val="Calibri"/>
      </rPr>
      <t xml:space="preserve">
</t>
    </r>
    <r>
      <rPr>
        <sz val="11"/>
        <color rgb="FF000000"/>
        <rFont val="Calibri"/>
      </rPr>
      <t>If the timestamp does not contain a time zone mapping, this is a finding.</t>
    </r>
    <r>
      <rPr>
        <sz val="11"/>
        <color rgb="FF000000"/>
        <rFont val="Calibri"/>
      </rPr>
      <t xml:space="preserve">
</t>
    </r>
    <r>
      <rPr>
        <sz val="11"/>
        <color rgb="FF000000"/>
        <rFont val="Calibri"/>
      </rPr>
      <t>Note: Substitute the actual date in the file name.</t>
    </r>
    <r>
      <rPr>
        <sz val="11"/>
        <color rgb="FF000000"/>
        <rFont val="Calibri"/>
      </rPr>
      <t xml:space="preserve">
</t>
    </r>
    <r>
      <rPr>
        <sz val="11"/>
        <color rgb="FF000000"/>
        <rFont val="Calibri"/>
      </rPr>
      <t>Note: In Common Log Format, a timestamp will look like [06/Feb/2016:23:12:57 +0000]. The “+0000” part is the time zone mapping.</t>
    </r>
  </si>
  <si>
    <t>V-89045</t>
  </si>
  <si>
    <r>
      <rPr>
        <sz val="11"/>
        <rFont val="Calibri"/>
      </rPr>
      <t>tc Server CaSa must generate log records that can be mapped to Coordinated Universal Time (UTC) or Greenwich Mean Time (GMT).</t>
    </r>
  </si>
  <si>
    <r>
      <rPr>
        <sz val="11"/>
        <color rgb="FF000000"/>
        <rFont val="Calibri"/>
      </rPr>
      <t>Navigate to and open /usr/lib/vmware-casa/casa-webapp/conf/server.xml.</t>
    </r>
    <r>
      <rPr>
        <sz val="11"/>
        <color rgb="FF000000"/>
        <rFont val="Calibri"/>
      </rPr>
      <t xml:space="preserve">
</t>
    </r>
    <r>
      <rPr>
        <sz val="11"/>
        <color rgb="FF000000"/>
        <rFont val="Calibri"/>
      </rPr>
      <t>Navigate to the &lt;Valve className="org.apache.catalina.valves.AccessLogValve"&gt; node.</t>
    </r>
    <r>
      <rPr>
        <sz val="11"/>
        <color rgb="FF000000"/>
        <rFont val="Calibri"/>
      </rPr>
      <t xml:space="preserve">
</t>
    </r>
    <r>
      <rPr>
        <sz val="11"/>
        <color rgb="FF000000"/>
        <rFont val="Calibri"/>
      </rPr>
      <t>Set the “pattern” setting with "%h %l %u %t &amp;quot;%r&amp;quot; %s %b"</t>
    </r>
    <r>
      <rPr>
        <sz val="11"/>
        <color rgb="FF000000"/>
        <rFont val="Calibri"/>
      </rPr>
      <t xml:space="preserve">
</t>
    </r>
    <r>
      <rPr>
        <sz val="11"/>
        <color rgb="FF000000"/>
        <rFont val="Calibri"/>
      </rPr>
      <t>Note: The &lt;Valve&gt; node should be configured per the below:</t>
    </r>
    <r>
      <rPr>
        <sz val="11"/>
        <color rgb="FF000000"/>
        <rFont val="Calibri"/>
      </rPr>
      <t xml:space="preserve">
</t>
    </r>
    <r>
      <rPr>
        <sz val="11"/>
        <color rgb="FF000000"/>
        <rFont val="Calibri"/>
      </rPr>
      <t xml:space="preserve">                &lt;Valve className="org.apache.catalina.valves.AccessLogValve"</t>
    </r>
    <r>
      <rPr>
        <sz val="11"/>
        <color rgb="FF000000"/>
        <rFont val="Calibri"/>
      </rPr>
      <t xml:space="preserve">
</t>
    </r>
    <r>
      <rPr>
        <sz val="11"/>
        <color rgb="FF000000"/>
        <rFont val="Calibri"/>
      </rPr>
      <t xml:space="preserve">                       directory="logs"</t>
    </r>
    <r>
      <rPr>
        <sz val="11"/>
        <color rgb="FF000000"/>
        <rFont val="Calibri"/>
      </rPr>
      <t xml:space="preserve">
</t>
    </r>
    <r>
      <rPr>
        <sz val="11"/>
        <color rgb="FF000000"/>
        <rFont val="Calibri"/>
      </rPr>
      <t xml:space="preserve">                       pattern="%h %l %u %t &amp;quot;%r&amp;quot; %s %b"</t>
    </r>
    <r>
      <rPr>
        <sz val="11"/>
        <color rgb="FF000000"/>
        <rFont val="Calibri"/>
      </rPr>
      <t xml:space="preserve">
</t>
    </r>
    <r>
      <rPr>
        <sz val="11"/>
        <color rgb="FF000000"/>
        <rFont val="Calibri"/>
      </rPr>
      <t xml:space="preserve">                       prefix="localhost_access_log."</t>
    </r>
    <r>
      <rPr>
        <sz val="11"/>
        <color rgb="FF000000"/>
        <rFont val="Calibri"/>
      </rPr>
      <t xml:space="preserve">
</t>
    </r>
    <r>
      <rPr>
        <sz val="11"/>
        <color rgb="FF000000"/>
        <rFont val="Calibri"/>
      </rPr>
      <t xml:space="preserve">                       suffix=".txt"/&gt;</t>
    </r>
  </si>
  <si>
    <r>
      <rPr>
        <sz val="11"/>
        <color rgb="FF000000"/>
        <rFont val="Calibri"/>
      </rPr>
      <t xml:space="preserve">At the command prompt, execute the following command: </t>
    </r>
    <r>
      <rPr>
        <sz val="11"/>
        <color rgb="FF000000"/>
        <rFont val="Calibri"/>
      </rPr>
      <t xml:space="preserve">
</t>
    </r>
    <r>
      <rPr>
        <sz val="11"/>
        <color rgb="FF000000"/>
        <rFont val="Calibri"/>
      </rPr>
      <t>tail /storage/log/vcops/log/casa/localhost_access_log.YYYY-MM-dd.txt</t>
    </r>
    <r>
      <rPr>
        <sz val="11"/>
        <color rgb="FF000000"/>
        <rFont val="Calibri"/>
      </rPr>
      <t xml:space="preserve">
</t>
    </r>
    <r>
      <rPr>
        <sz val="11"/>
        <color rgb="FF000000"/>
        <rFont val="Calibri"/>
      </rPr>
      <t>If the timestamp does not contain a time zone mapping, this is a finding.</t>
    </r>
    <r>
      <rPr>
        <sz val="11"/>
        <color rgb="FF000000"/>
        <rFont val="Calibri"/>
      </rPr>
      <t xml:space="preserve">
</t>
    </r>
    <r>
      <rPr>
        <sz val="11"/>
        <color rgb="FF000000"/>
        <rFont val="Calibri"/>
      </rPr>
      <t>Note: Substitute the actual date in the file name.</t>
    </r>
    <r>
      <rPr>
        <sz val="11"/>
        <color rgb="FF000000"/>
        <rFont val="Calibri"/>
      </rPr>
      <t xml:space="preserve">
</t>
    </r>
    <r>
      <rPr>
        <sz val="11"/>
        <color rgb="FF000000"/>
        <rFont val="Calibri"/>
      </rPr>
      <t>Note: In Common Log Format, a timestamp will look like [06/Feb/2016:23:12:57 +0000]. The “+0000” part is the time zone mapping.</t>
    </r>
  </si>
  <si>
    <t>V-89047</t>
  </si>
  <si>
    <r>
      <rPr>
        <sz val="11"/>
        <rFont val="Calibri"/>
      </rPr>
      <t>tc Server API must generate log records that can be mapped to Coordinated Universal Time (UTC) or Greenwich Mean Time (GMT).</t>
    </r>
  </si>
  <si>
    <r>
      <rPr>
        <sz val="11"/>
        <color rgb="FF000000"/>
        <rFont val="Calibri"/>
      </rPr>
      <t>Navigate to and open /usr/lib/vmware-vcops/tomcat-enterprise/conf/server.xml.</t>
    </r>
    <r>
      <rPr>
        <sz val="11"/>
        <color rgb="FF000000"/>
        <rFont val="Calibri"/>
      </rPr>
      <t xml:space="preserve">
</t>
    </r>
    <r>
      <rPr>
        <sz val="11"/>
        <color rgb="FF000000"/>
        <rFont val="Calibri"/>
      </rPr>
      <t>Navigate to the &lt;Valve className="org.apache.catalina.valves.AccessLogValve"&gt; node.</t>
    </r>
    <r>
      <rPr>
        <sz val="11"/>
        <color rgb="FF000000"/>
        <rFont val="Calibri"/>
      </rPr>
      <t xml:space="preserve">
</t>
    </r>
    <r>
      <rPr>
        <sz val="11"/>
        <color rgb="FF000000"/>
        <rFont val="Calibri"/>
      </rPr>
      <t>Set the “pattern” setting with "%h %l %u %t &amp;quot;%r&amp;quot; %s %b"</t>
    </r>
    <r>
      <rPr>
        <sz val="11"/>
        <color rgb="FF000000"/>
        <rFont val="Calibri"/>
      </rPr>
      <t xml:space="preserve">
</t>
    </r>
    <r>
      <rPr>
        <sz val="11"/>
        <color rgb="FF000000"/>
        <rFont val="Calibri"/>
      </rPr>
      <t>Note: The &lt;Valve&gt; node should be configured per the below:</t>
    </r>
    <r>
      <rPr>
        <sz val="11"/>
        <color rgb="FF000000"/>
        <rFont val="Calibri"/>
      </rPr>
      <t xml:space="preserve">
</t>
    </r>
    <r>
      <rPr>
        <sz val="11"/>
        <color rgb="FF000000"/>
        <rFont val="Calibri"/>
      </rPr>
      <t xml:space="preserve">                &lt;Valve className="org.apache.catalina.valves.AccessLogValve"</t>
    </r>
    <r>
      <rPr>
        <sz val="11"/>
        <color rgb="FF000000"/>
        <rFont val="Calibri"/>
      </rPr>
      <t xml:space="preserve">
</t>
    </r>
    <r>
      <rPr>
        <sz val="11"/>
        <color rgb="FF000000"/>
        <rFont val="Calibri"/>
      </rPr>
      <t xml:space="preserve">                       directory="logs"</t>
    </r>
    <r>
      <rPr>
        <sz val="11"/>
        <color rgb="FF000000"/>
        <rFont val="Calibri"/>
      </rPr>
      <t xml:space="preserve">
</t>
    </r>
    <r>
      <rPr>
        <sz val="11"/>
        <color rgb="FF000000"/>
        <rFont val="Calibri"/>
      </rPr>
      <t xml:space="preserve">                       pattern="%h %l %u %t &amp;quot;%r&amp;quot; %s %b"</t>
    </r>
    <r>
      <rPr>
        <sz val="11"/>
        <color rgb="FF000000"/>
        <rFont val="Calibri"/>
      </rPr>
      <t xml:space="preserve">
</t>
    </r>
    <r>
      <rPr>
        <sz val="11"/>
        <color rgb="FF000000"/>
        <rFont val="Calibri"/>
      </rPr>
      <t xml:space="preserve">                       prefix="localhost_access_log."</t>
    </r>
    <r>
      <rPr>
        <sz val="11"/>
        <color rgb="FF000000"/>
        <rFont val="Calibri"/>
      </rPr>
      <t xml:space="preserve">
</t>
    </r>
    <r>
      <rPr>
        <sz val="11"/>
        <color rgb="FF000000"/>
        <rFont val="Calibri"/>
      </rPr>
      <t xml:space="preserve">                       suffix=".txt"/&gt;</t>
    </r>
  </si>
  <si>
    <r>
      <rPr>
        <sz val="11"/>
        <color rgb="FF000000"/>
        <rFont val="Calibri"/>
      </rPr>
      <t xml:space="preserve">At the command prompt, execute the following command: </t>
    </r>
    <r>
      <rPr>
        <sz val="11"/>
        <color rgb="FF000000"/>
        <rFont val="Calibri"/>
      </rPr>
      <t xml:space="preserve">
</t>
    </r>
    <r>
      <rPr>
        <sz val="11"/>
        <color rgb="FF000000"/>
        <rFont val="Calibri"/>
      </rPr>
      <t>tail /storage/log/vcops/log/suite-api/localhost_access_log.YYYY-MM-dd.txt</t>
    </r>
    <r>
      <rPr>
        <sz val="11"/>
        <color rgb="FF000000"/>
        <rFont val="Calibri"/>
      </rPr>
      <t xml:space="preserve">
</t>
    </r>
    <r>
      <rPr>
        <sz val="11"/>
        <color rgb="FF000000"/>
        <rFont val="Calibri"/>
      </rPr>
      <t>If the timestamp does not contain a time zone mapping, this is a finding.</t>
    </r>
    <r>
      <rPr>
        <sz val="11"/>
        <color rgb="FF000000"/>
        <rFont val="Calibri"/>
      </rPr>
      <t xml:space="preserve">
</t>
    </r>
    <r>
      <rPr>
        <sz val="11"/>
        <color rgb="FF000000"/>
        <rFont val="Calibri"/>
      </rPr>
      <t>Note: Substitute the actual date in the file name.</t>
    </r>
    <r>
      <rPr>
        <sz val="11"/>
        <color rgb="FF000000"/>
        <rFont val="Calibri"/>
      </rPr>
      <t xml:space="preserve">
</t>
    </r>
    <r>
      <rPr>
        <sz val="11"/>
        <color rgb="FF000000"/>
        <rFont val="Calibri"/>
      </rPr>
      <t>Note: In Common Log Format, a timestamp will look like [06/Feb/2016:23:12:57 +0000]. The “+0000” part is the time zone mapping.</t>
    </r>
  </si>
  <si>
    <t>V-89049</t>
  </si>
  <si>
    <r>
      <rPr>
        <sz val="11"/>
        <rFont val="Calibri"/>
      </rPr>
      <t>tc Server UI must record time stamps for log records to a minimum granularity of one second.</t>
    </r>
  </si>
  <si>
    <r>
      <rPr>
        <sz val="11"/>
        <color rgb="FF000000"/>
        <rFont val="Calibri"/>
      </rPr>
      <t>Without sufficient granularity of time stamps, it is not possible to adequately determine the chronological order of records.</t>
    </r>
    <r>
      <rPr>
        <sz val="11"/>
        <color rgb="FF000000"/>
        <rFont val="Calibri"/>
      </rPr>
      <t xml:space="preserve">
</t>
    </r>
    <r>
      <rPr>
        <sz val="11"/>
        <color rgb="FF000000"/>
        <rFont val="Calibri"/>
      </rPr>
      <t>Time stamps generated by the web server include date and time and must be to a granularity of one second.</t>
    </r>
    <r>
      <rPr>
        <sz val="11"/>
        <color rgb="FF000000"/>
        <rFont val="Calibri"/>
      </rPr>
      <t xml:space="preserve">
</t>
    </r>
    <r>
      <rPr>
        <sz val="11"/>
        <color rgb="FF000000"/>
        <rFont val="Calibri"/>
      </rPr>
      <t>Like all web servers, tc Server logs can be configured to produce a Common Log Format (CLF).   The tc Server component known as an “AccessLogValve”, which represents a component that can be inserted into the request processing pipeline to capture user interaction. The “Access Log Valve” should be configured to ensure that investigators have sufficient information to conduct an appropriate audit.</t>
    </r>
  </si>
  <si>
    <r>
      <rPr>
        <sz val="11"/>
        <color rgb="FF000000"/>
        <rFont val="Calibri"/>
      </rPr>
      <t>At the command prompt, execute the following command:</t>
    </r>
    <r>
      <rPr>
        <sz val="11"/>
        <color rgb="FF000000"/>
        <rFont val="Calibri"/>
      </rPr>
      <t xml:space="preserve">
</t>
    </r>
    <r>
      <rPr>
        <sz val="11"/>
        <color rgb="FF000000"/>
        <rFont val="Calibri"/>
      </rPr>
      <t>tail /storage/log/vcops/log/product-ui/localhost_access_log.YYYY-MM-dd.txt</t>
    </r>
    <r>
      <rPr>
        <sz val="11"/>
        <color rgb="FF000000"/>
        <rFont val="Calibri"/>
      </rPr>
      <t xml:space="preserve">
</t>
    </r>
    <r>
      <rPr>
        <sz val="11"/>
        <color rgb="FF000000"/>
        <rFont val="Calibri"/>
      </rPr>
      <t>If the timestamp does not contain a minimum granularity of one second, this is a finding.</t>
    </r>
    <r>
      <rPr>
        <sz val="11"/>
        <color rgb="FF000000"/>
        <rFont val="Calibri"/>
      </rPr>
      <t xml:space="preserve">
</t>
    </r>
    <r>
      <rPr>
        <sz val="11"/>
        <color rgb="FF000000"/>
        <rFont val="Calibri"/>
      </rPr>
      <t>Note: Substitute the actual date in the file name.</t>
    </r>
    <r>
      <rPr>
        <sz val="11"/>
        <color rgb="FF000000"/>
        <rFont val="Calibri"/>
      </rPr>
      <t xml:space="preserve">
</t>
    </r>
    <r>
      <rPr>
        <sz val="11"/>
        <color rgb="FF000000"/>
        <rFont val="Calibri"/>
      </rPr>
      <t>Note: In Common Log Format, a timestamp will look like [06/Feb/2016:23:12:57 +0000]. The “57” part is the “seconds” part of the timestamp.</t>
    </r>
  </si>
  <si>
    <t>V-89051</t>
  </si>
  <si>
    <r>
      <rPr>
        <sz val="11"/>
        <rFont val="Calibri"/>
      </rPr>
      <t>tc Server CaSa must record time stamps for log records to a minimum granularity of one second.</t>
    </r>
  </si>
  <si>
    <r>
      <rPr>
        <sz val="11"/>
        <color rgb="FF000000"/>
        <rFont val="Calibri"/>
      </rPr>
      <t>At the command prompt, execute the following command:</t>
    </r>
    <r>
      <rPr>
        <sz val="11"/>
        <color rgb="FF000000"/>
        <rFont val="Calibri"/>
      </rPr>
      <t xml:space="preserve">
</t>
    </r>
    <r>
      <rPr>
        <sz val="11"/>
        <color rgb="FF000000"/>
        <rFont val="Calibri"/>
      </rPr>
      <t>tail /storage/log/vcops/log/casa/localhost_access_log.YYYY-MM-dd.txt</t>
    </r>
    <r>
      <rPr>
        <sz val="11"/>
        <color rgb="FF000000"/>
        <rFont val="Calibri"/>
      </rPr>
      <t xml:space="preserve">
</t>
    </r>
    <r>
      <rPr>
        <sz val="11"/>
        <color rgb="FF000000"/>
        <rFont val="Calibri"/>
      </rPr>
      <t>If the timestamp does not contain a minimum granularity of one second, this is a finding.</t>
    </r>
    <r>
      <rPr>
        <sz val="11"/>
        <color rgb="FF000000"/>
        <rFont val="Calibri"/>
      </rPr>
      <t xml:space="preserve">
</t>
    </r>
    <r>
      <rPr>
        <sz val="11"/>
        <color rgb="FF000000"/>
        <rFont val="Calibri"/>
      </rPr>
      <t>Note: Substitute the actual date in the file name.</t>
    </r>
    <r>
      <rPr>
        <sz val="11"/>
        <color rgb="FF000000"/>
        <rFont val="Calibri"/>
      </rPr>
      <t xml:space="preserve">
</t>
    </r>
    <r>
      <rPr>
        <sz val="11"/>
        <color rgb="FF000000"/>
        <rFont val="Calibri"/>
      </rPr>
      <t>Note: In Common Log Format, a timestamp will look like [06/Feb/2016:23:12:57 +0000]. The “57” part is the “seconds” part of the timestamp.</t>
    </r>
  </si>
  <si>
    <t>V-89053</t>
  </si>
  <si>
    <r>
      <rPr>
        <sz val="11"/>
        <rFont val="Calibri"/>
      </rPr>
      <t>tc Server API must record time stamps for log records to a minimum granularity of one second.</t>
    </r>
  </si>
  <si>
    <r>
      <rPr>
        <sz val="11"/>
        <color rgb="FF000000"/>
        <rFont val="Calibri"/>
      </rPr>
      <t xml:space="preserve">Without sufficient granularity of time stamps, it is not possible to adequately determine the chronological order of records. </t>
    </r>
    <r>
      <rPr>
        <sz val="11"/>
        <color rgb="FF000000"/>
        <rFont val="Calibri"/>
      </rPr>
      <t xml:space="preserve">
</t>
    </r>
    <r>
      <rPr>
        <sz val="11"/>
        <color rgb="FF000000"/>
        <rFont val="Calibri"/>
      </rPr>
      <t>Time stamps generated by the web server include date and time and must be to a granularity of one second.</t>
    </r>
    <r>
      <rPr>
        <sz val="11"/>
        <color rgb="FF000000"/>
        <rFont val="Calibri"/>
      </rPr>
      <t xml:space="preserve">
</t>
    </r>
    <r>
      <rPr>
        <sz val="11"/>
        <color rgb="FF000000"/>
        <rFont val="Calibri"/>
      </rPr>
      <t>Like all web servers, tc Server logs can be configured to produce a Common Log Format (CLF).   The tc Server component known as an AccessLogValve, which represents a component that can be inserted into the request processing pipeline to capture user interaction.  The Access Log Valve should be configured to ensure that investigators have sufficient information to conduct an appropriate audit.</t>
    </r>
  </si>
  <si>
    <r>
      <rPr>
        <sz val="11"/>
        <color rgb="FF000000"/>
        <rFont val="Calibri"/>
      </rPr>
      <t>At the command prompt, execute the following command:</t>
    </r>
    <r>
      <rPr>
        <sz val="11"/>
        <color rgb="FF000000"/>
        <rFont val="Calibri"/>
      </rPr>
      <t xml:space="preserve">
</t>
    </r>
    <r>
      <rPr>
        <sz val="11"/>
        <color rgb="FF000000"/>
        <rFont val="Calibri"/>
      </rPr>
      <t>tail /storage/log/vcops/log/suite-api/localhost_access_log.YYYY-MM-dd.txt</t>
    </r>
    <r>
      <rPr>
        <sz val="11"/>
        <color rgb="FF000000"/>
        <rFont val="Calibri"/>
      </rPr>
      <t xml:space="preserve">
</t>
    </r>
    <r>
      <rPr>
        <sz val="11"/>
        <color rgb="FF000000"/>
        <rFont val="Calibri"/>
      </rPr>
      <t>If the timestamp does not contain a minimum granularity of one second, this is a finding.</t>
    </r>
    <r>
      <rPr>
        <sz val="11"/>
        <color rgb="FF000000"/>
        <rFont val="Calibri"/>
      </rPr>
      <t xml:space="preserve">
</t>
    </r>
    <r>
      <rPr>
        <sz val="11"/>
        <color rgb="FF000000"/>
        <rFont val="Calibri"/>
      </rPr>
      <t>Note: Substitute the actual date in the file name.</t>
    </r>
    <r>
      <rPr>
        <sz val="11"/>
        <color rgb="FF000000"/>
        <rFont val="Calibri"/>
      </rPr>
      <t xml:space="preserve">
</t>
    </r>
    <r>
      <rPr>
        <sz val="11"/>
        <color rgb="FF000000"/>
        <rFont val="Calibri"/>
      </rPr>
      <t>Note: In Common Log Format, a timestamp will look like [06/Feb/2016:23:12:57 +0000]. The “57” part is the “seconds” part of the timestamp.</t>
    </r>
  </si>
  <si>
    <t>V-89055</t>
  </si>
  <si>
    <r>
      <rPr>
        <sz val="11"/>
        <rFont val="Calibri"/>
      </rPr>
      <t>tc Server UI application, libraries, and configuration files must only be accessible to privileged users.</t>
    </r>
  </si>
  <si>
    <r>
      <rPr>
        <sz val="11"/>
        <color rgb="FF000000"/>
        <rFont val="Calibri"/>
      </rPr>
      <t>At the command prompt, execute the following command:</t>
    </r>
    <r>
      <rPr>
        <sz val="11"/>
        <color rgb="FF000000"/>
        <rFont val="Calibri"/>
      </rPr>
      <t xml:space="preserve">
</t>
    </r>
    <r>
      <rPr>
        <sz val="11"/>
        <color rgb="FF000000"/>
        <rFont val="Calibri"/>
      </rPr>
      <t>Note: Replace &lt;file_name&gt; for the name of the file that was returned.</t>
    </r>
    <r>
      <rPr>
        <sz val="11"/>
        <color rgb="FF000000"/>
        <rFont val="Calibri"/>
      </rPr>
      <t xml:space="preserve">
</t>
    </r>
    <r>
      <rPr>
        <sz val="11"/>
        <color rgb="FF000000"/>
        <rFont val="Calibri"/>
      </rPr>
      <t>If the file was found in “/bin” or “/lib”, execute the following command:</t>
    </r>
    <r>
      <rPr>
        <sz val="11"/>
        <color rgb="FF000000"/>
        <rFont val="Calibri"/>
      </rPr>
      <t xml:space="preserve">
</t>
    </r>
    <r>
      <rPr>
        <sz val="11"/>
        <color rgb="FF000000"/>
        <rFont val="Calibri"/>
      </rPr>
      <t>chmod 700 &lt;file_name&gt;</t>
    </r>
    <r>
      <rPr>
        <sz val="11"/>
        <color rgb="FF000000"/>
        <rFont val="Calibri"/>
      </rPr>
      <t xml:space="preserve">
</t>
    </r>
    <r>
      <rPr>
        <sz val="11"/>
        <color rgb="FF000000"/>
        <rFont val="Calibri"/>
      </rPr>
      <t>If the file was found in “/conf”, execute the following command:</t>
    </r>
    <r>
      <rPr>
        <sz val="11"/>
        <color rgb="FF000000"/>
        <rFont val="Calibri"/>
      </rPr>
      <t xml:space="preserve">
</t>
    </r>
    <r>
      <rPr>
        <sz val="11"/>
        <color rgb="FF000000"/>
        <rFont val="Calibri"/>
      </rPr>
      <t>chmod 600 &lt;file_name&gt;</t>
    </r>
    <r>
      <rPr>
        <sz val="11"/>
        <color rgb="FF000000"/>
        <rFont val="Calibri"/>
      </rPr>
      <t xml:space="preserve">
</t>
    </r>
    <r>
      <rPr>
        <sz val="11"/>
        <color rgb="FF000000"/>
        <rFont val="Calibri"/>
      </rPr>
      <t>Repeat the command for each file that was returned</t>
    </r>
  </si>
  <si>
    <r>
      <rPr>
        <sz val="11"/>
        <color rgb="FF000000"/>
        <rFont val="Calibri"/>
      </rPr>
      <t>A web server can be modified through parameter modification, patch installation, upgrades to the web server or modules, and security parameter changes. With each of these changes, there is the potential for an adverse effect such as a DoS, web server instability, or hosted application instability.</t>
    </r>
    <r>
      <rPr>
        <sz val="11"/>
        <color rgb="FF000000"/>
        <rFont val="Calibri"/>
      </rPr>
      <t xml:space="preserve">
</t>
    </r>
    <r>
      <rPr>
        <sz val="11"/>
        <color rgb="FF000000"/>
        <rFont val="Calibri"/>
      </rPr>
      <t>To limit changes to the web server and limit exposure to any adverse effects from the changes, files such as the web server application files, libraries, and configuration files must have permissions and ownership set properly to only allow privileged users access.</t>
    </r>
  </si>
  <si>
    <r>
      <rPr>
        <sz val="11"/>
        <color rgb="FF000000"/>
        <rFont val="Calibri"/>
      </rPr>
      <t>At the command prompt, execute the following commands:</t>
    </r>
    <r>
      <rPr>
        <sz val="11"/>
        <color rgb="FF000000"/>
        <rFont val="Calibri"/>
      </rPr>
      <t xml:space="preserve">
</t>
    </r>
    <r>
      <rPr>
        <sz val="11"/>
        <color rgb="FF000000"/>
        <rFont val="Calibri"/>
      </rPr>
      <t>cd /usr/lib/vmware-vcops/tomcat-web-app</t>
    </r>
    <r>
      <rPr>
        <sz val="11"/>
        <color rgb="FF000000"/>
        <rFont val="Calibri"/>
      </rPr>
      <t xml:space="preserve">
</t>
    </r>
    <r>
      <rPr>
        <sz val="11"/>
        <color rgb="FF000000"/>
        <rFont val="Calibri"/>
      </rPr>
      <t>ls -alR bin lib conf | grep -E '^-' |  awk '$1 !~ /---$/ {print}'</t>
    </r>
    <r>
      <rPr>
        <sz val="11"/>
        <color rgb="FF000000"/>
        <rFont val="Calibri"/>
      </rPr>
      <t xml:space="preserve">
</t>
    </r>
    <r>
      <rPr>
        <sz val="11"/>
        <color rgb="FF000000"/>
        <rFont val="Calibri"/>
      </rPr>
      <t>If the command produces any output, this is a finding.</t>
    </r>
  </si>
  <si>
    <t>V-89057</t>
  </si>
  <si>
    <r>
      <rPr>
        <sz val="11"/>
        <rFont val="Calibri"/>
      </rPr>
      <t>tc Server CaSa application, libraries, and configuration files must only be accessible to privileged users.</t>
    </r>
  </si>
  <si>
    <r>
      <rPr>
        <sz val="11"/>
        <color rgb="FF000000"/>
        <rFont val="Calibri"/>
      </rPr>
      <t>At the command prompt, execute the following commands:</t>
    </r>
    <r>
      <rPr>
        <sz val="11"/>
        <color rgb="FF000000"/>
        <rFont val="Calibri"/>
      </rPr>
      <t xml:space="preserve">
</t>
    </r>
    <r>
      <rPr>
        <sz val="11"/>
        <color rgb="FF000000"/>
        <rFont val="Calibri"/>
      </rPr>
      <t>cd /usr/lib/vmware-casa/casa-webapp</t>
    </r>
    <r>
      <rPr>
        <sz val="11"/>
        <color rgb="FF000000"/>
        <rFont val="Calibri"/>
      </rPr>
      <t xml:space="preserve">
</t>
    </r>
    <r>
      <rPr>
        <sz val="11"/>
        <color rgb="FF000000"/>
        <rFont val="Calibri"/>
      </rPr>
      <t>ls -alR bin lib conf | grep -E '^-' |  awk '$1 !~ /---$/ {print}'</t>
    </r>
    <r>
      <rPr>
        <sz val="11"/>
        <color rgb="FF000000"/>
        <rFont val="Calibri"/>
      </rPr>
      <t xml:space="preserve">
</t>
    </r>
    <r>
      <rPr>
        <sz val="11"/>
        <color rgb="FF000000"/>
        <rFont val="Calibri"/>
      </rPr>
      <t>If the command produces any output, this is a finding.</t>
    </r>
  </si>
  <si>
    <t>V-89059</t>
  </si>
  <si>
    <r>
      <rPr>
        <sz val="11"/>
        <rFont val="Calibri"/>
      </rPr>
      <t>tc Server API application, libraries, and configuration files must only be accessible to privileged users.</t>
    </r>
  </si>
  <si>
    <r>
      <rPr>
        <sz val="11"/>
        <color rgb="FF000000"/>
        <rFont val="Calibri"/>
      </rPr>
      <t>At the command prompt, execute the following commands:</t>
    </r>
    <r>
      <rPr>
        <sz val="11"/>
        <color rgb="FF000000"/>
        <rFont val="Calibri"/>
      </rPr>
      <t xml:space="preserve">
</t>
    </r>
    <r>
      <rPr>
        <sz val="11"/>
        <color rgb="FF000000"/>
        <rFont val="Calibri"/>
      </rPr>
      <t>cd /usr/lib/vmware-vcops/tomcat-enterprise</t>
    </r>
    <r>
      <rPr>
        <sz val="11"/>
        <color rgb="FF000000"/>
        <rFont val="Calibri"/>
      </rPr>
      <t xml:space="preserve">
</t>
    </r>
    <r>
      <rPr>
        <sz val="11"/>
        <color rgb="FF000000"/>
        <rFont val="Calibri"/>
      </rPr>
      <t>ls -alR bin conf | grep -E '^-' |  awk '$1 !~ /---$/ {print}'</t>
    </r>
    <r>
      <rPr>
        <sz val="11"/>
        <color rgb="FF000000"/>
        <rFont val="Calibri"/>
      </rPr>
      <t xml:space="preserve">
</t>
    </r>
    <r>
      <rPr>
        <sz val="11"/>
        <color rgb="FF000000"/>
        <rFont val="Calibri"/>
      </rPr>
      <t>If the command produces any output, this is a finding.</t>
    </r>
  </si>
  <si>
    <t>V-89061</t>
  </si>
  <si>
    <r>
      <rPr>
        <sz val="11"/>
        <rFont val="Calibri"/>
      </rPr>
      <t>tc Server UI must be configured with the appropriate ports.</t>
    </r>
  </si>
  <si>
    <r>
      <rPr>
        <sz val="11"/>
        <color rgb="FF000000"/>
        <rFont val="Calibri"/>
      </rPr>
      <t>Navigate to and open /usr/lib/vmware-vcops/tomcat-web-app/conf/catalina.properties</t>
    </r>
    <r>
      <rPr>
        <sz val="11"/>
        <color rgb="FF000000"/>
        <rFont val="Calibri"/>
      </rPr>
      <t xml:space="preserve">
</t>
    </r>
    <r>
      <rPr>
        <sz val="11"/>
        <color rgb="FF000000"/>
        <rFont val="Calibri"/>
      </rPr>
      <t>Navigate to the ports specification section.</t>
    </r>
    <r>
      <rPr>
        <sz val="11"/>
        <color rgb="FF000000"/>
        <rFont val="Calibri"/>
      </rPr>
      <t xml:space="preserve">
</t>
    </r>
    <r>
      <rPr>
        <sz val="11"/>
        <color rgb="FF000000"/>
        <rFont val="Calibri"/>
      </rPr>
      <t>Set the tc Server UI port specifications according to the list below:</t>
    </r>
    <r>
      <rPr>
        <sz val="11"/>
        <color rgb="FF000000"/>
        <rFont val="Calibri"/>
      </rPr>
      <t xml:space="preserve">
</t>
    </r>
    <r>
      <rPr>
        <sz val="11"/>
        <color rgb="FF000000"/>
        <rFont val="Calibri"/>
      </rPr>
      <t>base.shutdown.port=-1</t>
    </r>
    <r>
      <rPr>
        <sz val="11"/>
        <color rgb="FF000000"/>
        <rFont val="Calibri"/>
      </rPr>
      <t xml:space="preserve">
</t>
    </r>
    <r>
      <rPr>
        <sz val="11"/>
        <color rgb="FF000000"/>
        <rFont val="Calibri"/>
      </rPr>
      <t>base.jmx.port=6969</t>
    </r>
    <r>
      <rPr>
        <sz val="11"/>
        <color rgb="FF000000"/>
        <rFont val="Calibri"/>
      </rPr>
      <t xml:space="preserve">
</t>
    </r>
    <r>
      <rPr>
        <sz val="11"/>
        <color rgb="FF000000"/>
        <rFont val="Calibri"/>
      </rPr>
      <t>vmware-ssl.https.port=8443</t>
    </r>
    <r>
      <rPr>
        <sz val="11"/>
        <color rgb="FF000000"/>
        <rFont val="Calibri"/>
      </rPr>
      <t xml:space="preserve">
</t>
    </r>
    <r>
      <rPr>
        <sz val="11"/>
        <color rgb="FF000000"/>
        <rFont val="Calibri"/>
      </rPr>
      <t>vmware-ajp13.jk.port=8009</t>
    </r>
    <r>
      <rPr>
        <sz val="11"/>
        <color rgb="FF000000"/>
        <rFont val="Calibri"/>
      </rPr>
      <t xml:space="preserve">
</t>
    </r>
    <r>
      <rPr>
        <sz val="11"/>
        <color rgb="FF000000"/>
        <rFont val="Calibri"/>
      </rPr>
      <t>vmware-ajp13.https.port=8443</t>
    </r>
    <r>
      <rPr>
        <sz val="11"/>
        <color rgb="FF000000"/>
        <rFont val="Calibri"/>
      </rPr>
      <t xml:space="preserve">
</t>
    </r>
    <r>
      <rPr>
        <sz val="11"/>
        <color rgb="FF000000"/>
        <rFont val="Calibri"/>
      </rPr>
      <t>vmware-bio.http.port=8080</t>
    </r>
    <r>
      <rPr>
        <sz val="11"/>
        <color rgb="FF000000"/>
        <rFont val="Calibri"/>
      </rPr>
      <t xml:space="preserve">
</t>
    </r>
    <r>
      <rPr>
        <sz val="11"/>
        <color rgb="FF000000"/>
        <rFont val="Calibri"/>
      </rPr>
      <t>vmware-bio.https.port=8443</t>
    </r>
  </si>
  <si>
    <r>
      <rPr>
        <sz val="11"/>
        <color rgb="FF000000"/>
        <rFont val="Calibri"/>
      </rPr>
      <t xml:space="preserve">Web servers provide numerous processes, features, and functionalities that utilize TCP/IP ports. Some of these processes may be deemed unnecessary or too unsecure to run on a production system. </t>
    </r>
    <r>
      <rPr>
        <sz val="11"/>
        <color rgb="FF000000"/>
        <rFont val="Calibri"/>
      </rPr>
      <t xml:space="preserve">
</t>
    </r>
    <r>
      <rPr>
        <sz val="11"/>
        <color rgb="FF000000"/>
        <rFont val="Calibri"/>
      </rPr>
      <t>The web server must provide the capability to disable or deactivate network-related services that are deemed to be non-essential to the server mission, are too unsecure, or are prohibited by the PPSM CAL and vulnerability assessments.</t>
    </r>
    <r>
      <rPr>
        <sz val="11"/>
        <color rgb="FF000000"/>
        <rFont val="Calibri"/>
      </rPr>
      <t xml:space="preserve">
</t>
    </r>
    <r>
      <rPr>
        <sz val="11"/>
        <color rgb="FF000000"/>
        <rFont val="Calibri"/>
      </rPr>
      <t>An essential configuration file for tc Server is “catalina.properties”. The ports that tc Server listens to will be configured in that file.</t>
    </r>
  </si>
  <si>
    <r>
      <rPr>
        <sz val="11"/>
        <color rgb="FF000000"/>
        <rFont val="Calibri"/>
      </rPr>
      <t>At the command prompt, execute the following command:</t>
    </r>
    <r>
      <rPr>
        <sz val="11"/>
        <color rgb="FF000000"/>
        <rFont val="Calibri"/>
      </rPr>
      <t xml:space="preserve">
</t>
    </r>
    <r>
      <rPr>
        <sz val="11"/>
        <color rgb="FF000000"/>
        <rFont val="Calibri"/>
      </rPr>
      <t>cat /usr/lib/vmware-vcops/tomcat-web-app/conf/catalina.properties | grep -E '\.port'</t>
    </r>
    <r>
      <rPr>
        <sz val="11"/>
        <color rgb="FF000000"/>
        <rFont val="Calibri"/>
      </rPr>
      <t xml:space="preserve">
</t>
    </r>
    <r>
      <rPr>
        <sz val="11"/>
        <color rgb="FF000000"/>
        <rFont val="Calibri"/>
      </rPr>
      <t>Review the listed ports.</t>
    </r>
    <r>
      <rPr>
        <sz val="11"/>
        <color rgb="FF000000"/>
        <rFont val="Calibri"/>
      </rPr>
      <t xml:space="preserve">
</t>
    </r>
    <r>
      <rPr>
        <sz val="11"/>
        <color rgb="FF000000"/>
        <rFont val="Calibri"/>
      </rPr>
      <t>Verify that they match the list below of tc Server UI ports.</t>
    </r>
    <r>
      <rPr>
        <sz val="11"/>
        <color rgb="FF000000"/>
        <rFont val="Calibri"/>
      </rPr>
      <t xml:space="preserve">
</t>
    </r>
    <r>
      <rPr>
        <sz val="11"/>
        <color rgb="FF000000"/>
        <rFont val="Calibri"/>
      </rPr>
      <t>base.shutdown.port=-1</t>
    </r>
    <r>
      <rPr>
        <sz val="11"/>
        <color rgb="FF000000"/>
        <rFont val="Calibri"/>
      </rPr>
      <t xml:space="preserve">
</t>
    </r>
    <r>
      <rPr>
        <sz val="11"/>
        <color rgb="FF000000"/>
        <rFont val="Calibri"/>
      </rPr>
      <t>base.jmx.port=6969</t>
    </r>
    <r>
      <rPr>
        <sz val="11"/>
        <color rgb="FF000000"/>
        <rFont val="Calibri"/>
      </rPr>
      <t xml:space="preserve">
</t>
    </r>
    <r>
      <rPr>
        <sz val="11"/>
        <color rgb="FF000000"/>
        <rFont val="Calibri"/>
      </rPr>
      <t>vmware-ssl.https.port=8443</t>
    </r>
    <r>
      <rPr>
        <sz val="11"/>
        <color rgb="FF000000"/>
        <rFont val="Calibri"/>
      </rPr>
      <t xml:space="preserve">
</t>
    </r>
    <r>
      <rPr>
        <sz val="11"/>
        <color rgb="FF000000"/>
        <rFont val="Calibri"/>
      </rPr>
      <t>vmware-ajp13.jk.port=8009</t>
    </r>
    <r>
      <rPr>
        <sz val="11"/>
        <color rgb="FF000000"/>
        <rFont val="Calibri"/>
      </rPr>
      <t xml:space="preserve">
</t>
    </r>
    <r>
      <rPr>
        <sz val="11"/>
        <color rgb="FF000000"/>
        <rFont val="Calibri"/>
      </rPr>
      <t>vmware-ajp13.https.port=8443</t>
    </r>
    <r>
      <rPr>
        <sz val="11"/>
        <color rgb="FF000000"/>
        <rFont val="Calibri"/>
      </rPr>
      <t xml:space="preserve">
</t>
    </r>
    <r>
      <rPr>
        <sz val="11"/>
        <color rgb="FF000000"/>
        <rFont val="Calibri"/>
      </rPr>
      <t>vmware-bio.http.port=8080</t>
    </r>
    <r>
      <rPr>
        <sz val="11"/>
        <color rgb="FF000000"/>
        <rFont val="Calibri"/>
      </rPr>
      <t xml:space="preserve">
</t>
    </r>
    <r>
      <rPr>
        <sz val="11"/>
        <color rgb="FF000000"/>
        <rFont val="Calibri"/>
      </rPr>
      <t>vmware-bio.https.port=8443</t>
    </r>
    <r>
      <rPr>
        <sz val="11"/>
        <color rgb="FF000000"/>
        <rFont val="Calibri"/>
      </rPr>
      <t xml:space="preserve">
</t>
    </r>
    <r>
      <rPr>
        <sz val="11"/>
        <color rgb="FF000000"/>
        <rFont val="Calibri"/>
      </rPr>
      <t>If the ports are not as listed, this is a finding.</t>
    </r>
  </si>
  <si>
    <t>V-89063</t>
  </si>
  <si>
    <r>
      <rPr>
        <sz val="11"/>
        <rFont val="Calibri"/>
      </rPr>
      <t>tc Server CaSa must be configured with the appropriate ports.</t>
    </r>
  </si>
  <si>
    <r>
      <rPr>
        <sz val="11"/>
        <color rgb="FF000000"/>
        <rFont val="Calibri"/>
      </rPr>
      <t>Navigate to and open /usr/lib/vmware-casa/casa-webapp/conf/catalina.properties.</t>
    </r>
    <r>
      <rPr>
        <sz val="11"/>
        <color rgb="FF000000"/>
        <rFont val="Calibri"/>
      </rPr>
      <t xml:space="preserve">
</t>
    </r>
    <r>
      <rPr>
        <sz val="11"/>
        <color rgb="FF000000"/>
        <rFont val="Calibri"/>
      </rPr>
      <t>Navigate to the ports specification section.</t>
    </r>
    <r>
      <rPr>
        <sz val="11"/>
        <color rgb="FF000000"/>
        <rFont val="Calibri"/>
      </rPr>
      <t xml:space="preserve">
</t>
    </r>
    <r>
      <rPr>
        <sz val="11"/>
        <color rgb="FF000000"/>
        <rFont val="Calibri"/>
      </rPr>
      <t>Set the tc Server CaSa port specifications according to the list below:</t>
    </r>
    <r>
      <rPr>
        <sz val="11"/>
        <color rgb="FF000000"/>
        <rFont val="Calibri"/>
      </rPr>
      <t xml:space="preserve">
</t>
    </r>
    <r>
      <rPr>
        <sz val="11"/>
        <color rgb="FF000000"/>
        <rFont val="Calibri"/>
      </rPr>
      <t>base.shutdown.port=-1</t>
    </r>
    <r>
      <rPr>
        <sz val="11"/>
        <color rgb="FF000000"/>
        <rFont val="Calibri"/>
      </rPr>
      <t xml:space="preserve">
</t>
    </r>
    <r>
      <rPr>
        <sz val="11"/>
        <color rgb="FF000000"/>
        <rFont val="Calibri"/>
      </rPr>
      <t>base.jmx.port=6968</t>
    </r>
    <r>
      <rPr>
        <sz val="11"/>
        <color rgb="FF000000"/>
        <rFont val="Calibri"/>
      </rPr>
      <t xml:space="preserve">
</t>
    </r>
    <r>
      <rPr>
        <sz val="11"/>
        <color rgb="FF000000"/>
        <rFont val="Calibri"/>
      </rPr>
      <t>vmware-ajp13.jk.port=8011</t>
    </r>
    <r>
      <rPr>
        <sz val="11"/>
        <color rgb="FF000000"/>
        <rFont val="Calibri"/>
      </rPr>
      <t xml:space="preserve">
</t>
    </r>
    <r>
      <rPr>
        <sz val="11"/>
        <color rgb="FF000000"/>
        <rFont val="Calibri"/>
      </rPr>
      <t>vmware-ajp13.https.port=8445</t>
    </r>
    <r>
      <rPr>
        <sz val="11"/>
        <color rgb="FF000000"/>
        <rFont val="Calibri"/>
      </rPr>
      <t xml:space="preserve">
</t>
    </r>
    <r>
      <rPr>
        <sz val="11"/>
        <color rgb="FF000000"/>
        <rFont val="Calibri"/>
      </rPr>
      <t>vmware-casa.https.port=8445</t>
    </r>
    <r>
      <rPr>
        <sz val="11"/>
        <color rgb="FF000000"/>
        <rFont val="Calibri"/>
      </rPr>
      <t xml:space="preserve">
</t>
    </r>
    <r>
      <rPr>
        <sz val="11"/>
        <color rgb="FF000000"/>
        <rFont val="Calibri"/>
      </rPr>
      <t>vmware-casa.client.auth.port=8447</t>
    </r>
    <r>
      <rPr>
        <sz val="11"/>
        <color rgb="FF000000"/>
        <rFont val="Calibri"/>
      </rPr>
      <t xml:space="preserve">
</t>
    </r>
    <r>
      <rPr>
        <sz val="11"/>
        <color rgb="FF000000"/>
        <rFont val="Calibri"/>
      </rPr>
      <t>vmware-bio.http.port=8082</t>
    </r>
    <r>
      <rPr>
        <sz val="11"/>
        <color rgb="FF000000"/>
        <rFont val="Calibri"/>
      </rPr>
      <t xml:space="preserve">
</t>
    </r>
    <r>
      <rPr>
        <sz val="11"/>
        <color rgb="FF000000"/>
        <rFont val="Calibri"/>
      </rPr>
      <t>vmware-bio.https.port=8445</t>
    </r>
  </si>
  <si>
    <r>
      <rPr>
        <sz val="11"/>
        <color rgb="FF000000"/>
        <rFont val="Calibri"/>
      </rPr>
      <t>At the command prompt, execute the following command:</t>
    </r>
    <r>
      <rPr>
        <sz val="11"/>
        <color rgb="FF000000"/>
        <rFont val="Calibri"/>
      </rPr>
      <t xml:space="preserve">
</t>
    </r>
    <r>
      <rPr>
        <sz val="11"/>
        <color rgb="FF000000"/>
        <rFont val="Calibri"/>
      </rPr>
      <t>cat /usr/lib/vmware-casa/casa-webapp/conf/catalina.properties | grep -E '\.port'</t>
    </r>
    <r>
      <rPr>
        <sz val="11"/>
        <color rgb="FF000000"/>
        <rFont val="Calibri"/>
      </rPr>
      <t xml:space="preserve">
</t>
    </r>
    <r>
      <rPr>
        <sz val="11"/>
        <color rgb="FF000000"/>
        <rFont val="Calibri"/>
      </rPr>
      <t>Review the listed ports.</t>
    </r>
    <r>
      <rPr>
        <sz val="11"/>
        <color rgb="FF000000"/>
        <rFont val="Calibri"/>
      </rPr>
      <t xml:space="preserve">
</t>
    </r>
    <r>
      <rPr>
        <sz val="11"/>
        <color rgb="FF000000"/>
        <rFont val="Calibri"/>
      </rPr>
      <t>Verify that they match the list below of tc Server CaSa ports.</t>
    </r>
    <r>
      <rPr>
        <sz val="11"/>
        <color rgb="FF000000"/>
        <rFont val="Calibri"/>
      </rPr>
      <t xml:space="preserve">
</t>
    </r>
    <r>
      <rPr>
        <sz val="11"/>
        <color rgb="FF000000"/>
        <rFont val="Calibri"/>
      </rPr>
      <t>base.shutdown.port=-1</t>
    </r>
    <r>
      <rPr>
        <sz val="11"/>
        <color rgb="FF000000"/>
        <rFont val="Calibri"/>
      </rPr>
      <t xml:space="preserve">
</t>
    </r>
    <r>
      <rPr>
        <sz val="11"/>
        <color rgb="FF000000"/>
        <rFont val="Calibri"/>
      </rPr>
      <t>base.jmx.port=6968</t>
    </r>
    <r>
      <rPr>
        <sz val="11"/>
        <color rgb="FF000000"/>
        <rFont val="Calibri"/>
      </rPr>
      <t xml:space="preserve">
</t>
    </r>
    <r>
      <rPr>
        <sz val="11"/>
        <color rgb="FF000000"/>
        <rFont val="Calibri"/>
      </rPr>
      <t>vmware-ajp13.jk.port=8011</t>
    </r>
    <r>
      <rPr>
        <sz val="11"/>
        <color rgb="FF000000"/>
        <rFont val="Calibri"/>
      </rPr>
      <t xml:space="preserve">
</t>
    </r>
    <r>
      <rPr>
        <sz val="11"/>
        <color rgb="FF000000"/>
        <rFont val="Calibri"/>
      </rPr>
      <t>vmware-ajp13.https.port=8445</t>
    </r>
    <r>
      <rPr>
        <sz val="11"/>
        <color rgb="FF000000"/>
        <rFont val="Calibri"/>
      </rPr>
      <t xml:space="preserve">
</t>
    </r>
    <r>
      <rPr>
        <sz val="11"/>
        <color rgb="FF000000"/>
        <rFont val="Calibri"/>
      </rPr>
      <t>vmware-casa.https.port=8445</t>
    </r>
    <r>
      <rPr>
        <sz val="11"/>
        <color rgb="FF000000"/>
        <rFont val="Calibri"/>
      </rPr>
      <t xml:space="preserve">
</t>
    </r>
    <r>
      <rPr>
        <sz val="11"/>
        <color rgb="FF000000"/>
        <rFont val="Calibri"/>
      </rPr>
      <t>vmware-casa.client.auth.port=8447</t>
    </r>
    <r>
      <rPr>
        <sz val="11"/>
        <color rgb="FF000000"/>
        <rFont val="Calibri"/>
      </rPr>
      <t xml:space="preserve">
</t>
    </r>
    <r>
      <rPr>
        <sz val="11"/>
        <color rgb="FF000000"/>
        <rFont val="Calibri"/>
      </rPr>
      <t>vmware-bio.http.port=8082</t>
    </r>
    <r>
      <rPr>
        <sz val="11"/>
        <color rgb="FF000000"/>
        <rFont val="Calibri"/>
      </rPr>
      <t xml:space="preserve">
</t>
    </r>
    <r>
      <rPr>
        <sz val="11"/>
        <color rgb="FF000000"/>
        <rFont val="Calibri"/>
      </rPr>
      <t>vmware-bio.https.port=8445</t>
    </r>
    <r>
      <rPr>
        <sz val="11"/>
        <color rgb="FF000000"/>
        <rFont val="Calibri"/>
      </rPr>
      <t xml:space="preserve">
</t>
    </r>
    <r>
      <rPr>
        <sz val="11"/>
        <color rgb="FF000000"/>
        <rFont val="Calibri"/>
      </rPr>
      <t>If the ports are not as listed, this is a finding.</t>
    </r>
  </si>
  <si>
    <t>V-89065</t>
  </si>
  <si>
    <r>
      <rPr>
        <sz val="11"/>
        <rFont val="Calibri"/>
      </rPr>
      <t>tc Server API must be configured with the appropriate ports.</t>
    </r>
  </si>
  <si>
    <r>
      <rPr>
        <sz val="11"/>
        <color rgb="FF000000"/>
        <rFont val="Calibri"/>
      </rPr>
      <t>Navigate to and open /usr/lib/vmware-vcops/tomcat-enterprise/conf/catalina.properties.</t>
    </r>
    <r>
      <rPr>
        <sz val="11"/>
        <color rgb="FF000000"/>
        <rFont val="Calibri"/>
      </rPr>
      <t xml:space="preserve">
</t>
    </r>
    <r>
      <rPr>
        <sz val="11"/>
        <color rgb="FF000000"/>
        <rFont val="Calibri"/>
      </rPr>
      <t>Navigate to the ports specification section.</t>
    </r>
    <r>
      <rPr>
        <sz val="11"/>
        <color rgb="FF000000"/>
        <rFont val="Calibri"/>
      </rPr>
      <t xml:space="preserve">
</t>
    </r>
    <r>
      <rPr>
        <sz val="11"/>
        <color rgb="FF000000"/>
        <rFont val="Calibri"/>
      </rPr>
      <t>Set the tc Server API port specifications according to the list below:</t>
    </r>
    <r>
      <rPr>
        <sz val="11"/>
        <color rgb="FF000000"/>
        <rFont val="Calibri"/>
      </rPr>
      <t xml:space="preserve">
</t>
    </r>
    <r>
      <rPr>
        <sz val="11"/>
        <color rgb="FF000000"/>
        <rFont val="Calibri"/>
      </rPr>
      <t>base.shutdown.port=-1</t>
    </r>
    <r>
      <rPr>
        <sz val="11"/>
        <color rgb="FF000000"/>
        <rFont val="Calibri"/>
      </rPr>
      <t xml:space="preserve">
</t>
    </r>
    <r>
      <rPr>
        <sz val="11"/>
        <color rgb="FF000000"/>
        <rFont val="Calibri"/>
      </rPr>
      <t>bio-ssl.https.port=8440</t>
    </r>
    <r>
      <rPr>
        <sz val="11"/>
        <color rgb="FF000000"/>
        <rFont val="Calibri"/>
      </rPr>
      <t xml:space="preserve">
</t>
    </r>
    <r>
      <rPr>
        <sz val="11"/>
        <color rgb="FF000000"/>
        <rFont val="Calibri"/>
      </rPr>
      <t>bio.http.port=8081</t>
    </r>
    <r>
      <rPr>
        <sz val="11"/>
        <color rgb="FF000000"/>
        <rFont val="Calibri"/>
      </rPr>
      <t xml:space="preserve">
</t>
    </r>
    <r>
      <rPr>
        <sz val="11"/>
        <color rgb="FF000000"/>
        <rFont val="Calibri"/>
      </rPr>
      <t>bio.https.port=8440</t>
    </r>
    <r>
      <rPr>
        <sz val="11"/>
        <color rgb="FF000000"/>
        <rFont val="Calibri"/>
      </rPr>
      <t xml:space="preserve">
</t>
    </r>
    <r>
      <rPr>
        <sz val="11"/>
        <color rgb="FF000000"/>
        <rFont val="Calibri"/>
      </rPr>
      <t>jk.port=8010</t>
    </r>
    <r>
      <rPr>
        <sz val="11"/>
        <color rgb="FF000000"/>
        <rFont val="Calibri"/>
      </rPr>
      <t xml:space="preserve">
</t>
    </r>
    <r>
      <rPr>
        <sz val="11"/>
        <color rgb="FF000000"/>
        <rFont val="Calibri"/>
      </rPr>
      <t>vmware-ajp13.jk.port=8010</t>
    </r>
    <r>
      <rPr>
        <sz val="11"/>
        <color rgb="FF000000"/>
        <rFont val="Calibri"/>
      </rPr>
      <t xml:space="preserve">
</t>
    </r>
    <r>
      <rPr>
        <sz val="11"/>
        <color rgb="FF000000"/>
        <rFont val="Calibri"/>
      </rPr>
      <t>vmware-ajp13.https.port=8440</t>
    </r>
    <r>
      <rPr>
        <sz val="11"/>
        <color rgb="FF000000"/>
        <rFont val="Calibri"/>
      </rPr>
      <t xml:space="preserve">
</t>
    </r>
    <r>
      <rPr>
        <sz val="11"/>
        <color rgb="FF000000"/>
        <rFont val="Calibri"/>
      </rPr>
      <t>vmware-ssl.https.port=8440</t>
    </r>
    <r>
      <rPr>
        <sz val="11"/>
        <color rgb="FF000000"/>
        <rFont val="Calibri"/>
      </rPr>
      <t xml:space="preserve">
</t>
    </r>
    <r>
      <rPr>
        <sz val="11"/>
        <color rgb="FF000000"/>
        <rFont val="Calibri"/>
      </rPr>
      <t>vmware-ajp13.jk.port=8010</t>
    </r>
    <r>
      <rPr>
        <sz val="11"/>
        <color rgb="FF000000"/>
        <rFont val="Calibri"/>
      </rPr>
      <t xml:space="preserve">
</t>
    </r>
    <r>
      <rPr>
        <sz val="11"/>
        <color rgb="FF000000"/>
        <rFont val="Calibri"/>
      </rPr>
      <t>vmware-ajp13.https.port=8440</t>
    </r>
  </si>
  <si>
    <r>
      <rPr>
        <sz val="11"/>
        <color rgb="FF000000"/>
        <rFont val="Calibri"/>
      </rPr>
      <t>At the command prompt, execute the following command:</t>
    </r>
    <r>
      <rPr>
        <sz val="11"/>
        <color rgb="FF000000"/>
        <rFont val="Calibri"/>
      </rPr>
      <t xml:space="preserve">
</t>
    </r>
    <r>
      <rPr>
        <sz val="11"/>
        <color rgb="FF000000"/>
        <rFont val="Calibri"/>
      </rPr>
      <t>cat /usr/lib/vmware-vcops/tomcat-enterprise/conf/catalina.properties | grep -E '\.port'</t>
    </r>
    <r>
      <rPr>
        <sz val="11"/>
        <color rgb="FF000000"/>
        <rFont val="Calibri"/>
      </rPr>
      <t xml:space="preserve">
</t>
    </r>
    <r>
      <rPr>
        <sz val="11"/>
        <color rgb="FF000000"/>
        <rFont val="Calibri"/>
      </rPr>
      <t>Review the listed ports.</t>
    </r>
    <r>
      <rPr>
        <sz val="11"/>
        <color rgb="FF000000"/>
        <rFont val="Calibri"/>
      </rPr>
      <t xml:space="preserve">
</t>
    </r>
    <r>
      <rPr>
        <sz val="11"/>
        <color rgb="FF000000"/>
        <rFont val="Calibri"/>
      </rPr>
      <t>Verify that they match the list  below of tc Server API ports.</t>
    </r>
    <r>
      <rPr>
        <sz val="11"/>
        <color rgb="FF000000"/>
        <rFont val="Calibri"/>
      </rPr>
      <t xml:space="preserve">
</t>
    </r>
    <r>
      <rPr>
        <sz val="11"/>
        <color rgb="FF000000"/>
        <rFont val="Calibri"/>
      </rPr>
      <t>base.shutdown.port=-1</t>
    </r>
    <r>
      <rPr>
        <sz val="11"/>
        <color rgb="FF000000"/>
        <rFont val="Calibri"/>
      </rPr>
      <t xml:space="preserve">
</t>
    </r>
    <r>
      <rPr>
        <sz val="11"/>
        <color rgb="FF000000"/>
        <rFont val="Calibri"/>
      </rPr>
      <t>bio-ssl.https.port=8440</t>
    </r>
    <r>
      <rPr>
        <sz val="11"/>
        <color rgb="FF000000"/>
        <rFont val="Calibri"/>
      </rPr>
      <t xml:space="preserve">
</t>
    </r>
    <r>
      <rPr>
        <sz val="11"/>
        <color rgb="FF000000"/>
        <rFont val="Calibri"/>
      </rPr>
      <t>bio.http.port=8081</t>
    </r>
    <r>
      <rPr>
        <sz val="11"/>
        <color rgb="FF000000"/>
        <rFont val="Calibri"/>
      </rPr>
      <t xml:space="preserve">
</t>
    </r>
    <r>
      <rPr>
        <sz val="11"/>
        <color rgb="FF000000"/>
        <rFont val="Calibri"/>
      </rPr>
      <t>bio.https.port=8440</t>
    </r>
    <r>
      <rPr>
        <sz val="11"/>
        <color rgb="FF000000"/>
        <rFont val="Calibri"/>
      </rPr>
      <t xml:space="preserve">
</t>
    </r>
    <r>
      <rPr>
        <sz val="11"/>
        <color rgb="FF000000"/>
        <rFont val="Calibri"/>
      </rPr>
      <t>jk.port=8010</t>
    </r>
    <r>
      <rPr>
        <sz val="11"/>
        <color rgb="FF000000"/>
        <rFont val="Calibri"/>
      </rPr>
      <t xml:space="preserve">
</t>
    </r>
    <r>
      <rPr>
        <sz val="11"/>
        <color rgb="FF000000"/>
        <rFont val="Calibri"/>
      </rPr>
      <t>vmware-ajp13.jk.port=8010</t>
    </r>
    <r>
      <rPr>
        <sz val="11"/>
        <color rgb="FF000000"/>
        <rFont val="Calibri"/>
      </rPr>
      <t xml:space="preserve">
</t>
    </r>
    <r>
      <rPr>
        <sz val="11"/>
        <color rgb="FF000000"/>
        <rFont val="Calibri"/>
      </rPr>
      <t>vmware-ajp13.https.port=8440</t>
    </r>
    <r>
      <rPr>
        <sz val="11"/>
        <color rgb="FF000000"/>
        <rFont val="Calibri"/>
      </rPr>
      <t xml:space="preserve">
</t>
    </r>
    <r>
      <rPr>
        <sz val="11"/>
        <color rgb="FF000000"/>
        <rFont val="Calibri"/>
      </rPr>
      <t>vmware-ssl.https.port=8440</t>
    </r>
    <r>
      <rPr>
        <sz val="11"/>
        <color rgb="FF000000"/>
        <rFont val="Calibri"/>
      </rPr>
      <t xml:space="preserve">
</t>
    </r>
    <r>
      <rPr>
        <sz val="11"/>
        <color rgb="FF000000"/>
        <rFont val="Calibri"/>
      </rPr>
      <t>vmware-ajp13.jk.port=8010</t>
    </r>
    <r>
      <rPr>
        <sz val="11"/>
        <color rgb="FF000000"/>
        <rFont val="Calibri"/>
      </rPr>
      <t xml:space="preserve">
</t>
    </r>
    <r>
      <rPr>
        <sz val="11"/>
        <color rgb="FF000000"/>
        <rFont val="Calibri"/>
      </rPr>
      <t>vmware-ajp13.https.port=8440</t>
    </r>
    <r>
      <rPr>
        <sz val="11"/>
        <color rgb="FF000000"/>
        <rFont val="Calibri"/>
      </rPr>
      <t xml:space="preserve">
</t>
    </r>
    <r>
      <rPr>
        <sz val="11"/>
        <color rgb="FF000000"/>
        <rFont val="Calibri"/>
      </rPr>
      <t>If the ports are not as listed, this is a finding.</t>
    </r>
  </si>
  <si>
    <t>V-89067</t>
  </si>
  <si>
    <r>
      <rPr>
        <sz val="11"/>
        <rFont val="Calibri"/>
      </rPr>
      <t>tc Server UI must use NSA Suite A cryptography when encrypting data that must be compartmentalized.</t>
    </r>
  </si>
  <si>
    <r>
      <rPr>
        <sz val="11"/>
        <color rgb="FF000000"/>
        <rFont val="Calibri"/>
      </rPr>
      <t>If the system is not implemented to process compartmentalized information, this requirement is Not Applicable.</t>
    </r>
    <r>
      <rPr>
        <sz val="11"/>
        <color rgb="FF000000"/>
        <rFont val="Calibri"/>
      </rPr>
      <t xml:space="preserve">
</t>
    </r>
    <r>
      <rPr>
        <sz val="11"/>
        <color rgb="FF000000"/>
        <rFont val="Calibri"/>
      </rPr>
      <t>Navigate to and open /usr/lib/vmware-vcops/tomcat-web-app/conf/catalina.properties.</t>
    </r>
    <r>
      <rPr>
        <sz val="11"/>
        <color rgb="FF000000"/>
        <rFont val="Calibri"/>
      </rPr>
      <t xml:space="preserve">
</t>
    </r>
    <r>
      <rPr>
        <sz val="11"/>
        <color rgb="FF000000"/>
        <rFont val="Calibri"/>
      </rPr>
      <t>Navigate to the “vmware-ssl.ssl.ciphers.list” setting.</t>
    </r>
    <r>
      <rPr>
        <sz val="11"/>
        <color rgb="FF000000"/>
        <rFont val="Calibri"/>
      </rPr>
      <t xml:space="preserve">
</t>
    </r>
    <r>
      <rPr>
        <sz val="11"/>
        <color rgb="FF000000"/>
        <rFont val="Calibri"/>
      </rPr>
      <t>Configure "vmware-ssl.ssl.ciphers.list" with a list of NSA Suite A ciphers.</t>
    </r>
  </si>
  <si>
    <r>
      <rPr>
        <sz val="11"/>
        <color rgb="FF000000"/>
        <rFont val="Calibri"/>
      </rPr>
      <t>Cryptography is only as strong as the encryption modules/algorithms employed to encrypt the data.</t>
    </r>
    <r>
      <rPr>
        <sz val="11"/>
        <color rgb="FF000000"/>
        <rFont val="Calibri"/>
      </rPr>
      <t xml:space="preserve">
</t>
    </r>
    <r>
      <rPr>
        <sz val="11"/>
        <color rgb="FF000000"/>
        <rFont val="Calibri"/>
      </rPr>
      <t>Use of weak or untested encryption algorithms undermines the purposes of utilizing encryption to protect data.</t>
    </r>
    <r>
      <rPr>
        <sz val="11"/>
        <color rgb="FF000000"/>
        <rFont val="Calibri"/>
      </rPr>
      <t xml:space="preserve">
</t>
    </r>
    <r>
      <rPr>
        <sz val="11"/>
        <color rgb="FF000000"/>
        <rFont val="Calibri"/>
      </rPr>
      <t>NSA has developed Type 1 algorithms for protecting classified information. The Committee on National Security Systems (CNSS) National Information Assurance Glossary (CNSS Instruction No. 4009) defines Type 1 products as:</t>
    </r>
    <r>
      <rPr>
        <sz val="11"/>
        <color rgb="FF000000"/>
        <rFont val="Calibri"/>
      </rPr>
      <t xml:space="preserve">
</t>
    </r>
    <r>
      <rPr>
        <sz val="11"/>
        <color rgb="FF000000"/>
        <rFont val="Calibri"/>
      </rPr>
      <t>"Cryptographic equipment, assembly or component classified or certified by NSA for encrypting and decrypting classified and sensitive national security information when appropriately keyed. Developed using established NSA business processes and containing NSA-approved algorithms are used to protect systems requiring the most stringent protection mechanisms."</t>
    </r>
    <r>
      <rPr>
        <sz val="11"/>
        <color rgb="FF000000"/>
        <rFont val="Calibri"/>
      </rPr>
      <t xml:space="preserve">
</t>
    </r>
    <r>
      <rPr>
        <sz val="11"/>
        <color rgb="FF000000"/>
        <rFont val="Calibri"/>
      </rPr>
      <t>Although persons may have a security clearance, they may not have a "need-to-know" and are required to be separated from the information in question. The web server must employ NSA-approved cryptography to protect classified information from those individuals who have no "need-to-know" or when encryption of compartmentalized data is required by data classification.</t>
    </r>
  </si>
  <si>
    <r>
      <rPr>
        <sz val="11"/>
        <color rgb="FF000000"/>
        <rFont val="Calibri"/>
      </rPr>
      <t>If the system is not implemented to process compartmentalized information, this requirement is Not Applicable.</t>
    </r>
    <r>
      <rPr>
        <sz val="11"/>
        <color rgb="FF000000"/>
        <rFont val="Calibri"/>
      </rPr>
      <t xml:space="preserve">
</t>
    </r>
    <r>
      <rPr>
        <sz val="11"/>
        <color rgb="FF000000"/>
        <rFont val="Calibri"/>
      </rPr>
      <t>At the command prompt, execute the following command:</t>
    </r>
    <r>
      <rPr>
        <sz val="11"/>
        <color rgb="FF000000"/>
        <rFont val="Calibri"/>
      </rPr>
      <t xml:space="preserve">
</t>
    </r>
    <r>
      <rPr>
        <sz val="11"/>
        <color rgb="FF000000"/>
        <rFont val="Calibri"/>
      </rPr>
      <t>grep vmware-ssl.ssl.ciphers.list /usr/lib/vmware-vcops/tomcat-web-app/conf/catalina.properties</t>
    </r>
    <r>
      <rPr>
        <sz val="11"/>
        <color rgb="FF000000"/>
        <rFont val="Calibri"/>
      </rPr>
      <t xml:space="preserve">
</t>
    </r>
    <r>
      <rPr>
        <sz val="11"/>
        <color rgb="FF000000"/>
        <rFont val="Calibri"/>
      </rPr>
      <t>If the value of "vmware-ssl.ssl.ciphers.list" does not match the list of NSA Suite A ciphers or is missing, this is a finding.</t>
    </r>
  </si>
  <si>
    <t>V-89069</t>
  </si>
  <si>
    <r>
      <rPr>
        <sz val="11"/>
        <rFont val="Calibri"/>
      </rPr>
      <t>tc Server CaSa must use NSA Suite A cryptography when encrypting data that must be compartmentalized.</t>
    </r>
  </si>
  <si>
    <r>
      <rPr>
        <sz val="11"/>
        <color rgb="FF000000"/>
        <rFont val="Calibri"/>
      </rPr>
      <t>If the system is not implemented to process compartmentalized information, this requirement is Not Applicable.</t>
    </r>
    <r>
      <rPr>
        <sz val="11"/>
        <color rgb="FF000000"/>
        <rFont val="Calibri"/>
      </rPr>
      <t xml:space="preserve">
</t>
    </r>
    <r>
      <rPr>
        <sz val="11"/>
        <color rgb="FF000000"/>
        <rFont val="Calibri"/>
      </rPr>
      <t>Navigate to and open /usr/lib/vmware-casa/casa-webapp/conf/catalina.properties.</t>
    </r>
    <r>
      <rPr>
        <sz val="11"/>
        <color rgb="FF000000"/>
        <rFont val="Calibri"/>
      </rPr>
      <t xml:space="preserve">
</t>
    </r>
    <r>
      <rPr>
        <sz val="11"/>
        <color rgb="FF000000"/>
        <rFont val="Calibri"/>
      </rPr>
      <t>Navigate to the "vmware-casa.ssl.ciphers.list" setting.</t>
    </r>
    <r>
      <rPr>
        <sz val="11"/>
        <color rgb="FF000000"/>
        <rFont val="Calibri"/>
      </rPr>
      <t xml:space="preserve">
</t>
    </r>
    <r>
      <rPr>
        <sz val="11"/>
        <color rgb="FF000000"/>
        <rFont val="Calibri"/>
      </rPr>
      <t>Set "vmware-casa.ssl.ciphers.list" to a list of NSA Suite A ciphers.</t>
    </r>
  </si>
  <si>
    <r>
      <rPr>
        <sz val="11"/>
        <color rgb="FF000000"/>
        <rFont val="Calibri"/>
      </rPr>
      <t>Cryptography is only as strong as the encryption modules/algorithms employed to encrypt the data.</t>
    </r>
    <r>
      <rPr>
        <sz val="11"/>
        <color rgb="FF000000"/>
        <rFont val="Calibri"/>
      </rPr>
      <t xml:space="preserve">
</t>
    </r>
    <r>
      <rPr>
        <sz val="11"/>
        <color rgb="FF000000"/>
        <rFont val="Calibri"/>
      </rPr>
      <t xml:space="preserve">Use of weak or untested encryption algorithms undermines the purposes of utilizing encryption to protect data. </t>
    </r>
    <r>
      <rPr>
        <sz val="11"/>
        <color rgb="FF000000"/>
        <rFont val="Calibri"/>
      </rPr>
      <t xml:space="preserve">
</t>
    </r>
    <r>
      <rPr>
        <sz val="11"/>
        <color rgb="FF000000"/>
        <rFont val="Calibri"/>
      </rPr>
      <t>NSA has developed Type 1 algorithms for protecting classified information. The Committee on National Security Systems (CNSS) National Information Assurance Glossary (CNSS Instruction No. 4009) defines Type 1 products as:</t>
    </r>
    <r>
      <rPr>
        <sz val="11"/>
        <color rgb="FF000000"/>
        <rFont val="Calibri"/>
      </rPr>
      <t xml:space="preserve">
</t>
    </r>
    <r>
      <rPr>
        <sz val="11"/>
        <color rgb="FF000000"/>
        <rFont val="Calibri"/>
      </rPr>
      <t>"Cryptographic equipment, assembly or component classified or certified by NSA for encrypting and decrypting classified and sensitive national security information when appropriately keyed. Developed using established NSA business processes and containing NSA-approved algorithms are used to protect systems requiring the most stringent protection mechanisms."</t>
    </r>
    <r>
      <rPr>
        <sz val="11"/>
        <color rgb="FF000000"/>
        <rFont val="Calibri"/>
      </rPr>
      <t xml:space="preserve">
</t>
    </r>
    <r>
      <rPr>
        <sz val="11"/>
        <color rgb="FF000000"/>
        <rFont val="Calibri"/>
      </rPr>
      <t>Although persons may have a security clearance, they may not have a "need-to-know" and are required to be separated from the information in question. The web server must employ NSA-approved cryptography to protect classified information from those individuals who have no "need-to-know" or when encryption of compartmentalized data is required by data classification.</t>
    </r>
  </si>
  <si>
    <r>
      <rPr>
        <sz val="11"/>
        <color rgb="FF000000"/>
        <rFont val="Calibri"/>
      </rPr>
      <t>If the system is not implemented to process compartmentalized information, this requirement is Not Applicable.</t>
    </r>
    <r>
      <rPr>
        <sz val="11"/>
        <color rgb="FF000000"/>
        <rFont val="Calibri"/>
      </rPr>
      <t xml:space="preserve">
</t>
    </r>
    <r>
      <rPr>
        <sz val="11"/>
        <color rgb="FF000000"/>
        <rFont val="Calibri"/>
      </rPr>
      <t>At the command prompt, execute the following command:</t>
    </r>
    <r>
      <rPr>
        <sz val="11"/>
        <color rgb="FF000000"/>
        <rFont val="Calibri"/>
      </rPr>
      <t xml:space="preserve">
</t>
    </r>
    <r>
      <rPr>
        <sz val="11"/>
        <color rgb="FF000000"/>
        <rFont val="Calibri"/>
      </rPr>
      <t>grep -A 10 vmware-casa.ssl.ciphers.list /usr/lib/vmware-casa/casa-webapp/conf/catalina.properties</t>
    </r>
    <r>
      <rPr>
        <sz val="11"/>
        <color rgb="FF000000"/>
        <rFont val="Calibri"/>
      </rPr>
      <t xml:space="preserve">
</t>
    </r>
    <r>
      <rPr>
        <sz val="11"/>
        <color rgb="FF000000"/>
        <rFont val="Calibri"/>
      </rPr>
      <t>If the value of "vmware-casa.ssl.ciphers.list" does not match the list of NSA Suite A ciphers or is missing, this is a finding.</t>
    </r>
  </si>
  <si>
    <t>V-89071</t>
  </si>
  <si>
    <r>
      <rPr>
        <sz val="11"/>
        <rFont val="Calibri"/>
      </rPr>
      <t>tc Server API must use NSA Suite A cryptography when encrypting data that must be compartmentalized.</t>
    </r>
  </si>
  <si>
    <r>
      <rPr>
        <sz val="11"/>
        <color rgb="FF000000"/>
        <rFont val="Calibri"/>
      </rPr>
      <t>If the system is not implemented to process compartmentalized information, this requirement is Not Applicable.</t>
    </r>
    <r>
      <rPr>
        <sz val="11"/>
        <color rgb="FF000000"/>
        <rFont val="Calibri"/>
      </rPr>
      <t xml:space="preserve">
</t>
    </r>
    <r>
      <rPr>
        <sz val="11"/>
        <color rgb="FF000000"/>
        <rFont val="Calibri"/>
      </rPr>
      <t>Navigate to and open /usr/lib/vmware-vcops/tomcat-enterprise/conf/catalina.properties.</t>
    </r>
    <r>
      <rPr>
        <sz val="11"/>
        <color rgb="FF000000"/>
        <rFont val="Calibri"/>
      </rPr>
      <t xml:space="preserve">
</t>
    </r>
    <r>
      <rPr>
        <sz val="11"/>
        <color rgb="FF000000"/>
        <rFont val="Calibri"/>
      </rPr>
      <t>Navigate to the "vmware-ssl.ssl.ciphers.list" setting.</t>
    </r>
    <r>
      <rPr>
        <sz val="11"/>
        <color rgb="FF000000"/>
        <rFont val="Calibri"/>
      </rPr>
      <t xml:space="preserve">
</t>
    </r>
    <r>
      <rPr>
        <sz val="11"/>
        <color rgb="FF000000"/>
        <rFont val="Calibri"/>
      </rPr>
      <t>Configure "vmware-ssl.ssl.ciphers.list" with a list of NSA Suite A ciphers.</t>
    </r>
  </si>
  <si>
    <r>
      <rPr>
        <sz val="11"/>
        <color rgb="FF000000"/>
        <rFont val="Calibri"/>
      </rPr>
      <t xml:space="preserve">Cryptography is only as strong as the encryption modules/algorithms employed to encrypt the data. </t>
    </r>
    <r>
      <rPr>
        <sz val="11"/>
        <color rgb="FF000000"/>
        <rFont val="Calibri"/>
      </rPr>
      <t xml:space="preserve">
</t>
    </r>
    <r>
      <rPr>
        <sz val="11"/>
        <color rgb="FF000000"/>
        <rFont val="Calibri"/>
      </rPr>
      <t xml:space="preserve">Use of weak or untested encryption algorithms undermines the purposes of utilizing encryption to protect data. </t>
    </r>
    <r>
      <rPr>
        <sz val="11"/>
        <color rgb="FF000000"/>
        <rFont val="Calibri"/>
      </rPr>
      <t xml:space="preserve">
</t>
    </r>
    <r>
      <rPr>
        <sz val="11"/>
        <color rgb="FF000000"/>
        <rFont val="Calibri"/>
      </rPr>
      <t>NSA has developed Type 1 algorithms for protecting classified information. The Committee on National Security Systems (CNSS) National Information Assurance Glossary (CNSS Instruction No. 4009) defines Type 1 products as:</t>
    </r>
    <r>
      <rPr>
        <sz val="11"/>
        <color rgb="FF000000"/>
        <rFont val="Calibri"/>
      </rPr>
      <t xml:space="preserve">
</t>
    </r>
    <r>
      <rPr>
        <sz val="11"/>
        <color rgb="FF000000"/>
        <rFont val="Calibri"/>
      </rPr>
      <t>"Cryptographic equipment, assembly or component classified or certified by NSA for encrypting and decrypting classified and sensitive national security information when appropriately keyed. Developed using established NSA business processes and containing NSA-approved algorithms are used to protect systems requiring the most stringent protection mechanisms."</t>
    </r>
    <r>
      <rPr>
        <sz val="11"/>
        <color rgb="FF000000"/>
        <rFont val="Calibri"/>
      </rPr>
      <t xml:space="preserve">
</t>
    </r>
    <r>
      <rPr>
        <sz val="11"/>
        <color rgb="FF000000"/>
        <rFont val="Calibri"/>
      </rPr>
      <t>Although persons may have a security clearance, they may not have a "need-to-know" and are required to be separated from the information in question. The web server must employ NSA-approved cryptography to protect classified information from those individuals who have no "need-to-know" or when encryption of compartmentalized data is required by data classification.</t>
    </r>
  </si>
  <si>
    <r>
      <rPr>
        <sz val="11"/>
        <color rgb="FF000000"/>
        <rFont val="Calibri"/>
      </rPr>
      <t>If the system is not implemented to process compartmentalized information, this requirement is Not Applicable.</t>
    </r>
    <r>
      <rPr>
        <sz val="11"/>
        <color rgb="FF000000"/>
        <rFont val="Calibri"/>
      </rPr>
      <t xml:space="preserve">
</t>
    </r>
    <r>
      <rPr>
        <sz val="11"/>
        <color rgb="FF000000"/>
        <rFont val="Calibri"/>
      </rPr>
      <t>At the command prompt, execute the following command:</t>
    </r>
    <r>
      <rPr>
        <sz val="11"/>
        <color rgb="FF000000"/>
        <rFont val="Calibri"/>
      </rPr>
      <t xml:space="preserve">
</t>
    </r>
    <r>
      <rPr>
        <sz val="11"/>
        <color rgb="FF000000"/>
        <rFont val="Calibri"/>
      </rPr>
      <t>grep vmware-ssl.ssl.ciphers.list /usr/lib/vmware-vcops/tomcat-enterprise/conf/catalina.properties</t>
    </r>
    <r>
      <rPr>
        <sz val="11"/>
        <color rgb="FF000000"/>
        <rFont val="Calibri"/>
      </rPr>
      <t xml:space="preserve">
</t>
    </r>
    <r>
      <rPr>
        <sz val="11"/>
        <color rgb="FF000000"/>
        <rFont val="Calibri"/>
      </rPr>
      <t>If the value of "vmware-ssl.ssl.ciphers.list" does not match the list of NSA Suite A ciphers or is missing, this is a finding.</t>
    </r>
  </si>
  <si>
    <t>V-89073</t>
  </si>
  <si>
    <r>
      <rPr>
        <sz val="11"/>
        <rFont val="Calibri"/>
      </rPr>
      <t>tc Server UI must disable the shutdown port.</t>
    </r>
  </si>
  <si>
    <r>
      <rPr>
        <sz val="11"/>
        <color rgb="FF000000"/>
        <rFont val="Calibri"/>
      </rPr>
      <t>Navigate to and open /usr/lib/vmware-vcops/tomcat-web-app/conf/catalina.properties.</t>
    </r>
    <r>
      <rPr>
        <sz val="11"/>
        <color rgb="FF000000"/>
        <rFont val="Calibri"/>
      </rPr>
      <t xml:space="preserve">
</t>
    </r>
    <r>
      <rPr>
        <sz val="11"/>
        <color rgb="FF000000"/>
        <rFont val="Calibri"/>
      </rPr>
      <t>Navigate to the "base.shutdown.port" setting.</t>
    </r>
    <r>
      <rPr>
        <sz val="11"/>
        <color rgb="FF000000"/>
        <rFont val="Calibri"/>
      </rPr>
      <t xml:space="preserve">
</t>
    </r>
    <r>
      <rPr>
        <sz val="11"/>
        <color rgb="FF000000"/>
        <rFont val="Calibri"/>
      </rPr>
      <t>Add the setting 'base.shutdown.port=-1' to the "catalina.properties" file.</t>
    </r>
  </si>
  <si>
    <r>
      <rPr>
        <sz val="11"/>
        <color rgb="FF000000"/>
        <rFont val="Calibri"/>
      </rPr>
      <t>An attacker has at least two reasons to stop a web server. The first is to cause a DoS, and the second is to put in place changes the attacker made to the web server configuration.</t>
    </r>
    <r>
      <rPr>
        <sz val="11"/>
        <color rgb="FF000000"/>
        <rFont val="Calibri"/>
      </rPr>
      <t xml:space="preserve">
</t>
    </r>
    <r>
      <rPr>
        <sz val="11"/>
        <color rgb="FF000000"/>
        <rFont val="Calibri"/>
      </rPr>
      <t>As a Tomcat derivative, tc Server uses a port (defaults to 8005) as a shutdown port. If enabled, a shutdown signal can be sent to tc Server through this port. To ensure availability, the shutdown port should be disabled.</t>
    </r>
  </si>
  <si>
    <r>
      <rPr>
        <sz val="11"/>
        <color rgb="FF000000"/>
        <rFont val="Calibri"/>
      </rPr>
      <t>At the command prompt, execute the following command:</t>
    </r>
    <r>
      <rPr>
        <sz val="11"/>
        <color rgb="FF000000"/>
        <rFont val="Calibri"/>
      </rPr>
      <t xml:space="preserve">
</t>
    </r>
    <r>
      <rPr>
        <sz val="11"/>
        <color rgb="FF000000"/>
        <rFont val="Calibri"/>
      </rPr>
      <t>grep base.shutdown.port /usr/lib/vmware-vcops/tomcat-web-app/conf/catalina.properties</t>
    </r>
    <r>
      <rPr>
        <sz val="11"/>
        <color rgb="FF000000"/>
        <rFont val="Calibri"/>
      </rPr>
      <t xml:space="preserve">
</t>
    </r>
    <r>
      <rPr>
        <sz val="11"/>
        <color rgb="FF000000"/>
        <rFont val="Calibri"/>
      </rPr>
      <t>If the value of "base.shutdown.port" is not set to "-1" or is missing, this is a finding.</t>
    </r>
  </si>
  <si>
    <t>V-89075</t>
  </si>
  <si>
    <r>
      <rPr>
        <sz val="11"/>
        <rFont val="Calibri"/>
      </rPr>
      <t>tc Server CaSa must disable the shutdown port.</t>
    </r>
  </si>
  <si>
    <r>
      <rPr>
        <sz val="11"/>
        <color rgb="FF000000"/>
        <rFont val="Calibri"/>
      </rPr>
      <t>Navigate to and open /usr/lib/vmware-casa/casa-webapp/conf/catalina.properties.</t>
    </r>
    <r>
      <rPr>
        <sz val="11"/>
        <color rgb="FF000000"/>
        <rFont val="Calibri"/>
      </rPr>
      <t xml:space="preserve">
</t>
    </r>
    <r>
      <rPr>
        <sz val="11"/>
        <color rgb="FF000000"/>
        <rFont val="Calibri"/>
      </rPr>
      <t>Navigate to the "base.shutdown.port" setting.</t>
    </r>
    <r>
      <rPr>
        <sz val="11"/>
        <color rgb="FF000000"/>
        <rFont val="Calibri"/>
      </rPr>
      <t xml:space="preserve">
</t>
    </r>
    <r>
      <rPr>
        <sz val="11"/>
        <color rgb="FF000000"/>
        <rFont val="Calibri"/>
      </rPr>
      <t>Add the setting 'base.shutdown.port=-1' to the "catalina.properties" file.</t>
    </r>
  </si>
  <si>
    <r>
      <rPr>
        <sz val="11"/>
        <color rgb="FF000000"/>
        <rFont val="Calibri"/>
      </rPr>
      <t>At the command prompt, execute the following command:</t>
    </r>
    <r>
      <rPr>
        <sz val="11"/>
        <color rgb="FF000000"/>
        <rFont val="Calibri"/>
      </rPr>
      <t xml:space="preserve">
</t>
    </r>
    <r>
      <rPr>
        <sz val="11"/>
        <color rgb="FF000000"/>
        <rFont val="Calibri"/>
      </rPr>
      <t>grep base.shutdown.port /usr/lib/vmware-casa/casa-webapp/conf/catalina.properties</t>
    </r>
    <r>
      <rPr>
        <sz val="11"/>
        <color rgb="FF000000"/>
        <rFont val="Calibri"/>
      </rPr>
      <t xml:space="preserve">
</t>
    </r>
    <r>
      <rPr>
        <sz val="11"/>
        <color rgb="FF000000"/>
        <rFont val="Calibri"/>
      </rPr>
      <t>If the value of "base.shutdown.port" is not set to "-1" or is missing, this is a finding.</t>
    </r>
  </si>
  <si>
    <t>V-89077</t>
  </si>
  <si>
    <r>
      <rPr>
        <sz val="11"/>
        <rFont val="Calibri"/>
      </rPr>
      <t>tc Server API must disable the shutdown port.</t>
    </r>
  </si>
  <si>
    <r>
      <rPr>
        <sz val="11"/>
        <color rgb="FF000000"/>
        <rFont val="Calibri"/>
      </rPr>
      <t>Navigate to and open /usr/lib/vmware-vcops/tomcat-enterprise/conf/catalina.properties.</t>
    </r>
    <r>
      <rPr>
        <sz val="11"/>
        <color rgb="FF000000"/>
        <rFont val="Calibri"/>
      </rPr>
      <t xml:space="preserve">
</t>
    </r>
    <r>
      <rPr>
        <sz val="11"/>
        <color rgb="FF000000"/>
        <rFont val="Calibri"/>
      </rPr>
      <t>Navigate to the "base.shutdown.port" setting.</t>
    </r>
    <r>
      <rPr>
        <sz val="11"/>
        <color rgb="FF000000"/>
        <rFont val="Calibri"/>
      </rPr>
      <t xml:space="preserve">
</t>
    </r>
    <r>
      <rPr>
        <sz val="11"/>
        <color rgb="FF000000"/>
        <rFont val="Calibri"/>
      </rPr>
      <t>Add the setting 'base.shutdown.port=-1' to the "catalina.properties" file.</t>
    </r>
  </si>
  <si>
    <r>
      <rPr>
        <sz val="11"/>
        <color rgb="FF000000"/>
        <rFont val="Calibri"/>
      </rPr>
      <t>An attacker has at least two reasons to stop a web server. The first is to cause a DoS, and the second is to put in place changes the attacker made to the web server configuration.</t>
    </r>
    <r>
      <rPr>
        <sz val="11"/>
        <color rgb="FF000000"/>
        <rFont val="Calibri"/>
      </rPr>
      <t xml:space="preserve">
</t>
    </r>
    <r>
      <rPr>
        <sz val="11"/>
        <color rgb="FF000000"/>
        <rFont val="Calibri"/>
      </rPr>
      <t>As a Tomcat derivative, tc Server uses a port (defaults to 8005) as a shutdown port.  If enabled, a shutdown signal can be sent to tc Server through this port. To ensure availability, the shutdown port should be disabled.</t>
    </r>
  </si>
  <si>
    <r>
      <rPr>
        <sz val="11"/>
        <color rgb="FF000000"/>
        <rFont val="Calibri"/>
      </rPr>
      <t>At the command prompt, execute the following command:</t>
    </r>
    <r>
      <rPr>
        <sz val="11"/>
        <color rgb="FF000000"/>
        <rFont val="Calibri"/>
      </rPr>
      <t xml:space="preserve">
</t>
    </r>
    <r>
      <rPr>
        <sz val="11"/>
        <color rgb="FF000000"/>
        <rFont val="Calibri"/>
      </rPr>
      <t>grep base.shutdown.port /usr/lib/vmware-vcops/tomcat-enterprise/conf/catalina.properties</t>
    </r>
    <r>
      <rPr>
        <sz val="11"/>
        <color rgb="FF000000"/>
        <rFont val="Calibri"/>
      </rPr>
      <t xml:space="preserve">
</t>
    </r>
    <r>
      <rPr>
        <sz val="11"/>
        <color rgb="FF000000"/>
        <rFont val="Calibri"/>
      </rPr>
      <t>If the value of "base.shutdown.port" is not set to "-1" or is missing, this is a finding.</t>
    </r>
  </si>
  <si>
    <t>V-89079</t>
  </si>
  <si>
    <r>
      <rPr>
        <sz val="11"/>
        <rFont val="Calibri"/>
      </rPr>
      <t>tc Server UI must employ cryptographic mechanisms (TLS/DTLS/SSL) preventing the unauthorized disclosure of information during transmission.</t>
    </r>
  </si>
  <si>
    <r>
      <rPr>
        <sz val="11"/>
        <color rgb="FF000000"/>
        <rFont val="Calibri"/>
      </rPr>
      <t>Navigate to and open /usr/lib/vmware-vcops/tomcat-web-app/conf/server.xml.</t>
    </r>
    <r>
      <rPr>
        <sz val="11"/>
        <color rgb="FF000000"/>
        <rFont val="Calibri"/>
      </rPr>
      <t xml:space="preserve">
</t>
    </r>
    <r>
      <rPr>
        <sz val="11"/>
        <color rgb="FF000000"/>
        <rFont val="Calibri"/>
      </rPr>
      <t>Navigate to each of the &lt;Connector&gt; nodes.</t>
    </r>
    <r>
      <rPr>
        <sz val="11"/>
        <color rgb="FF000000"/>
        <rFont val="Calibri"/>
      </rPr>
      <t xml:space="preserve">
</t>
    </r>
    <r>
      <rPr>
        <sz val="11"/>
        <color rgb="FF000000"/>
        <rFont val="Calibri"/>
      </rPr>
      <t>Configure each &lt;Connector&gt; nodes with the setting 'sslProtocol="TLS"'</t>
    </r>
  </si>
  <si>
    <r>
      <rPr>
        <sz val="11"/>
        <color rgb="FF000000"/>
        <rFont val="Calibri"/>
      </rPr>
      <t>Preventing the disclosure of transmitted information requires that the web server take measures to employ some form of cryptographic mechanism in order to protect the information during transmission. This is usually achieved through the use of Transport Layer Security (TLS).</t>
    </r>
    <r>
      <rPr>
        <sz val="11"/>
        <color rgb="FF000000"/>
        <rFont val="Calibri"/>
      </rPr>
      <t xml:space="preserve">
</t>
    </r>
    <r>
      <rPr>
        <sz val="11"/>
        <color rgb="FF000000"/>
        <rFont val="Calibri"/>
      </rPr>
      <t>Transmission of data can take place between the web server and a large number of devices/applications external to the web server. Examples are a web client used by a user, a backend database, an audit server, or other web servers in a web cluster.</t>
    </r>
    <r>
      <rPr>
        <sz val="11"/>
        <color rgb="FF000000"/>
        <rFont val="Calibri"/>
      </rPr>
      <t xml:space="preserve">
</t>
    </r>
    <r>
      <rPr>
        <sz val="11"/>
        <color rgb="FF000000"/>
        <rFont val="Calibri"/>
      </rPr>
      <t>tc Server connections are managed by the Connector object class. The Connector object can be configured to use a range of transport encryption methods. Many older transport encryption methods have been proven to be weak. vROps should be configured to use modern, secure forms of transport encryption.</t>
    </r>
  </si>
  <si>
    <r>
      <rPr>
        <sz val="11"/>
        <color rgb="FF000000"/>
        <rFont val="Calibri"/>
      </rPr>
      <t xml:space="preserve">Navigate to and open /usr/lib/vmware-vcops/tomcat-web-app/conf/server.xml. </t>
    </r>
    <r>
      <rPr>
        <sz val="11"/>
        <color rgb="FF000000"/>
        <rFont val="Calibri"/>
      </rPr>
      <t xml:space="preserve">
</t>
    </r>
    <r>
      <rPr>
        <sz val="11"/>
        <color rgb="FF000000"/>
        <rFont val="Calibri"/>
      </rPr>
      <t>Navigate to each of the &lt;Connector&gt; nodes.</t>
    </r>
    <r>
      <rPr>
        <sz val="11"/>
        <color rgb="FF000000"/>
        <rFont val="Calibri"/>
      </rPr>
      <t xml:space="preserve">
</t>
    </r>
    <r>
      <rPr>
        <sz val="11"/>
        <color rgb="FF000000"/>
        <rFont val="Calibri"/>
      </rPr>
      <t>If the value of “sslProtocol” is not set to “TLS” or is missing, this is a finding.</t>
    </r>
  </si>
  <si>
    <t>V-89081</t>
  </si>
  <si>
    <r>
      <rPr>
        <sz val="11"/>
        <rFont val="Calibri"/>
      </rPr>
      <t>tc Server CaSa must employ cryptographic mechanisms (TLS/DTLS/SSL) preventing the unauthorized disclosure of information during transmission.</t>
    </r>
  </si>
  <si>
    <r>
      <rPr>
        <sz val="11"/>
        <color rgb="FF000000"/>
        <rFont val="Calibri"/>
      </rPr>
      <t>Navigate to and open /usr/lib/vmware-casa/casa-webapp/conf/server.xml.</t>
    </r>
    <r>
      <rPr>
        <sz val="11"/>
        <color rgb="FF000000"/>
        <rFont val="Calibri"/>
      </rPr>
      <t xml:space="preserve">
</t>
    </r>
    <r>
      <rPr>
        <sz val="11"/>
        <color rgb="FF000000"/>
        <rFont val="Calibri"/>
      </rPr>
      <t>Navigate to each of the &lt;Connector&gt; nodes.</t>
    </r>
    <r>
      <rPr>
        <sz val="11"/>
        <color rgb="FF000000"/>
        <rFont val="Calibri"/>
      </rPr>
      <t xml:space="preserve">
</t>
    </r>
    <r>
      <rPr>
        <sz val="11"/>
        <color rgb="FF000000"/>
        <rFont val="Calibri"/>
      </rPr>
      <t>Configure each &lt;Connector&gt; nodes with the setting 'sslProtocol="TLS"'</t>
    </r>
  </si>
  <si>
    <r>
      <rPr>
        <sz val="11"/>
        <color rgb="FF000000"/>
        <rFont val="Calibri"/>
      </rPr>
      <t>Navigate to and open /usr/lib/vmware-casa/casa-webapp/conf/server.xml.</t>
    </r>
    <r>
      <rPr>
        <sz val="11"/>
        <color rgb="FF000000"/>
        <rFont val="Calibri"/>
      </rPr>
      <t xml:space="preserve">
</t>
    </r>
    <r>
      <rPr>
        <sz val="11"/>
        <color rgb="FF000000"/>
        <rFont val="Calibri"/>
      </rPr>
      <t>Navigate to each of the &lt;Connector&gt; nodes.</t>
    </r>
    <r>
      <rPr>
        <sz val="11"/>
        <color rgb="FF000000"/>
        <rFont val="Calibri"/>
      </rPr>
      <t xml:space="preserve">
</t>
    </r>
    <r>
      <rPr>
        <sz val="11"/>
        <color rgb="FF000000"/>
        <rFont val="Calibri"/>
      </rPr>
      <t>If the value of “sslProtocol” is not set to “TLS’ or is missing, this is a finding.</t>
    </r>
  </si>
  <si>
    <t>V-89083</t>
  </si>
  <si>
    <r>
      <rPr>
        <sz val="11"/>
        <rFont val="Calibri"/>
      </rPr>
      <t>tc Server API must employ cryptographic mechanisms (TLS/DTLS/SSL) preventing the unauthorized disclosure of information during transmission.</t>
    </r>
  </si>
  <si>
    <r>
      <rPr>
        <sz val="11"/>
        <color rgb="FF000000"/>
        <rFont val="Calibri"/>
      </rPr>
      <t>Navigate to and open /usr/lib/vmware-vcops/tomcat-enterprise/conf/server.xml.</t>
    </r>
    <r>
      <rPr>
        <sz val="11"/>
        <color rgb="FF000000"/>
        <rFont val="Calibri"/>
      </rPr>
      <t xml:space="preserve">
</t>
    </r>
    <r>
      <rPr>
        <sz val="11"/>
        <color rgb="FF000000"/>
        <rFont val="Calibri"/>
      </rPr>
      <t>Navigate to the &lt;Connector&gt; node that contains 'port="${vmware-ssl.https.port}"'.</t>
    </r>
    <r>
      <rPr>
        <sz val="11"/>
        <color rgb="FF000000"/>
        <rFont val="Calibri"/>
      </rPr>
      <t xml:space="preserve">
</t>
    </r>
    <r>
      <rPr>
        <sz val="11"/>
        <color rgb="FF000000"/>
        <rFont val="Calibri"/>
      </rPr>
      <t>Add the setting 'sslProtocol="TLS"'</t>
    </r>
  </si>
  <si>
    <r>
      <rPr>
        <sz val="11"/>
        <color rgb="FF000000"/>
        <rFont val="Calibri"/>
      </rPr>
      <t>Navigate to and open /usr/lib/vmware-vcops/tomcat-enterprise/conf/server.xml.</t>
    </r>
    <r>
      <rPr>
        <sz val="11"/>
        <color rgb="FF000000"/>
        <rFont val="Calibri"/>
      </rPr>
      <t xml:space="preserve">
</t>
    </r>
    <r>
      <rPr>
        <sz val="11"/>
        <color rgb="FF000000"/>
        <rFont val="Calibri"/>
      </rPr>
      <t>Navigate to the &lt;Connector&gt; node that contains [port="${vmware-ssl.https.port}"].</t>
    </r>
    <r>
      <rPr>
        <sz val="11"/>
        <color rgb="FF000000"/>
        <rFont val="Calibri"/>
      </rPr>
      <t xml:space="preserve">
</t>
    </r>
    <r>
      <rPr>
        <sz val="11"/>
        <color rgb="FF000000"/>
        <rFont val="Calibri"/>
      </rPr>
      <t>If the value of “sslProtocol” is not set to “TLS” or is missing, this is a finding.</t>
    </r>
  </si>
  <si>
    <t>V-89085</t>
  </si>
  <si>
    <r>
      <rPr>
        <sz val="11"/>
        <rFont val="Calibri"/>
      </rPr>
      <t>tc Server UI session IDs must be sent to the client using SSL/TLS.</t>
    </r>
  </si>
  <si>
    <r>
      <rPr>
        <sz val="11"/>
        <color rgb="FF000000"/>
        <rFont val="Calibri"/>
      </rPr>
      <t>The HTTP protocol is a stateless protocol. To maintain a session, a session identifier is used. The session identifier is a piece of data that is used to identify a session and a user. If the session identifier is compromised by an attacker, the session can be hijacked. By encrypting the session identifier, the identifier becomes more difficult for an attacker to hijack, decrypt, and use before the session has expired.</t>
    </r>
    <r>
      <rPr>
        <sz val="11"/>
        <color rgb="FF000000"/>
        <rFont val="Calibri"/>
      </rPr>
      <t xml:space="preserve">
</t>
    </r>
    <r>
      <rPr>
        <sz val="11"/>
        <color rgb="FF000000"/>
        <rFont val="Calibri"/>
      </rPr>
      <t>tc Server connections are managed by the Connector object class. The Connector object can be configured to use a range of transport encryption methods. Many older transport encryption methods have been proven to be weak. vROps should be configured to use modern, secure forms of transport encryption.</t>
    </r>
  </si>
  <si>
    <t>V-89087</t>
  </si>
  <si>
    <r>
      <rPr>
        <sz val="11"/>
        <rFont val="Calibri"/>
      </rPr>
      <t>tc Server CaSa session IDs must be sent to the client using SSL/TLS.</t>
    </r>
  </si>
  <si>
    <r>
      <rPr>
        <sz val="11"/>
        <color rgb="FF000000"/>
        <rFont val="Calibri"/>
      </rPr>
      <t>Navigate to and open /usr/lib/vmware-casa/casa-webapp/conf/server.xml.</t>
    </r>
    <r>
      <rPr>
        <sz val="11"/>
        <color rgb="FF000000"/>
        <rFont val="Calibri"/>
      </rPr>
      <t xml:space="preserve">
</t>
    </r>
    <r>
      <rPr>
        <sz val="11"/>
        <color rgb="FF000000"/>
        <rFont val="Calibri"/>
      </rPr>
      <t>Navigate to each of the &lt;Connector&gt; nodes.</t>
    </r>
    <r>
      <rPr>
        <sz val="11"/>
        <color rgb="FF000000"/>
        <rFont val="Calibri"/>
      </rPr>
      <t xml:space="preserve">
</t>
    </r>
    <r>
      <rPr>
        <sz val="11"/>
        <color rgb="FF000000"/>
        <rFont val="Calibri"/>
      </rPr>
      <t>If the value of “sslProtocol” is not set to “TLS” or is missing, this is a finding.</t>
    </r>
  </si>
  <si>
    <t>V-89089</t>
  </si>
  <si>
    <r>
      <rPr>
        <sz val="11"/>
        <rFont val="Calibri"/>
      </rPr>
      <t>tc Server API session IDs must be sent to the client using SSL/TLS.</t>
    </r>
  </si>
  <si>
    <r>
      <rPr>
        <sz val="11"/>
        <color rgb="FF000000"/>
        <rFont val="Calibri"/>
      </rPr>
      <t>Navigate to and open /usr/lib/vmware-vcops/tomcat-enterprise/conf/server.xml.</t>
    </r>
    <r>
      <rPr>
        <sz val="11"/>
        <color rgb="FF000000"/>
        <rFont val="Calibri"/>
      </rPr>
      <t xml:space="preserve">
</t>
    </r>
    <r>
      <rPr>
        <sz val="11"/>
        <color rgb="FF000000"/>
        <rFont val="Calibri"/>
      </rPr>
      <t>Navigate to each of the &lt;Connector&gt; nodes.</t>
    </r>
    <r>
      <rPr>
        <sz val="11"/>
        <color rgb="FF000000"/>
        <rFont val="Calibri"/>
      </rPr>
      <t xml:space="preserve">
</t>
    </r>
    <r>
      <rPr>
        <sz val="11"/>
        <color rgb="FF000000"/>
        <rFont val="Calibri"/>
      </rPr>
      <t>Configure each &lt;Connector&gt; nodes with the setting 'sslProtocol="TLS"'</t>
    </r>
  </si>
  <si>
    <r>
      <rPr>
        <sz val="11"/>
        <color rgb="FF000000"/>
        <rFont val="Calibri"/>
      </rPr>
      <t>Navigate to and open /usr/lib/vmware-vcops/tomcat-enterprise/conf/server.xml.</t>
    </r>
    <r>
      <rPr>
        <sz val="11"/>
        <color rgb="FF000000"/>
        <rFont val="Calibri"/>
      </rPr>
      <t xml:space="preserve">
</t>
    </r>
    <r>
      <rPr>
        <sz val="11"/>
        <color rgb="FF000000"/>
        <rFont val="Calibri"/>
      </rPr>
      <t>Navigate to each of the &lt;Connector&gt; nodes.</t>
    </r>
    <r>
      <rPr>
        <sz val="11"/>
        <color rgb="FF000000"/>
        <rFont val="Calibri"/>
      </rPr>
      <t xml:space="preserve">
</t>
    </r>
    <r>
      <rPr>
        <sz val="11"/>
        <color rgb="FF000000"/>
        <rFont val="Calibri"/>
      </rPr>
      <t>If the value of “sslProtocol” is not set to “TLS” or is missing, this is a finding.</t>
    </r>
  </si>
  <si>
    <t>V-89091</t>
  </si>
  <si>
    <r>
      <rPr>
        <sz val="11"/>
        <rFont val="Calibri"/>
      </rPr>
      <t>tc Server UI must set the useHttpOnly parameter.</t>
    </r>
  </si>
  <si>
    <r>
      <rPr>
        <sz val="11"/>
        <color rgb="FF000000"/>
        <rFont val="Calibri"/>
      </rPr>
      <t>Navigate to and open /usr/lib/vmware-vcops/tomcat-web-app/webapps/ui/META-INF/context.xml.</t>
    </r>
    <r>
      <rPr>
        <sz val="11"/>
        <color rgb="FF000000"/>
        <rFont val="Calibri"/>
      </rPr>
      <t xml:space="preserve">
</t>
    </r>
    <r>
      <rPr>
        <sz val="11"/>
        <color rgb="FF000000"/>
        <rFont val="Calibri"/>
      </rPr>
      <t>Navigate to the &lt;Context&gt; node.</t>
    </r>
    <r>
      <rPr>
        <sz val="11"/>
        <color rgb="FF000000"/>
        <rFont val="Calibri"/>
      </rPr>
      <t xml:space="preserve">
</t>
    </r>
    <r>
      <rPr>
        <sz val="11"/>
        <color rgb="FF000000"/>
        <rFont val="Calibri"/>
      </rPr>
      <t>Add the 'useHttpOnly="true"' setting to the &lt;Context&gt; node.</t>
    </r>
    <r>
      <rPr>
        <sz val="11"/>
        <color rgb="FF000000"/>
        <rFont val="Calibri"/>
      </rPr>
      <t xml:space="preserve">
</t>
    </r>
    <r>
      <rPr>
        <sz val="11"/>
        <color rgb="FF000000"/>
        <rFont val="Calibri"/>
      </rPr>
      <t>Note: The &lt;Context&gt; node should be configured per the below:</t>
    </r>
    <r>
      <rPr>
        <sz val="11"/>
        <color rgb="FF000000"/>
        <rFont val="Calibri"/>
      </rPr>
      <t xml:space="preserve">
</t>
    </r>
    <r>
      <rPr>
        <sz val="11"/>
        <color rgb="FF000000"/>
        <rFont val="Calibri"/>
      </rPr>
      <t>&lt;Context useHttpOnly="true"&gt;</t>
    </r>
  </si>
  <si>
    <r>
      <rPr>
        <sz val="11"/>
        <color rgb="FF000000"/>
        <rFont val="Calibri"/>
      </rPr>
      <t>A cookie can be read by client-side scripts easily if cookie properties are not set properly. By allowing cookies to be read by the client-side scripts, information such as session identifiers could be compromised and used by an attacker who intercepts the cookie. Setting cookie properties (i.e. HttpOnly property) to disallow client-side scripts from reading cookies better protects the information inside the cookie.</t>
    </r>
    <r>
      <rPr>
        <sz val="11"/>
        <color rgb="FF000000"/>
        <rFont val="Calibri"/>
      </rPr>
      <t xml:space="preserve">
</t>
    </r>
    <r>
      <rPr>
        <sz val="11"/>
        <color rgb="FF000000"/>
        <rFont val="Calibri"/>
      </rPr>
      <t>As a Tomcat derivative, tc Server contains a Context object, which represents a web application running within a particular virtual host. One of the configurable parameters of the Context object will prevent the tc Server cookies from being accessed by JavaScript from another site.</t>
    </r>
  </si>
  <si>
    <r>
      <rPr>
        <sz val="11"/>
        <color rgb="FF000000"/>
        <rFont val="Calibri"/>
      </rPr>
      <t>At the command prompt, execute the following command:</t>
    </r>
    <r>
      <rPr>
        <sz val="11"/>
        <color rgb="FF000000"/>
        <rFont val="Calibri"/>
      </rPr>
      <t xml:space="preserve">
</t>
    </r>
    <r>
      <rPr>
        <sz val="11"/>
        <color rgb="FF000000"/>
        <rFont val="Calibri"/>
      </rPr>
      <t>grep useHttpOnly /usr/lib/vmware-vcops/tomcat-web-app/webapps/ui/META-INF/context.xml</t>
    </r>
    <r>
      <rPr>
        <sz val="11"/>
        <color rgb="FF000000"/>
        <rFont val="Calibri"/>
      </rPr>
      <t xml:space="preserve">
</t>
    </r>
    <r>
      <rPr>
        <sz val="11"/>
        <color rgb="FF000000"/>
        <rFont val="Calibri"/>
      </rPr>
      <t>If the value of “useHttpOnly” is not set to "true" or is missing, this is a finding.</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&lt;Context useHttpOnly="true"&gt;</t>
    </r>
  </si>
  <si>
    <t>V-89093</t>
  </si>
  <si>
    <r>
      <rPr>
        <sz val="11"/>
        <rFont val="Calibri"/>
      </rPr>
      <t>tc Server CaSa must set the useHttpOnly parameter.</t>
    </r>
  </si>
  <si>
    <r>
      <rPr>
        <sz val="11"/>
        <color rgb="FF000000"/>
        <rFont val="Calibri"/>
      </rPr>
      <t>Navigate to and open /usr/lib/vmware-casa/casa-webapp/conf/context.xml.</t>
    </r>
    <r>
      <rPr>
        <sz val="11"/>
        <color rgb="FF000000"/>
        <rFont val="Calibri"/>
      </rPr>
      <t xml:space="preserve">
</t>
    </r>
    <r>
      <rPr>
        <sz val="11"/>
        <color rgb="FF000000"/>
        <rFont val="Calibri"/>
      </rPr>
      <t>Navigate to the &lt;Context&gt; node.</t>
    </r>
    <r>
      <rPr>
        <sz val="11"/>
        <color rgb="FF000000"/>
        <rFont val="Calibri"/>
      </rPr>
      <t xml:space="preserve">
</t>
    </r>
    <r>
      <rPr>
        <sz val="11"/>
        <color rgb="FF000000"/>
        <rFont val="Calibri"/>
      </rPr>
      <t>Add the 'useHttpOnly="true"' setting to the &lt;Context&gt; node.</t>
    </r>
    <r>
      <rPr>
        <sz val="11"/>
        <color rgb="FF000000"/>
        <rFont val="Calibri"/>
      </rPr>
      <t xml:space="preserve">
</t>
    </r>
    <r>
      <rPr>
        <sz val="11"/>
        <color rgb="FF000000"/>
        <rFont val="Calibri"/>
      </rPr>
      <t>Note: The &lt;Context&gt; node should be configured per the below:</t>
    </r>
    <r>
      <rPr>
        <sz val="11"/>
        <color rgb="FF000000"/>
        <rFont val="Calibri"/>
      </rPr>
      <t xml:space="preserve">
</t>
    </r>
    <r>
      <rPr>
        <sz val="11"/>
        <color rgb="FF000000"/>
        <rFont val="Calibri"/>
      </rPr>
      <t>&lt;Context useHttpOnly="true"&gt;</t>
    </r>
  </si>
  <si>
    <r>
      <rPr>
        <sz val="11"/>
        <color rgb="FF000000"/>
        <rFont val="Calibri"/>
      </rPr>
      <t>At the command prompt, execute the following command:</t>
    </r>
    <r>
      <rPr>
        <sz val="11"/>
        <color rgb="FF000000"/>
        <rFont val="Calibri"/>
      </rPr>
      <t xml:space="preserve">
</t>
    </r>
    <r>
      <rPr>
        <sz val="11"/>
        <color rgb="FF000000"/>
        <rFont val="Calibri"/>
      </rPr>
      <t>grep useHttpOnly /usr/lib/vmware-casa/casa-webapp/conf/context.xml</t>
    </r>
    <r>
      <rPr>
        <sz val="11"/>
        <color rgb="FF000000"/>
        <rFont val="Calibri"/>
      </rPr>
      <t xml:space="preserve">
</t>
    </r>
    <r>
      <rPr>
        <sz val="11"/>
        <color rgb="FF000000"/>
        <rFont val="Calibri"/>
      </rPr>
      <t>If the value of “useHttpOnly” is not set to "true" or is missing, this is a finding.</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&lt;Context useHttpOnly="true"&gt;</t>
    </r>
  </si>
  <si>
    <t>V-89095</t>
  </si>
  <si>
    <r>
      <rPr>
        <sz val="11"/>
        <rFont val="Calibri"/>
      </rPr>
      <t>tc Server API must set the useHttpOnly parameter.</t>
    </r>
  </si>
  <si>
    <r>
      <rPr>
        <sz val="11"/>
        <color rgb="FF000000"/>
        <rFont val="Calibri"/>
      </rPr>
      <t>Navigate to and open /usr/lib/vmware-vcops/tomcat-enterprise/conf/context.xml.</t>
    </r>
    <r>
      <rPr>
        <sz val="11"/>
        <color rgb="FF000000"/>
        <rFont val="Calibri"/>
      </rPr>
      <t xml:space="preserve">
</t>
    </r>
    <r>
      <rPr>
        <sz val="11"/>
        <color rgb="FF000000"/>
        <rFont val="Calibri"/>
      </rPr>
      <t>Navigate to the &lt;Context&gt; node.</t>
    </r>
    <r>
      <rPr>
        <sz val="11"/>
        <color rgb="FF000000"/>
        <rFont val="Calibri"/>
      </rPr>
      <t xml:space="preserve">
</t>
    </r>
    <r>
      <rPr>
        <sz val="11"/>
        <color rgb="FF000000"/>
        <rFont val="Calibri"/>
      </rPr>
      <t>Add the 'useHttpOnly="true"' setting to the &lt;Context&gt; node.</t>
    </r>
    <r>
      <rPr>
        <sz val="11"/>
        <color rgb="FF000000"/>
        <rFont val="Calibri"/>
      </rPr>
      <t xml:space="preserve">
</t>
    </r>
    <r>
      <rPr>
        <sz val="11"/>
        <color rgb="FF000000"/>
        <rFont val="Calibri"/>
      </rPr>
      <t>Note: The &lt;Context&gt; node should be configured per the below:</t>
    </r>
    <r>
      <rPr>
        <sz val="11"/>
        <color rgb="FF000000"/>
        <rFont val="Calibri"/>
      </rPr>
      <t xml:space="preserve">
</t>
    </r>
    <r>
      <rPr>
        <sz val="11"/>
        <color rgb="FF000000"/>
        <rFont val="Calibri"/>
      </rPr>
      <t>&lt;Context useHttpOnly="true"&gt;</t>
    </r>
  </si>
  <si>
    <r>
      <rPr>
        <sz val="11"/>
        <color rgb="FF000000"/>
        <rFont val="Calibri"/>
      </rPr>
      <t>At the command prompt, execute the following command:</t>
    </r>
    <r>
      <rPr>
        <sz val="11"/>
        <color rgb="FF000000"/>
        <rFont val="Calibri"/>
      </rPr>
      <t xml:space="preserve">
</t>
    </r>
    <r>
      <rPr>
        <sz val="11"/>
        <color rgb="FF000000"/>
        <rFont val="Calibri"/>
      </rPr>
      <t>grep useHttpOnly /usr/lib/vmware-vcops/tomcat-enterprise/conf/context.xml</t>
    </r>
    <r>
      <rPr>
        <sz val="11"/>
        <color rgb="FF000000"/>
        <rFont val="Calibri"/>
      </rPr>
      <t xml:space="preserve">
</t>
    </r>
    <r>
      <rPr>
        <sz val="11"/>
        <color rgb="FF000000"/>
        <rFont val="Calibri"/>
      </rPr>
      <t>If the value of “useHttpOnly” is not set to "true" or is missing, this is a finding.</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&lt;Context useHttpOnly="true"&gt;</t>
    </r>
  </si>
  <si>
    <t>V-89097</t>
  </si>
  <si>
    <r>
      <rPr>
        <sz val="11"/>
        <rFont val="Calibri"/>
      </rPr>
      <t>tc Server UI must set the secure flag for cookies.</t>
    </r>
  </si>
  <si>
    <r>
      <rPr>
        <sz val="11"/>
        <color rgb="FF000000"/>
        <rFont val="Calibri"/>
      </rPr>
      <t>Navigate to and open /usr/lib/vmware-vcops/tomcat-web-app/webapps/ui/WEB-INF/web.xml.</t>
    </r>
    <r>
      <rPr>
        <sz val="11"/>
        <color rgb="FF000000"/>
        <rFont val="Calibri"/>
      </rPr>
      <t xml:space="preserve">
</t>
    </r>
    <r>
      <rPr>
        <sz val="11"/>
        <color rgb="FF000000"/>
        <rFont val="Calibri"/>
      </rPr>
      <t>Navigate to the &lt;session-config&gt; node.</t>
    </r>
    <r>
      <rPr>
        <sz val="11"/>
        <color rgb="FF000000"/>
        <rFont val="Calibri"/>
      </rPr>
      <t xml:space="preserve">
</t>
    </r>
    <r>
      <rPr>
        <sz val="11"/>
        <color rgb="FF000000"/>
        <rFont val="Calibri"/>
      </rPr>
      <t>Add the &lt;cookie-config&gt; --&gt; &lt;secure&gt; node setting to the &lt;session-config&gt; node.</t>
    </r>
    <r>
      <rPr>
        <sz val="11"/>
        <color rgb="FF000000"/>
        <rFont val="Calibri"/>
      </rPr>
      <t xml:space="preserve">
</t>
    </r>
    <r>
      <rPr>
        <sz val="11"/>
        <color rgb="FF000000"/>
        <rFont val="Calibri"/>
      </rPr>
      <t>Note: The &lt;cookie-config&gt; --&gt; &lt;secure&gt; node should be configured per as shown below:</t>
    </r>
    <r>
      <rPr>
        <sz val="11"/>
        <color rgb="FF000000"/>
        <rFont val="Calibri"/>
      </rPr>
      <t xml:space="preserve">
</t>
    </r>
    <r>
      <rPr>
        <sz val="11"/>
        <color rgb="FF000000"/>
        <rFont val="Calibri"/>
      </rPr>
      <t xml:space="preserve"> &lt;cookie-config&gt;</t>
    </r>
    <r>
      <rPr>
        <sz val="11"/>
        <color rgb="FF000000"/>
        <rFont val="Calibri"/>
      </rPr>
      <t xml:space="preserve">
</t>
    </r>
    <r>
      <rPr>
        <sz val="11"/>
        <color rgb="FF000000"/>
        <rFont val="Calibri"/>
      </rPr>
      <t xml:space="preserve"> &lt;secure&gt;true&lt;/secure&gt;</t>
    </r>
    <r>
      <rPr>
        <sz val="11"/>
        <color rgb="FF000000"/>
        <rFont val="Calibri"/>
      </rPr>
      <t xml:space="preserve">
</t>
    </r>
    <r>
      <rPr>
        <sz val="11"/>
        <color rgb="FF000000"/>
        <rFont val="Calibri"/>
      </rPr>
      <t xml:space="preserve"> &lt;/cookie-config&gt;</t>
    </r>
  </si>
  <si>
    <r>
      <rPr>
        <sz val="11"/>
        <color rgb="FF000000"/>
        <rFont val="Calibri"/>
      </rPr>
      <t>Cookies can be sent to a client using TLS/SSL to encrypt the cookies, but TLS/SSL is not used by every hosted application since the data being displayed does not require the encryption of the transmission. To safeguard against cookies, especially session cookies, being sent in plaintext, a cookie can be encrypted before transmission. To force a cookie to be encrypted before transmission, the cookie Secure property can be set.</t>
    </r>
    <r>
      <rPr>
        <sz val="11"/>
        <color rgb="FF000000"/>
        <rFont val="Calibri"/>
      </rPr>
      <t xml:space="preserve">
</t>
    </r>
    <r>
      <rPr>
        <sz val="11"/>
        <color rgb="FF000000"/>
        <rFont val="Calibri"/>
      </rPr>
      <t>As a Tomcat derivative, tc Server is based in part on the Java Servlet specification. Servlet 3.0 (Java EE 6) introduced a standard way to configure secure attribute for the session cookie, this can be done by applying the correct configuration in web.xml.</t>
    </r>
  </si>
  <si>
    <r>
      <rPr>
        <sz val="11"/>
        <color rgb="FF000000"/>
        <rFont val="Calibri"/>
      </rPr>
      <t>At the command prompt, execute the following command:</t>
    </r>
    <r>
      <rPr>
        <sz val="11"/>
        <color rgb="FF000000"/>
        <rFont val="Calibri"/>
      </rPr>
      <t xml:space="preserve">
</t>
    </r>
    <r>
      <rPr>
        <sz val="11"/>
        <color rgb="FF000000"/>
        <rFont val="Calibri"/>
      </rPr>
      <t>grep -E '&lt;secure&gt;' /usr/lib/vmware-vcops/tomcat-web-app/webapps/ui/WEB-INF/web.xml</t>
    </r>
    <r>
      <rPr>
        <sz val="11"/>
        <color rgb="FF000000"/>
        <rFont val="Calibri"/>
      </rPr>
      <t xml:space="preserve">
</t>
    </r>
    <r>
      <rPr>
        <sz val="11"/>
        <color rgb="FF000000"/>
        <rFont val="Calibri"/>
      </rPr>
      <t>If the value of the &lt;secure&gt; node is not set to "true" or is missing, this is a finding.</t>
    </r>
  </si>
  <si>
    <t>V-89099</t>
  </si>
  <si>
    <r>
      <rPr>
        <sz val="11"/>
        <rFont val="Calibri"/>
      </rPr>
      <t>tc Server CaSa must set the secure flag for cookies.</t>
    </r>
  </si>
  <si>
    <r>
      <rPr>
        <sz val="11"/>
        <color rgb="FF000000"/>
        <rFont val="Calibri"/>
      </rPr>
      <t>Navigate to and open /usr/lib/vmware-casa/casa-webapp/conf/web.xml.</t>
    </r>
    <r>
      <rPr>
        <sz val="11"/>
        <color rgb="FF000000"/>
        <rFont val="Calibri"/>
      </rPr>
      <t xml:space="preserve">
</t>
    </r>
    <r>
      <rPr>
        <sz val="11"/>
        <color rgb="FF000000"/>
        <rFont val="Calibri"/>
      </rPr>
      <t>Navigate to the &lt;session-config&gt; node.</t>
    </r>
    <r>
      <rPr>
        <sz val="11"/>
        <color rgb="FF000000"/>
        <rFont val="Calibri"/>
      </rPr>
      <t xml:space="preserve">
</t>
    </r>
    <r>
      <rPr>
        <sz val="11"/>
        <color rgb="FF000000"/>
        <rFont val="Calibri"/>
      </rPr>
      <t>Add the &lt;cookie-config&gt; --&gt; &lt;secure&gt; node setting to the &lt;session-config&gt; node.</t>
    </r>
    <r>
      <rPr>
        <sz val="11"/>
        <color rgb="FF000000"/>
        <rFont val="Calibri"/>
      </rPr>
      <t xml:space="preserve">
</t>
    </r>
    <r>
      <rPr>
        <sz val="11"/>
        <color rgb="FF000000"/>
        <rFont val="Calibri"/>
      </rPr>
      <t>Note: The &lt;cookie-config&gt; --&gt; &lt;secure&gt; node should be configured as shown below:</t>
    </r>
    <r>
      <rPr>
        <sz val="11"/>
        <color rgb="FF000000"/>
        <rFont val="Calibri"/>
      </rPr>
      <t xml:space="preserve">
</t>
    </r>
    <r>
      <rPr>
        <sz val="11"/>
        <color rgb="FF000000"/>
        <rFont val="Calibri"/>
      </rPr>
      <t xml:space="preserve"> &lt;cookie-config&gt;</t>
    </r>
    <r>
      <rPr>
        <sz val="11"/>
        <color rgb="FF000000"/>
        <rFont val="Calibri"/>
      </rPr>
      <t xml:space="preserve">
</t>
    </r>
    <r>
      <rPr>
        <sz val="11"/>
        <color rgb="FF000000"/>
        <rFont val="Calibri"/>
      </rPr>
      <t xml:space="preserve"> &lt;secure&gt;true&lt;/secure&gt;</t>
    </r>
    <r>
      <rPr>
        <sz val="11"/>
        <color rgb="FF000000"/>
        <rFont val="Calibri"/>
      </rPr>
      <t xml:space="preserve">
</t>
    </r>
    <r>
      <rPr>
        <sz val="11"/>
        <color rgb="FF000000"/>
        <rFont val="Calibri"/>
      </rPr>
      <t xml:space="preserve"> &lt;/cookie-config&gt;</t>
    </r>
  </si>
  <si>
    <r>
      <rPr>
        <sz val="11"/>
        <color rgb="FF000000"/>
        <rFont val="Calibri"/>
      </rPr>
      <t>At the command prompt, execute the following command:</t>
    </r>
    <r>
      <rPr>
        <sz val="11"/>
        <color rgb="FF000000"/>
        <rFont val="Calibri"/>
      </rPr>
      <t xml:space="preserve">
</t>
    </r>
    <r>
      <rPr>
        <sz val="11"/>
        <color rgb="FF000000"/>
        <rFont val="Calibri"/>
      </rPr>
      <t>grep -E '&lt;secure&gt;' /usr/lib/vmware-casa/casa-webapp/conf/web.xml</t>
    </r>
    <r>
      <rPr>
        <sz val="11"/>
        <color rgb="FF000000"/>
        <rFont val="Calibri"/>
      </rPr>
      <t xml:space="preserve">
</t>
    </r>
    <r>
      <rPr>
        <sz val="11"/>
        <color rgb="FF000000"/>
        <rFont val="Calibri"/>
      </rPr>
      <t>If the value of the &lt;secure&gt; node is not set to "true" or is missing, this is a finding.</t>
    </r>
  </si>
  <si>
    <t>V-89101</t>
  </si>
  <si>
    <r>
      <rPr>
        <sz val="11"/>
        <rFont val="Calibri"/>
      </rPr>
      <t>tc Server API must set the secure flag for cookies.</t>
    </r>
  </si>
  <si>
    <r>
      <rPr>
        <sz val="11"/>
        <color rgb="FF000000"/>
        <rFont val="Calibri"/>
      </rPr>
      <t>Navigate to and open /usr/lib/vmware-vcops/tomcat-enterprise/conf/web.xml.</t>
    </r>
    <r>
      <rPr>
        <sz val="11"/>
        <color rgb="FF000000"/>
        <rFont val="Calibri"/>
      </rPr>
      <t xml:space="preserve">
</t>
    </r>
    <r>
      <rPr>
        <sz val="11"/>
        <color rgb="FF000000"/>
        <rFont val="Calibri"/>
      </rPr>
      <t>Navigate to the &lt;session-config&gt; node.</t>
    </r>
    <r>
      <rPr>
        <sz val="11"/>
        <color rgb="FF000000"/>
        <rFont val="Calibri"/>
      </rPr>
      <t xml:space="preserve">
</t>
    </r>
    <r>
      <rPr>
        <sz val="11"/>
        <color rgb="FF000000"/>
        <rFont val="Calibri"/>
      </rPr>
      <t>Add the &lt;cookie-config&gt; --&gt; &lt;secure&gt; node setting to the &lt;session-config&gt; node.</t>
    </r>
    <r>
      <rPr>
        <sz val="11"/>
        <color rgb="FF000000"/>
        <rFont val="Calibri"/>
      </rPr>
      <t xml:space="preserve">
</t>
    </r>
    <r>
      <rPr>
        <sz val="11"/>
        <color rgb="FF000000"/>
        <rFont val="Calibri"/>
      </rPr>
      <t>Note: The &lt;cookie-config&gt; --&gt; &lt;secure&gt; node should be configured as shown below:</t>
    </r>
    <r>
      <rPr>
        <sz val="11"/>
        <color rgb="FF000000"/>
        <rFont val="Calibri"/>
      </rPr>
      <t xml:space="preserve">
</t>
    </r>
    <r>
      <rPr>
        <sz val="11"/>
        <color rgb="FF000000"/>
        <rFont val="Calibri"/>
      </rPr>
      <t xml:space="preserve"> &lt;cookie-config&gt;</t>
    </r>
    <r>
      <rPr>
        <sz val="11"/>
        <color rgb="FF000000"/>
        <rFont val="Calibri"/>
      </rPr>
      <t xml:space="preserve">
</t>
    </r>
    <r>
      <rPr>
        <sz val="11"/>
        <color rgb="FF000000"/>
        <rFont val="Calibri"/>
      </rPr>
      <t xml:space="preserve"> &lt;secure&gt;true&lt;/secure&gt;</t>
    </r>
    <r>
      <rPr>
        <sz val="11"/>
        <color rgb="FF000000"/>
        <rFont val="Calibri"/>
      </rPr>
      <t xml:space="preserve">
</t>
    </r>
    <r>
      <rPr>
        <sz val="11"/>
        <color rgb="FF000000"/>
        <rFont val="Calibri"/>
      </rPr>
      <t xml:space="preserve"> &lt;/cookie-config&gt;</t>
    </r>
  </si>
  <si>
    <r>
      <rPr>
        <sz val="11"/>
        <color rgb="FF000000"/>
        <rFont val="Calibri"/>
      </rPr>
      <t>At the command prompt, execute the following command:</t>
    </r>
    <r>
      <rPr>
        <sz val="11"/>
        <color rgb="FF000000"/>
        <rFont val="Calibri"/>
      </rPr>
      <t xml:space="preserve">
</t>
    </r>
    <r>
      <rPr>
        <sz val="11"/>
        <color rgb="FF000000"/>
        <rFont val="Calibri"/>
      </rPr>
      <t>grep -E '&lt;secure&gt;' /usr/lib/vmware-vcops/tomcat-enterprise/conf/web.xml</t>
    </r>
    <r>
      <rPr>
        <sz val="11"/>
        <color rgb="FF000000"/>
        <rFont val="Calibri"/>
      </rPr>
      <t xml:space="preserve">
</t>
    </r>
    <r>
      <rPr>
        <sz val="11"/>
        <color rgb="FF000000"/>
        <rFont val="Calibri"/>
      </rPr>
      <t>If the value of the &lt;secure&gt; node is not set to "true" or is missing, this is a finding.</t>
    </r>
  </si>
  <si>
    <t>V-89103</t>
  </si>
  <si>
    <r>
      <rPr>
        <sz val="11"/>
        <rFont val="Calibri"/>
      </rPr>
      <t>tc Server UI must set sslEnabledProtocols to an approved Transport Layer Security (TLS) version.</t>
    </r>
  </si>
  <si>
    <r>
      <rPr>
        <sz val="11"/>
        <color rgb="FF000000"/>
        <rFont val="Calibri"/>
      </rPr>
      <t>Navigate to and open /usr/lib/vmware-vcops/tomcat-web-app/conf/server.xml.</t>
    </r>
    <r>
      <rPr>
        <sz val="11"/>
        <color rgb="FF000000"/>
        <rFont val="Calibri"/>
      </rPr>
      <t xml:space="preserve">
</t>
    </r>
    <r>
      <rPr>
        <sz val="11"/>
        <color rgb="FF000000"/>
        <rFont val="Calibri"/>
      </rPr>
      <t>Navigate to each of the &lt;Connector&gt; nodes.</t>
    </r>
    <r>
      <rPr>
        <sz val="11"/>
        <color rgb="FF000000"/>
        <rFont val="Calibri"/>
      </rPr>
      <t xml:space="preserve">
</t>
    </r>
    <r>
      <rPr>
        <sz val="11"/>
        <color rgb="FF000000"/>
        <rFont val="Calibri"/>
      </rPr>
      <t>Configure each &lt;Connector&gt; node with the setting 'sslEnabledProtocols="TLSv1.2,TLSv1.1,TLSv1"'</t>
    </r>
  </si>
  <si>
    <r>
      <rPr>
        <sz val="11"/>
        <color rgb="FF000000"/>
        <rFont val="Calibri"/>
      </rPr>
      <t>Transport Layer Security (TLS) is a required transmission protocol for a web server hosting controlled information. The use of TLS provides confidentiality of data in transit between the web server and client. FIPS 140-2 approved TLS versions must be enabled and non-FIPS-approved SSL versions must be disabled.</t>
    </r>
    <r>
      <rPr>
        <sz val="11"/>
        <color rgb="FF000000"/>
        <rFont val="Calibri"/>
      </rPr>
      <t xml:space="preserve">
</t>
    </r>
    <r>
      <rPr>
        <sz val="11"/>
        <color rgb="FF000000"/>
        <rFont val="Calibri"/>
      </rPr>
      <t>NIST SP 800-52 defines the approved TLS versions for government applications.</t>
    </r>
    <r>
      <rPr>
        <sz val="11"/>
        <color rgb="FF000000"/>
        <rFont val="Calibri"/>
      </rPr>
      <t xml:space="preserve">
</t>
    </r>
    <r>
      <rPr>
        <sz val="11"/>
        <color rgb="FF000000"/>
        <rFont val="Calibri"/>
      </rPr>
      <t>tc Server connections are managed by the Connector object class. The Connector object can be configured to use a range of transport encryption methods. Many older transport encryption methods have been proven to be weak. vROps should be configured to use the “sslEnabledProtocols” correctly to ensure that older, less secure forms of transport security are not used.</t>
    </r>
  </si>
  <si>
    <r>
      <rPr>
        <sz val="11"/>
        <color rgb="FF000000"/>
        <rFont val="Calibri"/>
      </rPr>
      <t xml:space="preserve">Navigate to and open /usr/lib/vmware-vcops/tomcat-web-app/conf/server.xml. </t>
    </r>
    <r>
      <rPr>
        <sz val="11"/>
        <color rgb="FF000000"/>
        <rFont val="Calibri"/>
      </rPr>
      <t xml:space="preserve">
</t>
    </r>
    <r>
      <rPr>
        <sz val="11"/>
        <color rgb="FF000000"/>
        <rFont val="Calibri"/>
      </rPr>
      <t>Navigate to each of the &lt;Connector&gt; nodes.</t>
    </r>
    <r>
      <rPr>
        <sz val="11"/>
        <color rgb="FF000000"/>
        <rFont val="Calibri"/>
      </rPr>
      <t xml:space="preserve">
</t>
    </r>
    <r>
      <rPr>
        <sz val="11"/>
        <color rgb="FF000000"/>
        <rFont val="Calibri"/>
      </rPr>
      <t>If the value of “sslEnabledProtocols” is not set to “TLSv1.2,TLSv1.1,TLSv1” or is missing, this is a finding.</t>
    </r>
  </si>
  <si>
    <t>V-89105</t>
  </si>
  <si>
    <r>
      <rPr>
        <sz val="11"/>
        <rFont val="Calibri"/>
      </rPr>
      <t>tc Server CaSa must set sslEnabledProtocols to an approved Transport Layer Security (TLS) version.</t>
    </r>
  </si>
  <si>
    <r>
      <rPr>
        <sz val="11"/>
        <color rgb="FF000000"/>
        <rFont val="Calibri"/>
      </rPr>
      <t>Navigate to and open /usr/lib/vmware-casa/casa-webapp/conf/server.xml.</t>
    </r>
    <r>
      <rPr>
        <sz val="11"/>
        <color rgb="FF000000"/>
        <rFont val="Calibri"/>
      </rPr>
      <t xml:space="preserve">
</t>
    </r>
    <r>
      <rPr>
        <sz val="11"/>
        <color rgb="FF000000"/>
        <rFont val="Calibri"/>
      </rPr>
      <t>Navigate to each of the &lt;Connector&gt; nodes.</t>
    </r>
    <r>
      <rPr>
        <sz val="11"/>
        <color rgb="FF000000"/>
        <rFont val="Calibri"/>
      </rPr>
      <t xml:space="preserve">
</t>
    </r>
    <r>
      <rPr>
        <sz val="11"/>
        <color rgb="FF000000"/>
        <rFont val="Calibri"/>
      </rPr>
      <t>Configure each &lt;Connector&gt; node with the setting 'sslEnabledProtocols="TLSv1.2,TLSv1.1,TLSv1"'</t>
    </r>
  </si>
  <si>
    <r>
      <rPr>
        <sz val="11"/>
        <color rgb="FF000000"/>
        <rFont val="Calibri"/>
      </rPr>
      <t xml:space="preserve">Navigate to and open /usr/lib/vmware-casa/casa-webapp/conf/server.xml. </t>
    </r>
    <r>
      <rPr>
        <sz val="11"/>
        <color rgb="FF000000"/>
        <rFont val="Calibri"/>
      </rPr>
      <t xml:space="preserve">
</t>
    </r>
    <r>
      <rPr>
        <sz val="11"/>
        <color rgb="FF000000"/>
        <rFont val="Calibri"/>
      </rPr>
      <t>Navigate to each of the &lt;Connector&gt; nodes.</t>
    </r>
    <r>
      <rPr>
        <sz val="11"/>
        <color rgb="FF000000"/>
        <rFont val="Calibri"/>
      </rPr>
      <t xml:space="preserve">
</t>
    </r>
    <r>
      <rPr>
        <sz val="11"/>
        <color rgb="FF000000"/>
        <rFont val="Calibri"/>
      </rPr>
      <t>If the value of “sslEnabledProtocols” is not set to “TLSv1.2,TLSv1.1,TLSv1” or is missing, this is a finding.</t>
    </r>
  </si>
  <si>
    <t>V-89107</t>
  </si>
  <si>
    <r>
      <rPr>
        <sz val="11"/>
        <rFont val="Calibri"/>
      </rPr>
      <t>tc Server API must set sslEnabledProtocols to an approved Transport Layer Security (TLS) version.</t>
    </r>
  </si>
  <si>
    <r>
      <rPr>
        <sz val="11"/>
        <color rgb="FF000000"/>
        <rFont val="Calibri"/>
      </rPr>
      <t>Navigate to and open /usr/lib/vmware-vcops/tomcat-enterprise/conf/server.xml.</t>
    </r>
    <r>
      <rPr>
        <sz val="11"/>
        <color rgb="FF000000"/>
        <rFont val="Calibri"/>
      </rPr>
      <t xml:space="preserve">
</t>
    </r>
    <r>
      <rPr>
        <sz val="11"/>
        <color rgb="FF000000"/>
        <rFont val="Calibri"/>
      </rPr>
      <t>Navigate to each of the &lt;Connector&gt; nodes.</t>
    </r>
    <r>
      <rPr>
        <sz val="11"/>
        <color rgb="FF000000"/>
        <rFont val="Calibri"/>
      </rPr>
      <t xml:space="preserve">
</t>
    </r>
    <r>
      <rPr>
        <sz val="11"/>
        <color rgb="FF000000"/>
        <rFont val="Calibri"/>
      </rPr>
      <t>Configure each &lt;Connector&gt; node with the setting 'sslEnabledProtocols="TLSv1.2,TLSv1.1,TLSv1"'</t>
    </r>
  </si>
  <si>
    <r>
      <rPr>
        <sz val="11"/>
        <color rgb="FF000000"/>
        <rFont val="Calibri"/>
      </rPr>
      <t>Navigate to and open /usr/lib/vmware-vcops/tomcat-enterprise/conf/server.xml.</t>
    </r>
    <r>
      <rPr>
        <sz val="11"/>
        <color rgb="FF000000"/>
        <rFont val="Calibri"/>
      </rPr>
      <t xml:space="preserve">
</t>
    </r>
    <r>
      <rPr>
        <sz val="11"/>
        <color rgb="FF000000"/>
        <rFont val="Calibri"/>
      </rPr>
      <t>Navigate to each of the &lt;Connector&gt; nodes.</t>
    </r>
    <r>
      <rPr>
        <sz val="11"/>
        <color rgb="FF000000"/>
        <rFont val="Calibri"/>
      </rPr>
      <t xml:space="preserve">
</t>
    </r>
    <r>
      <rPr>
        <sz val="11"/>
        <color rgb="FF000000"/>
        <rFont val="Calibri"/>
      </rPr>
      <t>If the value of “sslEnabledProtocols” is not set to “TLSv1.2,TLSv1.1,TLSv1” or is missing, this is a finding.</t>
    </r>
  </si>
  <si>
    <t>V-89109</t>
  </si>
  <si>
    <r>
      <rPr>
        <sz val="11"/>
        <rFont val="Calibri"/>
      </rPr>
      <t>tc Server UI must remove all export ciphers to protect the confidentiality and integrity of transmitted information.</t>
    </r>
  </si>
  <si>
    <r>
      <rPr>
        <sz val="11"/>
        <color rgb="FF000000"/>
        <rFont val="Calibri"/>
      </rPr>
      <t>Navigate to and open /usr/lib/vmware-vcops/tomcat-web-app/conf/catalina.properties.</t>
    </r>
    <r>
      <rPr>
        <sz val="11"/>
        <color rgb="FF000000"/>
        <rFont val="Calibri"/>
      </rPr>
      <t xml:space="preserve">
</t>
    </r>
    <r>
      <rPr>
        <sz val="11"/>
        <color rgb="FF000000"/>
        <rFont val="Calibri"/>
      </rPr>
      <t>Navigate to the “vmware-ssl.ssl.ciphers.list” setting.</t>
    </r>
    <r>
      <rPr>
        <sz val="11"/>
        <color rgb="FF000000"/>
        <rFont val="Calibri"/>
      </rPr>
      <t xml:space="preserve">
</t>
    </r>
    <r>
      <rPr>
        <sz val="11"/>
        <color rgb="FF000000"/>
        <rFont val="Calibri"/>
      </rPr>
      <t>Remove any export ciphers from “vmware-ssl.ssl.ciphers.list”.</t>
    </r>
    <r>
      <rPr>
        <sz val="11"/>
        <color rgb="FF000000"/>
        <rFont val="Calibri"/>
      </rPr>
      <t xml:space="preserve">
</t>
    </r>
    <r>
      <rPr>
        <sz val="11"/>
        <color rgb="FF000000"/>
        <rFont val="Calibri"/>
      </rPr>
      <t>Note: To view a list of export ciphers, at the command prompt execute the following command:</t>
    </r>
    <r>
      <rPr>
        <sz val="11"/>
        <color rgb="FF000000"/>
        <rFont val="Calibri"/>
      </rPr>
      <t xml:space="preserve">
</t>
    </r>
    <r>
      <rPr>
        <sz val="11"/>
        <color rgb="FF000000"/>
        <rFont val="Calibri"/>
      </rPr>
      <t>openssl ciphers 'EXP'</t>
    </r>
  </si>
  <si>
    <r>
      <rPr>
        <sz val="11"/>
        <color rgb="FF000000"/>
        <rFont val="Calibri"/>
      </rPr>
      <t>During the initial setup of a Transport Layer Security (TLS) connection to the web server, the client sends a list of supported cipher suites in order of preference.  The web server will reply with the cipher suite it will use for communication from the client list.  If an attacker can intercept the submission of cipher suites to the web server and place, as the preferred cipher suite, a weak export suite, the encryption used for the session becomes easy for the attacker to break, often within minutes to hours.</t>
    </r>
    <r>
      <rPr>
        <sz val="11"/>
        <color rgb="FF000000"/>
        <rFont val="Calibri"/>
      </rPr>
      <t xml:space="preserve">
</t>
    </r>
    <r>
      <rPr>
        <sz val="11"/>
        <color rgb="FF000000"/>
        <rFont val="Calibri"/>
      </rPr>
      <t>An essential configuration file for tc Server is “catalina.properties”. Properly configured, tc Server will not provide the weaker, export ciphers.</t>
    </r>
  </si>
  <si>
    <r>
      <rPr>
        <sz val="11"/>
        <color rgb="FF000000"/>
        <rFont val="Calibri"/>
      </rPr>
      <t>At the command prompt, execute the following command:</t>
    </r>
    <r>
      <rPr>
        <sz val="11"/>
        <color rgb="FF000000"/>
        <rFont val="Calibri"/>
      </rPr>
      <t xml:space="preserve">
</t>
    </r>
    <r>
      <rPr>
        <sz val="11"/>
        <color rgb="FF000000"/>
        <rFont val="Calibri"/>
      </rPr>
      <t>grep vmware-ssl.ssl.ciphers.list /usr/lib/vmware-vcops/tomcat-web-app/conf/catalina.properties</t>
    </r>
    <r>
      <rPr>
        <sz val="11"/>
        <color rgb="FF000000"/>
        <rFont val="Calibri"/>
      </rPr>
      <t xml:space="preserve">
</t>
    </r>
    <r>
      <rPr>
        <sz val="11"/>
        <color rgb="FF000000"/>
        <rFont val="Calibri"/>
      </rPr>
      <t>If any export ciphers are listed, this is a finding.</t>
    </r>
    <r>
      <rPr>
        <sz val="11"/>
        <color rgb="FF000000"/>
        <rFont val="Calibri"/>
      </rPr>
      <t xml:space="preserve">
</t>
    </r>
    <r>
      <rPr>
        <sz val="11"/>
        <color rgb="FF000000"/>
        <rFont val="Calibri"/>
      </rPr>
      <t>Note: To view a list of export ciphers, at the command prompt execute the following command:</t>
    </r>
    <r>
      <rPr>
        <sz val="11"/>
        <color rgb="FF000000"/>
        <rFont val="Calibri"/>
      </rPr>
      <t xml:space="preserve">
</t>
    </r>
    <r>
      <rPr>
        <sz val="11"/>
        <color rgb="FF000000"/>
        <rFont val="Calibri"/>
      </rPr>
      <t>openssl ciphers 'EXP'</t>
    </r>
  </si>
  <si>
    <t>V-89111</t>
  </si>
  <si>
    <r>
      <rPr>
        <sz val="11"/>
        <rFont val="Calibri"/>
      </rPr>
      <t>tc Server CaSa must remove all export ciphers to protect the confidentiality and integrity of transmitted information.</t>
    </r>
  </si>
  <si>
    <r>
      <rPr>
        <sz val="11"/>
        <color rgb="FF000000"/>
        <rFont val="Calibri"/>
      </rPr>
      <t>Navigate to and open /usr/lib/vmware-casa/casa-webapp/conf/catalina.properties.</t>
    </r>
    <r>
      <rPr>
        <sz val="11"/>
        <color rgb="FF000000"/>
        <rFont val="Calibri"/>
      </rPr>
      <t xml:space="preserve">
</t>
    </r>
    <r>
      <rPr>
        <sz val="11"/>
        <color rgb="FF000000"/>
        <rFont val="Calibri"/>
      </rPr>
      <t>Navigate to the “vmware-casa.ssl.ciphers.list” setting.</t>
    </r>
    <r>
      <rPr>
        <sz val="11"/>
        <color rgb="FF000000"/>
        <rFont val="Calibri"/>
      </rPr>
      <t xml:space="preserve">
</t>
    </r>
    <r>
      <rPr>
        <sz val="11"/>
        <color rgb="FF000000"/>
        <rFont val="Calibri"/>
      </rPr>
      <t>Remove any export ciphers from “vmware-casa.ssl.ciphers.list”.</t>
    </r>
    <r>
      <rPr>
        <sz val="11"/>
        <color rgb="FF000000"/>
        <rFont val="Calibri"/>
      </rPr>
      <t xml:space="preserve">
</t>
    </r>
    <r>
      <rPr>
        <sz val="11"/>
        <color rgb="FF000000"/>
        <rFont val="Calibri"/>
      </rPr>
      <t>Note: To view a list of export ciphers, at the command prompt execute the following command:</t>
    </r>
    <r>
      <rPr>
        <sz val="11"/>
        <color rgb="FF000000"/>
        <rFont val="Calibri"/>
      </rPr>
      <t xml:space="preserve">
</t>
    </r>
    <r>
      <rPr>
        <sz val="11"/>
        <color rgb="FF000000"/>
        <rFont val="Calibri"/>
      </rPr>
      <t>openssl ciphers 'EXP'</t>
    </r>
  </si>
  <si>
    <r>
      <rPr>
        <sz val="11"/>
        <color rgb="FF000000"/>
        <rFont val="Calibri"/>
      </rPr>
      <t>At the command prompt, execute the following command:</t>
    </r>
    <r>
      <rPr>
        <sz val="11"/>
        <color rgb="FF000000"/>
        <rFont val="Calibri"/>
      </rPr>
      <t xml:space="preserve">
</t>
    </r>
    <r>
      <rPr>
        <sz val="11"/>
        <color rgb="FF000000"/>
        <rFont val="Calibri"/>
      </rPr>
      <t>grep -A 10 vmware-casa.ssl.ciphers.list /usr/lib/vmware-casa/casa-webapp/conf/catalina.properties</t>
    </r>
    <r>
      <rPr>
        <sz val="11"/>
        <color rgb="FF000000"/>
        <rFont val="Calibri"/>
      </rPr>
      <t xml:space="preserve">
</t>
    </r>
    <r>
      <rPr>
        <sz val="11"/>
        <color rgb="FF000000"/>
        <rFont val="Calibri"/>
      </rPr>
      <t>If any export ciphers are listed, this is a finding.</t>
    </r>
    <r>
      <rPr>
        <sz val="11"/>
        <color rgb="FF000000"/>
        <rFont val="Calibri"/>
      </rPr>
      <t xml:space="preserve">
</t>
    </r>
    <r>
      <rPr>
        <sz val="11"/>
        <color rgb="FF000000"/>
        <rFont val="Calibri"/>
      </rPr>
      <t>Note: To view a list of export ciphers, at the command prompt execute the following command:</t>
    </r>
    <r>
      <rPr>
        <sz val="11"/>
        <color rgb="FF000000"/>
        <rFont val="Calibri"/>
      </rPr>
      <t xml:space="preserve">
</t>
    </r>
    <r>
      <rPr>
        <sz val="11"/>
        <color rgb="FF000000"/>
        <rFont val="Calibri"/>
      </rPr>
      <t>openssl ciphers 'EXP'</t>
    </r>
  </si>
  <si>
    <t>V-89113</t>
  </si>
  <si>
    <r>
      <rPr>
        <sz val="11"/>
        <rFont val="Calibri"/>
      </rPr>
      <t>tc Server API must remove all export ciphers to protect the confidentiality and integrity of transmitted information.</t>
    </r>
  </si>
  <si>
    <r>
      <rPr>
        <sz val="11"/>
        <color rgb="FF000000"/>
        <rFont val="Calibri"/>
      </rPr>
      <t>Navigate to and open /usr/lib/vmware-vcops/tomcat-enterprise/conf/catalina.properties.</t>
    </r>
    <r>
      <rPr>
        <sz val="11"/>
        <color rgb="FF000000"/>
        <rFont val="Calibri"/>
      </rPr>
      <t xml:space="preserve">
</t>
    </r>
    <r>
      <rPr>
        <sz val="11"/>
        <color rgb="FF000000"/>
        <rFont val="Calibri"/>
      </rPr>
      <t>Navigate to the “vmware-ssl.ssl.ciphers.list” setting.</t>
    </r>
    <r>
      <rPr>
        <sz val="11"/>
        <color rgb="FF000000"/>
        <rFont val="Calibri"/>
      </rPr>
      <t xml:space="preserve">
</t>
    </r>
    <r>
      <rPr>
        <sz val="11"/>
        <color rgb="FF000000"/>
        <rFont val="Calibri"/>
      </rPr>
      <t>Remove any export ciphers from “vmware-ssl.ssl.ciphers.list”.</t>
    </r>
    <r>
      <rPr>
        <sz val="11"/>
        <color rgb="FF000000"/>
        <rFont val="Calibri"/>
      </rPr>
      <t xml:space="preserve">
</t>
    </r>
    <r>
      <rPr>
        <sz val="11"/>
        <color rgb="FF000000"/>
        <rFont val="Calibri"/>
      </rPr>
      <t>Note: To view a list of export ciphers, at the command prompt execute the following command:</t>
    </r>
    <r>
      <rPr>
        <sz val="11"/>
        <color rgb="FF000000"/>
        <rFont val="Calibri"/>
      </rPr>
      <t xml:space="preserve">
</t>
    </r>
    <r>
      <rPr>
        <sz val="11"/>
        <color rgb="FF000000"/>
        <rFont val="Calibri"/>
      </rPr>
      <t>openssl ciphers 'EXP'</t>
    </r>
  </si>
  <si>
    <r>
      <rPr>
        <sz val="11"/>
        <color rgb="FF000000"/>
        <rFont val="Calibri"/>
      </rPr>
      <t>At the command prompt, execute the following command:</t>
    </r>
    <r>
      <rPr>
        <sz val="11"/>
        <color rgb="FF000000"/>
        <rFont val="Calibri"/>
      </rPr>
      <t xml:space="preserve">
</t>
    </r>
    <r>
      <rPr>
        <sz val="11"/>
        <color rgb="FF000000"/>
        <rFont val="Calibri"/>
      </rPr>
      <t>grep vmware-ssl.ssl.ciphers.list /usr/lib/vmware-vcops/tomcat-enterprise/conf/catalina.properties</t>
    </r>
    <r>
      <rPr>
        <sz val="11"/>
        <color rgb="FF000000"/>
        <rFont val="Calibri"/>
      </rPr>
      <t xml:space="preserve">
</t>
    </r>
    <r>
      <rPr>
        <sz val="11"/>
        <color rgb="FF000000"/>
        <rFont val="Calibri"/>
      </rPr>
      <t>If any export ciphers are listed, this is a finding.</t>
    </r>
    <r>
      <rPr>
        <sz val="11"/>
        <color rgb="FF000000"/>
        <rFont val="Calibri"/>
      </rPr>
      <t xml:space="preserve">
</t>
    </r>
    <r>
      <rPr>
        <sz val="11"/>
        <color rgb="FF000000"/>
        <rFont val="Calibri"/>
      </rPr>
      <t>Note: To view a list of export ciphers, at the command prompt execute the following command:</t>
    </r>
    <r>
      <rPr>
        <sz val="11"/>
        <color rgb="FF000000"/>
        <rFont val="Calibri"/>
      </rPr>
      <t xml:space="preserve">
</t>
    </r>
    <r>
      <rPr>
        <sz val="11"/>
        <color rgb="FF000000"/>
        <rFont val="Calibri"/>
      </rPr>
      <t>openssl ciphers 'EXP'</t>
    </r>
  </si>
  <si>
    <t>V-89115</t>
  </si>
  <si>
    <r>
      <rPr>
        <sz val="11"/>
        <rFont val="Calibri"/>
      </rPr>
      <t>tc Server UI must use approved Transport Layer Security (TLS) versions to maintain the confidentiality and integrity of information during reception.</t>
    </r>
  </si>
  <si>
    <r>
      <rPr>
        <sz val="11"/>
        <color rgb="FF000000"/>
        <rFont val="Calibri"/>
      </rPr>
      <t>Information can be either unintentionally or maliciously disclosed or modified during reception, including, for example, during aggregation, at protocol transformation points, and during packing/unpacking. These unauthorized disclosures or modifications compromise the confidentiality or integrity of the information.</t>
    </r>
    <r>
      <rPr>
        <sz val="11"/>
        <color rgb="FF000000"/>
        <rFont val="Calibri"/>
      </rPr>
      <t xml:space="preserve">
</t>
    </r>
    <r>
      <rPr>
        <sz val="11"/>
        <color rgb="FF000000"/>
        <rFont val="Calibri"/>
      </rPr>
      <t>Protecting the confidentiality and integrity of received information requires that application servers take measures to employ approved cryptography in order to protect the information during transmission over the network. This is usually achieved through the use of Transport Layer Security (TLS), SSL VPN, or IPsec tunnel.</t>
    </r>
    <r>
      <rPr>
        <sz val="11"/>
        <color rgb="FF000000"/>
        <rFont val="Calibri"/>
      </rPr>
      <t xml:space="preserve">
</t>
    </r>
    <r>
      <rPr>
        <sz val="11"/>
        <color rgb="FF000000"/>
        <rFont val="Calibri"/>
      </rPr>
      <t>tc Server connections are managed by the Connector object class. The Connector object can be configured to use a range of transport encryption methods. Many older transport encryption methods have been proven to be weak. vROps should be configured to use the “sslEnabledProtocols” correctly to ensure that older, less secure forms of transport security are not used.</t>
    </r>
  </si>
  <si>
    <t>V-89117</t>
  </si>
  <si>
    <r>
      <rPr>
        <sz val="11"/>
        <rFont val="Calibri"/>
      </rPr>
      <t>tc Server CaSa must use approved Transport Layer Security (TLS) versions to maintain the confidentiality and integrity of information during reception.</t>
    </r>
  </si>
  <si>
    <t>V-89119</t>
  </si>
  <si>
    <r>
      <rPr>
        <sz val="11"/>
        <rFont val="Calibri"/>
      </rPr>
      <t>tc Server API must use approved Transport Layer Security (TLS) versions to maintain the confidentiality and integrity of information during reception.</t>
    </r>
  </si>
  <si>
    <r>
      <rPr>
        <sz val="11"/>
        <color rgb="FF000000"/>
        <rFont val="Calibri"/>
      </rPr>
      <t>Information can be either unintentionally or maliciously disclosed or modified during reception, including, for example, during aggregation, at protocol transformation points, and during packing/unpacking. These unauthorized disclosures or modifications compromise the confidentiality or integrity of the information.</t>
    </r>
    <r>
      <rPr>
        <sz val="11"/>
        <color rgb="FF000000"/>
        <rFont val="Calibri"/>
      </rPr>
      <t xml:space="preserve">
</t>
    </r>
    <r>
      <rPr>
        <sz val="11"/>
        <color rgb="FF000000"/>
        <rFont val="Calibri"/>
      </rPr>
      <t xml:space="preserve">Protecting the confidentiality and integrity of received information requires that application servers take measures to employ approved cryptography in order to protect the information during transmission over the network. This is usually achieved through the use of Transport Layer Security (TLS), SSL VPN, or IPsec tunnel. </t>
    </r>
    <r>
      <rPr>
        <sz val="11"/>
        <color rgb="FF000000"/>
        <rFont val="Calibri"/>
      </rPr>
      <t xml:space="preserve">
</t>
    </r>
    <r>
      <rPr>
        <sz val="11"/>
        <color rgb="FF000000"/>
        <rFont val="Calibri"/>
      </rPr>
      <t>tc Server connections are managed by the Connector object class. The Connector object can be configured to use a range of transport encryption methods. Many older transport encryption methods have been proven to be weak. vROps should be configured to use the “sslEnabledProtocols” correctly to ensure that older, less secure forms of transport security are not used.</t>
    </r>
  </si>
  <si>
    <t>V-89121</t>
  </si>
  <si>
    <r>
      <rPr>
        <sz val="11"/>
        <rFont val="Calibri"/>
      </rPr>
      <t>tc Server ALL must have all security-relevant software updates installed within the configured time period directed by an authoritative source.</t>
    </r>
  </si>
  <si>
    <r>
      <rPr>
        <sz val="11"/>
        <color rgb="FF000000"/>
        <rFont val="Calibri"/>
      </rPr>
      <t>Ensure that patches and updates from an authoritative source are applied at least within 24 hours after they have been received.</t>
    </r>
  </si>
  <si>
    <r>
      <rPr>
        <sz val="11"/>
        <color rgb="FF000000"/>
        <rFont val="Calibri"/>
      </rPr>
      <t>Security flaws with software applications are discovered daily. Vendors are constantly updating and patching their products to address newly discovered security vulnerabilities. Organizations (including any contractor to the organization) are required to promptly install security-relevant software updates (e.g., patches, service packs, and hot fixes). Flaws discovered during security assessments, continuous monitoring, incident response activities, or information system error handling must also be addressed expeditiously.</t>
    </r>
    <r>
      <rPr>
        <sz val="11"/>
        <color rgb="FF000000"/>
        <rFont val="Calibri"/>
      </rPr>
      <t xml:space="preserve">
</t>
    </r>
    <r>
      <rPr>
        <sz val="11"/>
        <color rgb="FF000000"/>
        <rFont val="Calibri"/>
      </rPr>
      <t>The web server will be configured to check for and install security-relevant software updates from an authoritative source within an identified time period from the availability of the update. By default, this time period will be every 24 hours.</t>
    </r>
    <r>
      <rPr>
        <sz val="11"/>
        <color rgb="FF000000"/>
        <rFont val="Calibri"/>
      </rPr>
      <t xml:space="preserve">
</t>
    </r>
    <r>
      <rPr>
        <sz val="11"/>
        <color rgb="FF000000"/>
        <rFont val="Calibri"/>
      </rPr>
      <t>VMware delivers product updates and patches regularly. It is crucial that system administrators coordinate installation of product updates with the site ISSO to ensure that updated and patched files are uploaded onto the system as soon as prescribed.</t>
    </r>
  </si>
  <si>
    <t>V-89123</t>
  </si>
  <si>
    <r>
      <rPr>
        <sz val="11"/>
        <rFont val="Calibri"/>
      </rPr>
      <t>tc Server ALL must be configured in accordance with the security configuration settings based on DoD security configuration or implementation guidance, including STIGs, NSA configuration guides, CTOs, and DTMs.</t>
    </r>
  </si>
  <si>
    <r>
      <rPr>
        <sz val="11"/>
        <color rgb="FF000000"/>
        <rFont val="Calibri"/>
      </rPr>
      <t>Obtain the most current tc Server STIG. Verify that tc Server is configured with all current requirements.</t>
    </r>
  </si>
  <si>
    <r>
      <rPr>
        <sz val="11"/>
        <color rgb="FF000000"/>
        <rFont val="Calibri"/>
      </rPr>
      <t xml:space="preserve">Configuring the web server to implement organization-wide security implementation guides and security checklists guarantees compliance with federal standards and establishes a common security baseline across the DoD that reflects the most restrictive security posture consistent with operational requirements. </t>
    </r>
    <r>
      <rPr>
        <sz val="11"/>
        <color rgb="FF000000"/>
        <rFont val="Calibri"/>
      </rPr>
      <t xml:space="preserve">
</t>
    </r>
    <r>
      <rPr>
        <sz val="11"/>
        <color rgb="FF000000"/>
        <rFont val="Calibri"/>
      </rPr>
      <t>Configuration settings are the set of parameters that can be changed that affect the security posture and/or functionality of the system. Security-related parameters are those parameters impacting the security state of the web server, including the parameters required to satisfy other security control requirements.</t>
    </r>
    <r>
      <rPr>
        <sz val="11"/>
        <color rgb="FF000000"/>
        <rFont val="Calibri"/>
      </rPr>
      <t xml:space="preserve">
</t>
    </r>
    <r>
      <rPr>
        <sz val="11"/>
        <color rgb="FF000000"/>
        <rFont val="Calibri"/>
      </rPr>
      <t>VMware delivers product updates and patches regularly. It is crucial that system administrators coordinate installation of product updates with the site ISSO to ensure that updated and patched files are uploaded onto the system as soon as prescribed.</t>
    </r>
  </si>
  <si>
    <r>
      <rPr>
        <sz val="11"/>
        <color rgb="FF000000"/>
        <rFont val="Calibri"/>
      </rPr>
      <t>Obtain supporting documentation from the ISSO.</t>
    </r>
    <r>
      <rPr>
        <sz val="11"/>
        <color rgb="FF000000"/>
        <rFont val="Calibri"/>
      </rPr>
      <t xml:space="preserve">
</t>
    </r>
    <r>
      <rPr>
        <sz val="11"/>
        <color rgb="FF000000"/>
        <rFont val="Calibri"/>
      </rPr>
      <t>Verify that this Security Technical Implementation Guide (STIG) is the most current STIG available for tc Server on vROps. Assess all of the organization's vROps installations to ensure that they are fully compliant with the most current tc Server STIG.</t>
    </r>
    <r>
      <rPr>
        <sz val="11"/>
        <color rgb="FF000000"/>
        <rFont val="Calibri"/>
      </rPr>
      <t xml:space="preserve">
</t>
    </r>
    <r>
      <rPr>
        <sz val="11"/>
        <color rgb="FF000000"/>
        <rFont val="Calibri"/>
      </rPr>
      <t>If the most current version of the tc Server STIG was not used, or if the tc Server configuration is not compliant with the most current tc Server STIG,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</si>
  <si>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</si>
  <si>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</si>
  <si>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</si>
  <si>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</si>
  <si>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</si>
  <si>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</si>
  <si>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</si>
  <si>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</si>
  <si>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</si>
  <si>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</si>
  <si>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</si>
  <si>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</si>
  <si>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</si>
  <si>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</si>
  <si>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</si>
  <si>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</si>
  <si>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</si>
  <si>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</si>
  <si>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</si>
  <si>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</si>
  <si>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</si>
  <si>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</si>
  <si>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</si>
  <si>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</si>
  <si>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</si>
  <si>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</si>
  <si>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</si>
  <si>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</si>
  <si>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</si>
  <si>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Security Technical Implementation Guide V1R1</t>
  </si>
  <si>
    <t>Developed By:</t>
  </si>
  <si>
    <t>VMware and Defense Information Systems Agency (DISA) for the US DoD</t>
  </si>
  <si>
    <t>Release Information:</t>
  </si>
  <si>
    <r>
      <rPr>
        <b/>
        <sz val="11"/>
        <color rgb="FF000000"/>
        <rFont val="Calibri"/>
      </rPr>
      <t>Version:</t>
    </r>
    <r>
      <rPr>
        <sz val="11"/>
        <color rgb="FF000000"/>
        <rFont val="Calibri"/>
      </rPr>
      <t xml:space="preserve"> V1R1    </t>
    </r>
    <r>
      <rPr>
        <b/>
        <sz val="11"/>
        <color rgb="FF000000"/>
        <rFont val="Calibri"/>
      </rPr>
      <t>Date:</t>
    </r>
    <r>
      <rPr>
        <sz val="11"/>
        <color rgb="FF000000"/>
        <rFont val="Calibri"/>
      </rPr>
      <t xml:space="preserve"> 28 September 2018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460</t>
    </r>
  </si>
  <si>
    <t>Download Url:</t>
  </si>
  <si>
    <t>https://www.cyber.mil/stigs</t>
  </si>
  <si>
    <t>Guide Overview:</t>
  </si>
  <si>
    <r>
      <rPr>
        <sz val="11"/>
        <color rgb="FF000000"/>
        <rFont val="Calibri"/>
      </rPr>
      <t>The VMware vRealize Operations Manager (vROps) 6.x Security Technical Implementation Guide (STIG) is published as a tool to improve the security of Department of Defense (DoD) information systems. This document is meant for use in conjunction with other STIGs such as the Enclave, Network Infrastructure, Secure Remote Computing, and appropriate operating system (OS) STIGs.</t>
    </r>
    <r>
      <rPr>
        <sz val="11"/>
        <color rgb="FF000000"/>
        <rFont val="Calibri"/>
      </rPr>
      <t xml:space="preserve">
</t>
    </r>
    <r>
      <rPr>
        <sz val="11"/>
        <color rgb="FF000000"/>
        <rFont val="Calibri"/>
      </rPr>
      <t>The vROps 6.x STIG is composed of four sub-component STIGs. All component STIGs must be applied to the vROps 6.x environment:</t>
    </r>
    <r>
      <rPr>
        <sz val="11"/>
        <color rgb="FF000000"/>
        <rFont val="Calibri"/>
      </rPr>
      <t xml:space="preserve">
</t>
    </r>
    <r>
      <rPr>
        <sz val="11"/>
        <color rgb="FF000000"/>
        <rFont val="Calibri"/>
      </rPr>
      <t> Application – vROps application  PostgreSQL – Database component  tc Server – Web Server component  SLES – Operating System component</t>
    </r>
    <r>
      <rPr>
        <sz val="11"/>
        <color rgb="FF000000"/>
        <rFont val="Calibri"/>
      </rPr>
      <t xml:space="preserve">
</t>
    </r>
    <r>
      <rPr>
        <sz val="11"/>
        <color rgb="FF000000"/>
        <rFont val="Calibri"/>
      </rPr>
      <t>vROps-specific STIGs are to be used for components when other STIGs exist.</t>
    </r>
  </si>
  <si>
    <t>Components:</t>
  </si>
  <si>
    <r>
      <rPr>
        <i/>
        <sz val="11"/>
        <color rgb="FF000000"/>
        <rFont val="Calibri"/>
      </rPr>
      <t>Title:</t>
    </r>
    <r>
      <rPr>
        <sz val="11"/>
        <color rgb="FF000000"/>
        <rFont val="Calibri"/>
      </rPr>
      <t xml:space="preserve"> VMware vRealize Operations Manager 6.x Application Security Technical Implementation Guide</t>
    </r>
    <r>
      <rPr>
        <sz val="11"/>
        <color rgb="FF000000"/>
        <rFont val="Calibri"/>
      </rPr>
      <t xml:space="preserve">
</t>
    </r>
    <r>
      <rPr>
        <i/>
        <sz val="11"/>
        <color rgb="FF000000"/>
        <rFont val="Calibri"/>
      </rPr>
      <t>Version:</t>
    </r>
    <r>
      <rPr>
        <sz val="11"/>
        <color rgb="FF000000"/>
        <rFont val="Calibri"/>
      </rPr>
      <t xml:space="preserve"> V1R1     </t>
    </r>
    <r>
      <rPr>
        <i/>
        <sz val="11"/>
        <color rgb="FF000000"/>
        <rFont val="Calibri"/>
      </rPr>
      <t>Date:</t>
    </r>
    <r>
      <rPr>
        <sz val="11"/>
        <color rgb="FF000000"/>
        <rFont val="Calibri"/>
      </rPr>
      <t xml:space="preserve"> 28 September 2018     </t>
    </r>
    <r>
      <rPr>
        <i/>
        <sz val="11"/>
        <color rgb="FF000000"/>
        <rFont val="Calibri"/>
      </rPr>
      <t>Recommendation Count:</t>
    </r>
    <r>
      <rPr>
        <sz val="11"/>
        <color rgb="FF000000"/>
        <rFont val="Calibri"/>
      </rPr>
      <t xml:space="preserve"> 5</t>
    </r>
  </si>
  <si>
    <r>
      <rPr>
        <i/>
        <sz val="11"/>
        <color rgb="FF000000"/>
        <rFont val="Calibri"/>
      </rPr>
      <t>Title:</t>
    </r>
    <r>
      <rPr>
        <sz val="11"/>
        <color rgb="FF000000"/>
        <rFont val="Calibri"/>
      </rPr>
      <t xml:space="preserve"> VMW vRealize Operations Manager 6.x PostgreSQL Security Technical Implementation Guide</t>
    </r>
    <r>
      <rPr>
        <sz val="11"/>
        <color rgb="FF000000"/>
        <rFont val="Calibri"/>
      </rPr>
      <t xml:space="preserve">
</t>
    </r>
    <r>
      <rPr>
        <i/>
        <sz val="11"/>
        <color rgb="FF000000"/>
        <rFont val="Calibri"/>
      </rPr>
      <t>Version:</t>
    </r>
    <r>
      <rPr>
        <sz val="11"/>
        <color rgb="FF000000"/>
        <rFont val="Calibri"/>
      </rPr>
      <t xml:space="preserve"> V1R1     </t>
    </r>
    <r>
      <rPr>
        <i/>
        <sz val="11"/>
        <color rgb="FF000000"/>
        <rFont val="Calibri"/>
      </rPr>
      <t>Date:</t>
    </r>
    <r>
      <rPr>
        <sz val="11"/>
        <color rgb="FF000000"/>
        <rFont val="Calibri"/>
      </rPr>
      <t xml:space="preserve"> 28 September 2018     </t>
    </r>
    <r>
      <rPr>
        <i/>
        <sz val="11"/>
        <color rgb="FF000000"/>
        <rFont val="Calibri"/>
      </rPr>
      <t>Recommendation Count:</t>
    </r>
    <r>
      <rPr>
        <sz val="11"/>
        <color rgb="FF000000"/>
        <rFont val="Calibri"/>
      </rPr>
      <t xml:space="preserve"> 69</t>
    </r>
  </si>
  <si>
    <r>
      <rPr>
        <i/>
        <sz val="11"/>
        <color rgb="FF000000"/>
        <rFont val="Calibri"/>
      </rPr>
      <t>Title:</t>
    </r>
    <r>
      <rPr>
        <sz val="11"/>
        <color rgb="FF000000"/>
        <rFont val="Calibri"/>
      </rPr>
      <t xml:space="preserve"> VMware vRealize Operations Manager 6.x SLES Security Technical Implementation Guide</t>
    </r>
    <r>
      <rPr>
        <sz val="11"/>
        <color rgb="FF000000"/>
        <rFont val="Calibri"/>
      </rPr>
      <t xml:space="preserve">
</t>
    </r>
    <r>
      <rPr>
        <i/>
        <sz val="11"/>
        <color rgb="FF000000"/>
        <rFont val="Calibri"/>
      </rPr>
      <t>Version:</t>
    </r>
    <r>
      <rPr>
        <sz val="11"/>
        <color rgb="FF000000"/>
        <rFont val="Calibri"/>
      </rPr>
      <t xml:space="preserve"> V1R1     </t>
    </r>
    <r>
      <rPr>
        <i/>
        <sz val="11"/>
        <color rgb="FF000000"/>
        <rFont val="Calibri"/>
      </rPr>
      <t>Date:</t>
    </r>
    <r>
      <rPr>
        <sz val="11"/>
        <color rgb="FF000000"/>
        <rFont val="Calibri"/>
      </rPr>
      <t xml:space="preserve"> 28 September 2018     </t>
    </r>
    <r>
      <rPr>
        <i/>
        <sz val="11"/>
        <color rgb="FF000000"/>
        <rFont val="Calibri"/>
      </rPr>
      <t>Recommendation Count:</t>
    </r>
    <r>
      <rPr>
        <sz val="11"/>
        <color rgb="FF000000"/>
        <rFont val="Calibri"/>
      </rPr>
      <t xml:space="preserve"> 211</t>
    </r>
  </si>
  <si>
    <r>
      <rPr>
        <i/>
        <sz val="11"/>
        <color rgb="FF000000"/>
        <rFont val="Calibri"/>
      </rPr>
      <t>Title:</t>
    </r>
    <r>
      <rPr>
        <sz val="11"/>
        <color rgb="FF000000"/>
        <rFont val="Calibri"/>
      </rPr>
      <t xml:space="preserve"> VMware vRealize Operations Manager 6.x tc Server Security Technical Implementation Guide</t>
    </r>
    <r>
      <rPr>
        <sz val="11"/>
        <color rgb="FF000000"/>
        <rFont val="Calibri"/>
      </rPr>
      <t xml:space="preserve">
</t>
    </r>
    <r>
      <rPr>
        <i/>
        <sz val="11"/>
        <color rgb="FF000000"/>
        <rFont val="Calibri"/>
      </rPr>
      <t>Version:</t>
    </r>
    <r>
      <rPr>
        <sz val="11"/>
        <color rgb="FF000000"/>
        <rFont val="Calibri"/>
      </rPr>
      <t xml:space="preserve"> V1R1     </t>
    </r>
    <r>
      <rPr>
        <i/>
        <sz val="11"/>
        <color rgb="FF000000"/>
        <rFont val="Calibri"/>
      </rPr>
      <t>Date:</t>
    </r>
    <r>
      <rPr>
        <sz val="11"/>
        <color rgb="FF000000"/>
        <rFont val="Calibri"/>
      </rPr>
      <t xml:space="preserve"> 28 September 2018     </t>
    </r>
    <r>
      <rPr>
        <i/>
        <sz val="11"/>
        <color rgb="FF000000"/>
        <rFont val="Calibri"/>
      </rPr>
      <t>Recommendation Count:</t>
    </r>
    <r>
      <rPr>
        <sz val="11"/>
        <color rgb="FF000000"/>
        <rFont val="Calibri"/>
      </rPr>
      <t xml:space="preserve"> 175</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</si>
  <si>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</si>
  <si>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</si>
  <si>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</si>
  <si>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</si>
  <si>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</si>
  <si>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</si>
  <si>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</si>
  <si>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</si>
  <si>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</si>
  <si>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</si>
  <si>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</si>
  <si>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</si>
  <si>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</si>
  <si>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</si>
  <si>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</si>
  <si>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</si>
  <si>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</si>
  <si>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</si>
  <si>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</si>
  <si>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</si>
  <si>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</si>
  <si>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</si>
  <si>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</si>
  <si>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</si>
  <si>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</si>
  <si>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</si>
  <si>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</si>
  <si>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</si>
  <si>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</si>
  <si>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</si>
  <si>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</si>
  <si>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</si>
  <si>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</si>
  <si>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</si>
  <si>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</si>
  <si>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</si>
  <si>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</si>
  <si>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</si>
  <si>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</si>
  <si>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</si>
  <si>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</si>
  <si>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</si>
  <si>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</si>
  <si>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</si>
  <si>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</si>
  <si>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</si>
  <si>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</si>
  <si>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Security Technical Implementation Guide V1R1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</si>
  <si>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</si>
  <si>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</si>
  <si>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</si>
  <si>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</si>
  <si>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</si>
  <si>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</si>
  <si>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</si>
  <si>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</si>
  <si>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</si>
  <si>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</si>
  <si>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</si>
  <si>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</si>
  <si>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</si>
  <si>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</si>
  <si>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</si>
  <si>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</si>
  <si>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</si>
  <si>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Component</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</si>
  <si>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</si>
  <si>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</si>
  <si>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</si>
  <si>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</si>
  <si>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</si>
  <si>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</si>
  <si>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</si>
  <si>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</si>
  <si>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</si>
  <si>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</si>
  <si>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</si>
  <si>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</si>
  <si>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</si>
  <si>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</si>
  <si>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</si>
  <si>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</si>
  <si>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</si>
  <si>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</si>
  <si>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</si>
  <si>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</si>
  <si>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</si>
  <si>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</si>
  <si>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</si>
  <si>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</si>
  <si>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</si>
  <si>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</si>
  <si>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</si>
  <si>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</si>
  <si>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</si>
  <si>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(C88)</t>
  </si>
  <si>
    <t>% Must</t>
  </si>
  <si>
    <t>Should Count (C89)</t>
  </si>
  <si>
    <t>% Should</t>
  </si>
  <si>
    <t>Could Count (C90)</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</si>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</sst>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5"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240458"/>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4">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13"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4"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5" fillId="4" borderId="11" xfId="0" applyNumberFormat="1" applyFont="1" applyFill="1" applyBorder="1" applyAlignment="1" applyProtection="1">
      <alignment horizontal="left"/>
    </xf>
    <xf numFmtId="0" fontId="15" fillId="4" borderId="11" xfId="0" applyNumberFormat="1" applyFont="1" applyFill="1" applyBorder="1" applyAlignment="1" applyProtection="1">
      <alignment horizontal="center"/>
    </xf>
    <xf numFmtId="164" fontId="15" fillId="4" borderId="11" xfId="0" applyNumberFormat="1" applyFont="1" applyFill="1" applyBorder="1" applyAlignment="1" applyProtection="1">
      <alignment horizontal="center"/>
    </xf>
    <xf numFmtId="0" fontId="16" fillId="3" borderId="0" xfId="0" applyNumberFormat="1" applyFont="1" applyFill="1" applyProtection="1"/>
    <xf numFmtId="0" fontId="14"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8" fillId="3" borderId="0" xfId="0" applyNumberFormat="1" applyFont="1" applyFill="1" applyProtection="1"/>
    <xf numFmtId="0" fontId="19" fillId="3" borderId="13" xfId="0" applyNumberFormat="1" applyFont="1" applyFill="1" applyBorder="1" applyAlignment="1" applyProtection="1">
      <alignment horizontal="right" vertical="center"/>
    </xf>
    <xf numFmtId="0" fontId="20"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4" fillId="2" borderId="11" xfId="0" applyNumberFormat="1" applyFont="1" applyFill="1" applyBorder="1" applyAlignment="1" applyProtection="1">
      <alignment horizontal="center" vertical="center" wrapText="1"/>
    </xf>
    <xf numFmtId="0" fontId="21"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4"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3" fillId="14" borderId="11" xfId="0" applyNumberFormat="1" applyFont="1" applyFill="1" applyBorder="1" applyAlignment="1" applyProtection="1">
      <alignment horizontal="center" vertical="center" wrapText="1"/>
    </xf>
    <xf numFmtId="0" fontId="23" fillId="15" borderId="11" xfId="0" applyNumberFormat="1" applyFont="1" applyFill="1" applyBorder="1" applyAlignment="1" applyProtection="1">
      <alignment horizontal="center" vertical="center" wrapText="1"/>
    </xf>
    <xf numFmtId="0" fontId="23" fillId="16" borderId="11" xfId="0" applyNumberFormat="1" applyFont="1" applyFill="1" applyBorder="1" applyAlignment="1" applyProtection="1">
      <alignment horizontal="center" vertical="center" wrapText="1"/>
    </xf>
    <xf numFmtId="0" fontId="23" fillId="17" borderId="11" xfId="0" applyNumberFormat="1" applyFont="1" applyFill="1" applyBorder="1" applyAlignment="1" applyProtection="1">
      <alignment horizontal="center" vertical="center" wrapText="1"/>
    </xf>
    <xf numFmtId="0" fontId="23" fillId="18" borderId="11" xfId="0" applyNumberFormat="1" applyFont="1" applyFill="1" applyBorder="1" applyAlignment="1" applyProtection="1">
      <alignment horizontal="center" vertical="center" wrapText="1"/>
    </xf>
    <xf numFmtId="0" fontId="23" fillId="19" borderId="11" xfId="0" applyNumberFormat="1" applyFont="1" applyFill="1" applyBorder="1" applyAlignment="1" applyProtection="1">
      <alignment horizontal="center" vertical="center" wrapText="1"/>
    </xf>
    <xf numFmtId="0" fontId="24"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5"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5"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6"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6"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xf>
    <xf numFmtId="0" fontId="25"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left" vertical="top"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5" fillId="23" borderId="1" xfId="0" applyNumberFormat="1" applyFont="1" applyFill="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wrapText="1"/>
    </xf>
    <xf numFmtId="0" fontId="25"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5" fillId="23" borderId="5"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top"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5" fillId="23" borderId="1" xfId="0" applyNumberFormat="1" applyFont="1" applyFill="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wrapText="1"/>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5" fillId="23" borderId="5"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7"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4"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4"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7" fillId="3" borderId="0" xfId="0" applyNumberFormat="1" applyFont="1" applyFill="1" applyAlignment="1" applyProtection="1">
      <alignment vertical="top" wrapText="1"/>
    </xf>
    <xf numFmtId="3" fontId="22"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2"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4"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4">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8BC3-4466-A87E-747776646BCE}"/>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8BC3-4466-A87E-747776646BCE}"/>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460</c:v>
                </c:pt>
              </c:numCache>
            </c:numRef>
          </c:val>
          <c:extLst>
            <c:ext xmlns:c16="http://schemas.microsoft.com/office/drawing/2014/chart" uri="{C3380CC4-5D6E-409C-BE32-E72D297353CC}">
              <c16:uniqueId val="{00000002-8BC3-4466-A87E-747776646BCE}"/>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Component</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Dashboard!$B$29:$B$32</c:f>
              <c:strCache>
                <c:ptCount val="4"/>
                <c:pt idx="0">
                  <c:v>VMW vRealize Operations Manager 6.x PostgreSQL</c:v>
                </c:pt>
                <c:pt idx="1">
                  <c:v>VMware vRealize Operations Manager 6.x Application</c:v>
                </c:pt>
                <c:pt idx="2">
                  <c:v>VMware vRealize Operations Manager 6.x SLES</c:v>
                </c:pt>
                <c:pt idx="3">
                  <c:v>VMware vRealize Operations Manager 6.x tc Server</c:v>
                </c:pt>
              </c:strCache>
            </c:strRef>
          </c:cat>
          <c:val>
            <c:numRef>
              <c:f>Dashboard!$C$29:$C$32</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BB61-40C4-86A7-8BB9FF77DCA3}"/>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Dashboard!$B$29:$B$32</c:f>
              <c:strCache>
                <c:ptCount val="4"/>
                <c:pt idx="0">
                  <c:v>VMW vRealize Operations Manager 6.x PostgreSQL</c:v>
                </c:pt>
                <c:pt idx="1">
                  <c:v>VMware vRealize Operations Manager 6.x Application</c:v>
                </c:pt>
                <c:pt idx="2">
                  <c:v>VMware vRealize Operations Manager 6.x SLES</c:v>
                </c:pt>
                <c:pt idx="3">
                  <c:v>VMware vRealize Operations Manager 6.x tc Server</c:v>
                </c:pt>
              </c:strCache>
            </c:strRef>
          </c:cat>
          <c:val>
            <c:numRef>
              <c:f>Dashboard!$D$29:$D$32</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BB61-40C4-86A7-8BB9FF77DCA3}"/>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Dashboard!$B$29:$B$32</c:f>
              <c:strCache>
                <c:ptCount val="4"/>
                <c:pt idx="0">
                  <c:v>VMW vRealize Operations Manager 6.x PostgreSQL</c:v>
                </c:pt>
                <c:pt idx="1">
                  <c:v>VMware vRealize Operations Manager 6.x Application</c:v>
                </c:pt>
                <c:pt idx="2">
                  <c:v>VMware vRealize Operations Manager 6.x SLES</c:v>
                </c:pt>
                <c:pt idx="3">
                  <c:v>VMware vRealize Operations Manager 6.x tc Server</c:v>
                </c:pt>
              </c:strCache>
            </c:strRef>
          </c:cat>
          <c:val>
            <c:numRef>
              <c:f>Dashboard!$E$29:$E$32</c:f>
              <c:numCache>
                <c:formatCode>General</c:formatCode>
                <c:ptCount val="4"/>
                <c:pt idx="0">
                  <c:v>69</c:v>
                </c:pt>
                <c:pt idx="1">
                  <c:v>5</c:v>
                </c:pt>
                <c:pt idx="2">
                  <c:v>211</c:v>
                </c:pt>
                <c:pt idx="3">
                  <c:v>175</c:v>
                </c:pt>
              </c:numCache>
            </c:numRef>
          </c:val>
          <c:extLst>
            <c:ext xmlns:c16="http://schemas.microsoft.com/office/drawing/2014/chart" uri="{C3380CC4-5D6E-409C-BE32-E72D297353CC}">
              <c16:uniqueId val="{00000002-BB61-40C4-86A7-8BB9FF77DCA3}"/>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Dashboard!$B$48:$B$53</c:f>
              <c:strCache>
                <c:ptCount val="6"/>
                <c:pt idx="0">
                  <c:v>Phase1</c:v>
                </c:pt>
                <c:pt idx="1">
                  <c:v>Phase2</c:v>
                </c:pt>
                <c:pt idx="2">
                  <c:v>Phase3</c:v>
                </c:pt>
                <c:pt idx="3">
                  <c:v>Phase4</c:v>
                </c:pt>
                <c:pt idx="4">
                  <c:v>Phase5</c:v>
                </c:pt>
                <c:pt idx="5">
                  <c:v>Pending</c:v>
                </c:pt>
              </c:strCache>
            </c:strRef>
          </c:cat>
          <c:val>
            <c:numRef>
              <c:f>Dashboard!$C$48:$C$53</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17FF-4C35-9029-B3B66769E657}"/>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Dashboard!$B$48:$B$53</c:f>
              <c:strCache>
                <c:ptCount val="6"/>
                <c:pt idx="0">
                  <c:v>Phase1</c:v>
                </c:pt>
                <c:pt idx="1">
                  <c:v>Phase2</c:v>
                </c:pt>
                <c:pt idx="2">
                  <c:v>Phase3</c:v>
                </c:pt>
                <c:pt idx="3">
                  <c:v>Phase4</c:v>
                </c:pt>
                <c:pt idx="4">
                  <c:v>Phase5</c:v>
                </c:pt>
                <c:pt idx="5">
                  <c:v>Pending</c:v>
                </c:pt>
              </c:strCache>
            </c:strRef>
          </c:cat>
          <c:val>
            <c:numRef>
              <c:f>Dashboard!$D$48:$D$53</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17FF-4C35-9029-B3B66769E657}"/>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Dashboard!$B$48:$B$53</c:f>
              <c:strCache>
                <c:ptCount val="6"/>
                <c:pt idx="0">
                  <c:v>Phase1</c:v>
                </c:pt>
                <c:pt idx="1">
                  <c:v>Phase2</c:v>
                </c:pt>
                <c:pt idx="2">
                  <c:v>Phase3</c:v>
                </c:pt>
                <c:pt idx="3">
                  <c:v>Phase4</c:v>
                </c:pt>
                <c:pt idx="4">
                  <c:v>Phase5</c:v>
                </c:pt>
                <c:pt idx="5">
                  <c:v>Pending</c:v>
                </c:pt>
              </c:strCache>
            </c:strRef>
          </c:cat>
          <c:val>
            <c:numRef>
              <c:f>Dashboard!$E$48:$E$53</c:f>
              <c:numCache>
                <c:formatCode>General</c:formatCode>
                <c:ptCount val="6"/>
                <c:pt idx="0">
                  <c:v>0</c:v>
                </c:pt>
                <c:pt idx="1">
                  <c:v>0</c:v>
                </c:pt>
                <c:pt idx="2">
                  <c:v>0</c:v>
                </c:pt>
                <c:pt idx="3">
                  <c:v>0</c:v>
                </c:pt>
                <c:pt idx="4">
                  <c:v>0</c:v>
                </c:pt>
                <c:pt idx="5">
                  <c:v>460</c:v>
                </c:pt>
              </c:numCache>
            </c:numRef>
          </c:val>
          <c:extLst>
            <c:ext xmlns:c16="http://schemas.microsoft.com/office/drawing/2014/chart" uri="{C3380CC4-5D6E-409C-BE32-E72D297353CC}">
              <c16:uniqueId val="{00000002-17FF-4C35-9029-B3B66769E657}"/>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Dashboard!$B$71:$B$73</c:f>
              <c:strCache>
                <c:ptCount val="3"/>
                <c:pt idx="0">
                  <c:v>CAT I (High)</c:v>
                </c:pt>
                <c:pt idx="1">
                  <c:v>CAT II (Medium)</c:v>
                </c:pt>
                <c:pt idx="2">
                  <c:v>CAT III (Low)</c:v>
                </c:pt>
              </c:strCache>
            </c:strRef>
          </c:cat>
          <c:val>
            <c:numRef>
              <c:f>Dashboard!$C$71:$C$73</c:f>
              <c:numCache>
                <c:formatCode>General</c:formatCode>
                <c:ptCount val="3"/>
                <c:pt idx="0">
                  <c:v>0</c:v>
                </c:pt>
                <c:pt idx="1">
                  <c:v>0</c:v>
                </c:pt>
                <c:pt idx="2">
                  <c:v>0</c:v>
                </c:pt>
              </c:numCache>
            </c:numRef>
          </c:val>
          <c:extLst>
            <c:ext xmlns:c16="http://schemas.microsoft.com/office/drawing/2014/chart" uri="{C3380CC4-5D6E-409C-BE32-E72D297353CC}">
              <c16:uniqueId val="{00000000-4EB2-4ACD-8C1B-BE658668F9E0}"/>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Dashboard!$B$71:$B$73</c:f>
              <c:strCache>
                <c:ptCount val="3"/>
                <c:pt idx="0">
                  <c:v>CAT I (High)</c:v>
                </c:pt>
                <c:pt idx="1">
                  <c:v>CAT II (Medium)</c:v>
                </c:pt>
                <c:pt idx="2">
                  <c:v>CAT III (Low)</c:v>
                </c:pt>
              </c:strCache>
            </c:strRef>
          </c:cat>
          <c:val>
            <c:numRef>
              <c:f>Dashboard!$D$71:$D$73</c:f>
              <c:numCache>
                <c:formatCode>General</c:formatCode>
                <c:ptCount val="3"/>
                <c:pt idx="0">
                  <c:v>0</c:v>
                </c:pt>
                <c:pt idx="1">
                  <c:v>0</c:v>
                </c:pt>
                <c:pt idx="2">
                  <c:v>0</c:v>
                </c:pt>
              </c:numCache>
            </c:numRef>
          </c:val>
          <c:extLst>
            <c:ext xmlns:c16="http://schemas.microsoft.com/office/drawing/2014/chart" uri="{C3380CC4-5D6E-409C-BE32-E72D297353CC}">
              <c16:uniqueId val="{00000001-4EB2-4ACD-8C1B-BE658668F9E0}"/>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Dashboard!$B$71:$B$73</c:f>
              <c:strCache>
                <c:ptCount val="3"/>
                <c:pt idx="0">
                  <c:v>CAT I (High)</c:v>
                </c:pt>
                <c:pt idx="1">
                  <c:v>CAT II (Medium)</c:v>
                </c:pt>
                <c:pt idx="2">
                  <c:v>CAT III (Low)</c:v>
                </c:pt>
              </c:strCache>
            </c:strRef>
          </c:cat>
          <c:val>
            <c:numRef>
              <c:f>Dashboard!$E$71:$E$73</c:f>
              <c:numCache>
                <c:formatCode>General</c:formatCode>
                <c:ptCount val="3"/>
                <c:pt idx="0">
                  <c:v>24</c:v>
                </c:pt>
                <c:pt idx="1">
                  <c:v>427</c:v>
                </c:pt>
                <c:pt idx="2">
                  <c:v>9</c:v>
                </c:pt>
              </c:numCache>
            </c:numRef>
          </c:val>
          <c:extLst>
            <c:ext xmlns:c16="http://schemas.microsoft.com/office/drawing/2014/chart" uri="{C3380CC4-5D6E-409C-BE32-E72D297353CC}">
              <c16:uniqueId val="{00000002-4EB2-4ACD-8C1B-BE658668F9E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Dashboard!$B$88:$B$92</c:f>
              <c:strCache>
                <c:ptCount val="5"/>
                <c:pt idx="0">
                  <c:v>Must</c:v>
                </c:pt>
                <c:pt idx="1">
                  <c:v>Should</c:v>
                </c:pt>
                <c:pt idx="2">
                  <c:v>Could</c:v>
                </c:pt>
                <c:pt idx="3">
                  <c:v>Won't</c:v>
                </c:pt>
                <c:pt idx="4">
                  <c:v>Unassigned</c:v>
                </c:pt>
              </c:strCache>
            </c:strRef>
          </c:cat>
          <c:val>
            <c:numRef>
              <c:f>Dashboard!$C$88:$C$92</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5F4B-4856-8EB5-EB5D814A282F}"/>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Dashboard!$B$88:$B$92</c:f>
              <c:strCache>
                <c:ptCount val="5"/>
                <c:pt idx="0">
                  <c:v>Must</c:v>
                </c:pt>
                <c:pt idx="1">
                  <c:v>Should</c:v>
                </c:pt>
                <c:pt idx="2">
                  <c:v>Could</c:v>
                </c:pt>
                <c:pt idx="3">
                  <c:v>Won't</c:v>
                </c:pt>
                <c:pt idx="4">
                  <c:v>Unassigned</c:v>
                </c:pt>
              </c:strCache>
            </c:strRef>
          </c:cat>
          <c:val>
            <c:numRef>
              <c:f>Dashboard!$D$88:$D$92</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5F4B-4856-8EB5-EB5D814A282F}"/>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Dashboard!$B$88:$B$92</c:f>
              <c:strCache>
                <c:ptCount val="5"/>
                <c:pt idx="0">
                  <c:v>Must</c:v>
                </c:pt>
                <c:pt idx="1">
                  <c:v>Should</c:v>
                </c:pt>
                <c:pt idx="2">
                  <c:v>Could</c:v>
                </c:pt>
                <c:pt idx="3">
                  <c:v>Won't</c:v>
                </c:pt>
                <c:pt idx="4">
                  <c:v>Unassigned</c:v>
                </c:pt>
              </c:strCache>
            </c:strRef>
          </c:cat>
          <c:val>
            <c:numRef>
              <c:f>Dashboard!$E$88:$E$92</c:f>
              <c:numCache>
                <c:formatCode>General</c:formatCode>
                <c:ptCount val="5"/>
                <c:pt idx="0">
                  <c:v>0</c:v>
                </c:pt>
                <c:pt idx="1">
                  <c:v>0</c:v>
                </c:pt>
                <c:pt idx="2">
                  <c:v>0</c:v>
                </c:pt>
                <c:pt idx="3">
                  <c:v>0</c:v>
                </c:pt>
                <c:pt idx="4">
                  <c:v>460</c:v>
                </c:pt>
              </c:numCache>
            </c:numRef>
          </c:val>
          <c:extLst>
            <c:ext xmlns:c16="http://schemas.microsoft.com/office/drawing/2014/chart" uri="{C3380CC4-5D6E-409C-BE32-E72D297353CC}">
              <c16:uniqueId val="{00000002-5F4B-4856-8EB5-EB5D814A282F}"/>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Dashboard!$B$109:$B$112</c:f>
              <c:strCache>
                <c:ptCount val="4"/>
                <c:pt idx="0">
                  <c:v>Low</c:v>
                </c:pt>
                <c:pt idx="1">
                  <c:v>Medium</c:v>
                </c:pt>
                <c:pt idx="2">
                  <c:v>High</c:v>
                </c:pt>
                <c:pt idx="3">
                  <c:v>Unassessed</c:v>
                </c:pt>
              </c:strCache>
            </c:strRef>
          </c:cat>
          <c:val>
            <c:numRef>
              <c:f>Dashboard!$C$109:$C$112</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33C7-4740-B794-C2D3B5EB8A45}"/>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Dashboard!$B$109:$B$112</c:f>
              <c:strCache>
                <c:ptCount val="4"/>
                <c:pt idx="0">
                  <c:v>Low</c:v>
                </c:pt>
                <c:pt idx="1">
                  <c:v>Medium</c:v>
                </c:pt>
                <c:pt idx="2">
                  <c:v>High</c:v>
                </c:pt>
                <c:pt idx="3">
                  <c:v>Unassessed</c:v>
                </c:pt>
              </c:strCache>
            </c:strRef>
          </c:cat>
          <c:val>
            <c:numRef>
              <c:f>Dashboard!$D$109:$D$112</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33C7-4740-B794-C2D3B5EB8A45}"/>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Dashboard!$B$109:$B$112</c:f>
              <c:strCache>
                <c:ptCount val="4"/>
                <c:pt idx="0">
                  <c:v>Low</c:v>
                </c:pt>
                <c:pt idx="1">
                  <c:v>Medium</c:v>
                </c:pt>
                <c:pt idx="2">
                  <c:v>High</c:v>
                </c:pt>
                <c:pt idx="3">
                  <c:v>Unassessed</c:v>
                </c:pt>
              </c:strCache>
            </c:strRef>
          </c:cat>
          <c:val>
            <c:numRef>
              <c:f>Dashboard!$E$109:$E$112</c:f>
              <c:numCache>
                <c:formatCode>General</c:formatCode>
                <c:ptCount val="4"/>
                <c:pt idx="0">
                  <c:v>0</c:v>
                </c:pt>
                <c:pt idx="1">
                  <c:v>0</c:v>
                </c:pt>
                <c:pt idx="2">
                  <c:v>0</c:v>
                </c:pt>
                <c:pt idx="3">
                  <c:v>460</c:v>
                </c:pt>
              </c:numCache>
            </c:numRef>
          </c:val>
          <c:extLst>
            <c:ext xmlns:c16="http://schemas.microsoft.com/office/drawing/2014/chart" uri="{C3380CC4-5D6E-409C-BE32-E72D297353CC}">
              <c16:uniqueId val="{00000002-33C7-4740-B794-C2D3B5EB8A4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Dashboard!$P$145:$P$174</c:f>
              <c:numCache>
                <c:formatCode>yyyy\-mm\-dd</c:formatCode>
                <c:ptCount val="30"/>
              </c:numCache>
            </c:numRef>
          </c:cat>
          <c:val>
            <c:numRef>
              <c:f>Dashboard!$R$145:$R$174</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7B06-4A15-A853-309C3FEBD934}"/>
            </c:ext>
          </c:extLst>
        </c:ser>
        <c:ser>
          <c:idx val="1"/>
          <c:order val="1"/>
          <c:tx>
            <c:v>Must % Resolved</c:v>
          </c:tx>
          <c:spPr>
            <a:ln w="22225" cap="rnd">
              <a:solidFill>
                <a:schemeClr val="accent2"/>
              </a:solidFill>
              <a:round/>
            </a:ln>
            <a:effectLst/>
          </c:spPr>
          <c:marker>
            <c:symbol val="none"/>
          </c:marker>
          <c:cat>
            <c:numRef>
              <c:f>Dashboard!$P$145:$P$174</c:f>
              <c:numCache>
                <c:formatCode>yyyy\-mm\-dd</c:formatCode>
                <c:ptCount val="30"/>
              </c:numCache>
            </c:numRef>
          </c:cat>
          <c:val>
            <c:numRef>
              <c:f>Dashboard!$T$145:$T$174</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7B06-4A15-A853-309C3FEBD934}"/>
            </c:ext>
          </c:extLst>
        </c:ser>
        <c:ser>
          <c:idx val="2"/>
          <c:order val="2"/>
          <c:tx>
            <c:v>Should % Resolved</c:v>
          </c:tx>
          <c:spPr>
            <a:ln w="22225" cap="rnd">
              <a:solidFill>
                <a:schemeClr val="accent3"/>
              </a:solidFill>
              <a:round/>
            </a:ln>
            <a:effectLst/>
          </c:spPr>
          <c:marker>
            <c:symbol val="none"/>
          </c:marker>
          <c:cat>
            <c:numRef>
              <c:f>Dashboard!$P$145:$P$174</c:f>
              <c:numCache>
                <c:formatCode>yyyy\-mm\-dd</c:formatCode>
                <c:ptCount val="30"/>
              </c:numCache>
            </c:numRef>
          </c:cat>
          <c:val>
            <c:numRef>
              <c:f>Dashboard!$V$145:$V$174</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7B06-4A15-A853-309C3FEBD934}"/>
            </c:ext>
          </c:extLst>
        </c:ser>
        <c:ser>
          <c:idx val="3"/>
          <c:order val="3"/>
          <c:tx>
            <c:v>Could % Resolved</c:v>
          </c:tx>
          <c:spPr>
            <a:ln w="22225" cap="rnd">
              <a:solidFill>
                <a:schemeClr val="accent4"/>
              </a:solidFill>
              <a:round/>
            </a:ln>
            <a:effectLst/>
          </c:spPr>
          <c:marker>
            <c:symbol val="none"/>
          </c:marker>
          <c:cat>
            <c:numRef>
              <c:f>Dashboard!$P$145:$P$174</c:f>
              <c:numCache>
                <c:formatCode>yyyy\-mm\-dd</c:formatCode>
                <c:ptCount val="30"/>
              </c:numCache>
            </c:numRef>
          </c:cat>
          <c:val>
            <c:numRef>
              <c:f>Dashboard!$X$145:$X$174</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7B06-4A15-A853-309C3FEBD934}"/>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Dashboard!$P$187:$P$206</c:f>
              <c:numCache>
                <c:formatCode>yyyy\-mm\-dd</c:formatCode>
                <c:ptCount val="20"/>
              </c:numCache>
            </c:numRef>
          </c:cat>
          <c:val>
            <c:numRef>
              <c:f>Dashboard!$R$187:$R$206</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2FBF-4C5F-9FB0-12E9AF55236A}"/>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0ywblf">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z042ro">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45</xdr:row>
      <xdr:rowOff>95250</xdr:rowOff>
    </xdr:from>
    <xdr:to>
      <xdr:col>15</xdr:col>
      <xdr:colOff>28575</xdr:colOff>
      <xdr:row>62</xdr:row>
      <xdr:rowOff>0</xdr:rowOff>
    </xdr:to>
    <xdr:graphicFrame macro="">
      <xdr:nvGraphicFramePr>
        <xdr:cNvPr id="4" name="Chartgupjtn">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80</xdr:row>
      <xdr:rowOff>47625</xdr:rowOff>
    </xdr:to>
    <xdr:graphicFrame macro="">
      <xdr:nvGraphicFramePr>
        <xdr:cNvPr id="5" name="Chartzw1xbk">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100</xdr:row>
      <xdr:rowOff>0</xdr:rowOff>
    </xdr:to>
    <xdr:graphicFrame macro="">
      <xdr:nvGraphicFramePr>
        <xdr:cNvPr id="6" name="Chartfzaz34">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103</xdr:row>
      <xdr:rowOff>95250</xdr:rowOff>
    </xdr:from>
    <xdr:to>
      <xdr:col>15</xdr:col>
      <xdr:colOff>28575</xdr:colOff>
      <xdr:row>118</xdr:row>
      <xdr:rowOff>142875</xdr:rowOff>
    </xdr:to>
    <xdr:graphicFrame macro="">
      <xdr:nvGraphicFramePr>
        <xdr:cNvPr id="7" name="Chartf5eugm">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140</xdr:row>
      <xdr:rowOff>95250</xdr:rowOff>
    </xdr:from>
    <xdr:to>
      <xdr:col>14</xdr:col>
      <xdr:colOff>0</xdr:colOff>
      <xdr:row>163</xdr:row>
      <xdr:rowOff>38100</xdr:rowOff>
    </xdr:to>
    <xdr:graphicFrame macro="">
      <xdr:nvGraphicFramePr>
        <xdr:cNvPr id="8" name="Chartdirc4q">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181</xdr:row>
      <xdr:rowOff>95250</xdr:rowOff>
    </xdr:from>
    <xdr:to>
      <xdr:col>14</xdr:col>
      <xdr:colOff>0</xdr:colOff>
      <xdr:row>199</xdr:row>
      <xdr:rowOff>123825</xdr:rowOff>
    </xdr:to>
    <xdr:graphicFrame macro="">
      <xdr:nvGraphicFramePr>
        <xdr:cNvPr id="9" name="Chartuopu5p">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N461">
  <autoFilter ref="A1:N461" xr:uid="{00000000-0009-0000-0100-000001000000}"/>
  <tableColumns count="14">
    <tableColumn id="1" xr3:uid="{00000000-0010-0000-0000-000001000000}" name="Id"/>
    <tableColumn id="2" xr3:uid="{00000000-0010-0000-0000-000002000000}" name="Title"/>
    <tableColumn id="3" xr3:uid="{00000000-0010-0000-0000-000003000000}" name="Severity"/>
    <tableColumn id="4" xr3:uid="{00000000-0010-0000-0000-000004000000}" name="Component"/>
    <tableColumn id="5" xr3:uid="{00000000-0010-0000-0000-000005000000}" name="MoSCoW"/>
    <tableColumn id="6" xr3:uid="{00000000-0010-0000-0000-000006000000}" name="OpsImpact"/>
    <tableColumn id="7" xr3:uid="{00000000-0010-0000-0000-000007000000}" name="Phase"/>
    <tableColumn id="8" xr3:uid="{00000000-0010-0000-0000-000008000000}" name="ImplStatus"/>
    <tableColumn id="9" xr3:uid="{00000000-0010-0000-0000-000009000000}" name="Notes"/>
    <tableColumn id="10" xr3:uid="{00000000-0010-0000-0000-00000A000000}" name="Remediation"/>
    <tableColumn id="11" xr3:uid="{00000000-0010-0000-0000-00000B000000}" name="Description"/>
    <tableColumn id="12" xr3:uid="{00000000-0010-0000-0000-00000C000000}" name="Audit"/>
    <tableColumn id="13" xr3:uid="{00000000-0010-0000-0000-00000D000000}" name="Status"/>
    <tableColumn id="14" xr3:uid="{00000000-0010-0000-0000-00000E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1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1972</v>
      </c>
    </row>
    <row r="3" spans="2:3" ht="15" customHeight="1" x14ac:dyDescent="0.35"/>
    <row r="4" spans="2:3" ht="58" x14ac:dyDescent="0.35">
      <c r="B4" s="20" t="s">
        <v>1973</v>
      </c>
      <c r="C4" s="21" t="s">
        <v>1974</v>
      </c>
    </row>
    <row r="5" spans="2:3" x14ac:dyDescent="0.35">
      <c r="C5" s="21" t="s">
        <v>1975</v>
      </c>
    </row>
    <row r="6" spans="2:3" x14ac:dyDescent="0.35">
      <c r="C6" s="18" t="s">
        <v>1976</v>
      </c>
    </row>
    <row r="7" spans="2:3" ht="10" customHeight="1" x14ac:dyDescent="0.35"/>
    <row r="8" spans="2:3" ht="232" x14ac:dyDescent="0.35">
      <c r="B8" s="22" t="s">
        <v>1977</v>
      </c>
      <c r="C8" s="21" t="s">
        <v>1978</v>
      </c>
    </row>
    <row r="9" spans="2:3" ht="10" customHeight="1" x14ac:dyDescent="0.35"/>
    <row r="10" spans="2:3" ht="35" customHeight="1" x14ac:dyDescent="0.35">
      <c r="B10" s="22" t="s">
        <v>1979</v>
      </c>
      <c r="C10" s="21" t="s">
        <v>1980</v>
      </c>
    </row>
    <row r="11" spans="2:3" ht="75" customHeight="1" x14ac:dyDescent="0.35">
      <c r="B11" s="18" t="s">
        <v>21</v>
      </c>
      <c r="C11" s="21" t="s">
        <v>1981</v>
      </c>
    </row>
    <row r="12" spans="2:3" ht="47" customHeight="1" x14ac:dyDescent="0.35">
      <c r="B12" s="18" t="s">
        <v>21</v>
      </c>
      <c r="C12" s="21" t="s">
        <v>1982</v>
      </c>
    </row>
    <row r="13" spans="2:3" ht="35" customHeight="1" x14ac:dyDescent="0.35">
      <c r="B13" s="18" t="s">
        <v>21</v>
      </c>
      <c r="C13" s="21" t="s">
        <v>1983</v>
      </c>
    </row>
    <row r="14" spans="2:3" ht="32" customHeight="1" x14ac:dyDescent="0.35">
      <c r="B14" s="18" t="s">
        <v>21</v>
      </c>
      <c r="C14" s="21" t="s">
        <v>1984</v>
      </c>
    </row>
    <row r="15" spans="2:3" ht="30" customHeight="1" x14ac:dyDescent="0.35">
      <c r="B15" s="18" t="s">
        <v>21</v>
      </c>
      <c r="C15" s="21" t="s">
        <v>1985</v>
      </c>
    </row>
    <row r="16" spans="2:3" ht="10" customHeight="1" x14ac:dyDescent="0.35"/>
    <row r="17" spans="1:3" ht="145" customHeight="1" x14ac:dyDescent="0.35">
      <c r="B17" s="22" t="s">
        <v>1986</v>
      </c>
      <c r="C17" s="21" t="s">
        <v>1987</v>
      </c>
    </row>
    <row r="18" spans="1:3" ht="10" customHeight="1" x14ac:dyDescent="0.35"/>
    <row r="19" spans="1:3" ht="3" customHeight="1" x14ac:dyDescent="0.35">
      <c r="B19" s="23"/>
      <c r="C19" s="23"/>
    </row>
    <row r="20" spans="1:3" ht="12" customHeight="1" x14ac:dyDescent="0.35"/>
    <row r="21" spans="1:3" ht="35" customHeight="1" x14ac:dyDescent="0.35">
      <c r="A21" s="25"/>
      <c r="B21" s="26" t="s">
        <v>1988</v>
      </c>
      <c r="C21" s="27" t="s">
        <v>1989</v>
      </c>
    </row>
    <row r="22" spans="1:3" ht="18" customHeight="1" x14ac:dyDescent="0.35">
      <c r="A22" s="25"/>
      <c r="B22" s="25" t="s">
        <v>21</v>
      </c>
      <c r="C22" s="27" t="s">
        <v>1990</v>
      </c>
    </row>
    <row r="23" spans="1:3" ht="18" customHeight="1" x14ac:dyDescent="0.35">
      <c r="A23" s="25"/>
      <c r="B23" s="25" t="s">
        <v>21</v>
      </c>
      <c r="C23" s="27" t="s">
        <v>1991</v>
      </c>
    </row>
    <row r="24" spans="1:3" ht="18" customHeight="1" x14ac:dyDescent="0.35">
      <c r="A24" s="25"/>
      <c r="B24" s="25" t="s">
        <v>21</v>
      </c>
      <c r="C24" s="27" t="s">
        <v>1992</v>
      </c>
    </row>
    <row r="25" spans="1:3" ht="18" customHeight="1" x14ac:dyDescent="0.35">
      <c r="A25" s="25"/>
      <c r="B25" s="25" t="s">
        <v>21</v>
      </c>
      <c r="C25" s="27" t="s">
        <v>1993</v>
      </c>
    </row>
    <row r="26" spans="1:3" ht="18" customHeight="1" x14ac:dyDescent="0.35">
      <c r="A26" s="25"/>
      <c r="B26" s="25" t="s">
        <v>21</v>
      </c>
      <c r="C26" s="27" t="s">
        <v>1994</v>
      </c>
    </row>
    <row r="27" spans="1:3" ht="18" customHeight="1" x14ac:dyDescent="0.35">
      <c r="A27" s="25"/>
      <c r="B27" s="25" t="s">
        <v>21</v>
      </c>
      <c r="C27" s="27" t="s">
        <v>1995</v>
      </c>
    </row>
    <row r="28" spans="1:3" ht="18" customHeight="1" x14ac:dyDescent="0.35">
      <c r="A28" s="25"/>
      <c r="B28" s="25" t="s">
        <v>21</v>
      </c>
      <c r="C28" s="27" t="s">
        <v>1996</v>
      </c>
    </row>
    <row r="29" spans="1:3" ht="18" customHeight="1" x14ac:dyDescent="0.35">
      <c r="A29" s="25"/>
      <c r="B29" s="25" t="s">
        <v>21</v>
      </c>
      <c r="C29" s="27" t="s">
        <v>1997</v>
      </c>
    </row>
    <row r="30" spans="1:3" ht="44" customHeight="1" x14ac:dyDescent="0.35">
      <c r="A30" s="25"/>
      <c r="B30" s="25" t="s">
        <v>21</v>
      </c>
      <c r="C30" s="28" t="s">
        <v>1998</v>
      </c>
    </row>
    <row r="31" spans="1:3" ht="10" customHeight="1" x14ac:dyDescent="0.35"/>
    <row r="32" spans="1:3" ht="3" customHeight="1" x14ac:dyDescent="0.35">
      <c r="B32" s="23"/>
      <c r="C32" s="23"/>
    </row>
    <row r="33" spans="2:3" ht="12" customHeight="1" x14ac:dyDescent="0.35"/>
    <row r="34" spans="2:3" ht="24" customHeight="1" x14ac:dyDescent="0.35">
      <c r="B34" s="29" t="s">
        <v>1999</v>
      </c>
      <c r="C34" s="30" t="s">
        <v>2000</v>
      </c>
    </row>
    <row r="35" spans="2:3" ht="18.5" x14ac:dyDescent="0.35">
      <c r="B35" s="29" t="s">
        <v>2001</v>
      </c>
      <c r="C35" s="31" t="s">
        <v>2002</v>
      </c>
    </row>
    <row r="36" spans="2:3" ht="27" customHeight="1" x14ac:dyDescent="0.35">
      <c r="B36" s="32" t="s">
        <v>2003</v>
      </c>
      <c r="C36" s="24" t="s">
        <v>2004</v>
      </c>
    </row>
    <row r="37" spans="2:3" x14ac:dyDescent="0.35">
      <c r="B37" s="29" t="s">
        <v>2005</v>
      </c>
      <c r="C37" s="33" t="s">
        <v>2006</v>
      </c>
    </row>
    <row r="38" spans="2:3" ht="10" customHeight="1" x14ac:dyDescent="0.35"/>
    <row r="39" spans="2:3" ht="174" x14ac:dyDescent="0.35">
      <c r="B39" s="29" t="s">
        <v>2007</v>
      </c>
      <c r="C39" s="34" t="s">
        <v>2008</v>
      </c>
    </row>
    <row r="40" spans="2:3" ht="10" customHeight="1" x14ac:dyDescent="0.35"/>
    <row r="41" spans="2:3" ht="20" customHeight="1" x14ac:dyDescent="0.35">
      <c r="B41" s="29" t="s">
        <v>2009</v>
      </c>
      <c r="C41" s="35" t="s">
        <v>17</v>
      </c>
    </row>
    <row r="42" spans="2:3" ht="29" x14ac:dyDescent="0.35">
      <c r="C42" s="21" t="s">
        <v>2010</v>
      </c>
    </row>
    <row r="43" spans="2:3" ht="10" customHeight="1" x14ac:dyDescent="0.35"/>
    <row r="44" spans="2:3" ht="20" customHeight="1" x14ac:dyDescent="0.35">
      <c r="C44" s="35" t="s">
        <v>47</v>
      </c>
    </row>
    <row r="45" spans="2:3" ht="29" x14ac:dyDescent="0.35">
      <c r="C45" s="21" t="s">
        <v>2011</v>
      </c>
    </row>
    <row r="46" spans="2:3" ht="10" customHeight="1" x14ac:dyDescent="0.35"/>
    <row r="47" spans="2:3" ht="20" customHeight="1" x14ac:dyDescent="0.35">
      <c r="C47" s="35" t="s">
        <v>319</v>
      </c>
    </row>
    <row r="48" spans="2:3" ht="29" x14ac:dyDescent="0.35">
      <c r="C48" s="21" t="s">
        <v>2012</v>
      </c>
    </row>
    <row r="49" spans="2:3" ht="10" customHeight="1" x14ac:dyDescent="0.35"/>
    <row r="50" spans="2:3" ht="20" customHeight="1" x14ac:dyDescent="0.35">
      <c r="C50" s="35" t="s">
        <v>1235</v>
      </c>
    </row>
    <row r="51" spans="2:3" ht="29" x14ac:dyDescent="0.35">
      <c r="C51" s="21" t="s">
        <v>2013</v>
      </c>
    </row>
    <row r="52" spans="2:3" ht="10" customHeight="1" x14ac:dyDescent="0.35"/>
    <row r="53" spans="2:3" ht="43.5" x14ac:dyDescent="0.35">
      <c r="B53" s="29" t="s">
        <v>2014</v>
      </c>
      <c r="C53" s="21" t="s">
        <v>2015</v>
      </c>
    </row>
    <row r="54" spans="2:3" ht="10" customHeight="1" x14ac:dyDescent="0.35"/>
    <row r="55" spans="2:3" ht="15.5" x14ac:dyDescent="0.35">
      <c r="C55" s="36" t="s">
        <v>163</v>
      </c>
    </row>
    <row r="56" spans="2:3" ht="29" x14ac:dyDescent="0.35">
      <c r="C56" s="21" t="s">
        <v>2016</v>
      </c>
    </row>
    <row r="57" spans="2:3" ht="10" customHeight="1" x14ac:dyDescent="0.35"/>
    <row r="58" spans="2:3" ht="15.5" x14ac:dyDescent="0.35">
      <c r="C58" s="37" t="s">
        <v>16</v>
      </c>
    </row>
    <row r="59" spans="2:3" ht="29" x14ac:dyDescent="0.35">
      <c r="C59" s="21" t="s">
        <v>2017</v>
      </c>
    </row>
    <row r="60" spans="2:3" ht="10" customHeight="1" x14ac:dyDescent="0.35"/>
    <row r="61" spans="2:3" ht="15.5" x14ac:dyDescent="0.35">
      <c r="C61" s="38" t="s">
        <v>96</v>
      </c>
    </row>
    <row r="62" spans="2:3" ht="29" x14ac:dyDescent="0.35">
      <c r="C62" s="21" t="s">
        <v>2018</v>
      </c>
    </row>
    <row r="63" spans="2:3" ht="10" customHeight="1" x14ac:dyDescent="0.35"/>
    <row r="64" spans="2:3" ht="3" customHeight="1" x14ac:dyDescent="0.35">
      <c r="B64" s="23"/>
      <c r="C64" s="23"/>
    </row>
    <row r="65" spans="2:3" ht="12" customHeight="1" x14ac:dyDescent="0.35"/>
    <row r="66" spans="2:3" ht="130.5" x14ac:dyDescent="0.35">
      <c r="B66" s="20" t="s">
        <v>2019</v>
      </c>
      <c r="C66" s="21" t="s">
        <v>2020</v>
      </c>
    </row>
    <row r="67" spans="2:3" ht="6" customHeight="1" x14ac:dyDescent="0.35"/>
    <row r="68" spans="2:3" ht="217.5" x14ac:dyDescent="0.35">
      <c r="C68" s="21" t="s">
        <v>2021</v>
      </c>
    </row>
    <row r="69" spans="2:3" ht="6" customHeight="1" x14ac:dyDescent="0.35"/>
    <row r="70" spans="2:3" ht="43.5" x14ac:dyDescent="0.35">
      <c r="C70" s="21" t="s">
        <v>2022</v>
      </c>
    </row>
    <row r="71" spans="2:3" ht="10" customHeight="1" x14ac:dyDescent="0.35"/>
    <row r="72" spans="2:3" ht="3" customHeight="1" x14ac:dyDescent="0.35">
      <c r="B72" s="23"/>
      <c r="C72" s="23"/>
    </row>
    <row r="73" spans="2:3" ht="12" customHeight="1" x14ac:dyDescent="0.35"/>
    <row r="74" spans="2:3" ht="145" x14ac:dyDescent="0.35">
      <c r="B74" s="20" t="s">
        <v>2023</v>
      </c>
      <c r="C74" s="21" t="s">
        <v>2024</v>
      </c>
    </row>
    <row r="75" spans="2:3" ht="6" customHeight="1" x14ac:dyDescent="0.35"/>
    <row r="76" spans="2:3" ht="203" x14ac:dyDescent="0.35">
      <c r="C76" s="21" t="s">
        <v>2025</v>
      </c>
    </row>
    <row r="77" spans="2:3" ht="6" customHeight="1" x14ac:dyDescent="0.35"/>
    <row r="78" spans="2:3" ht="43.5" x14ac:dyDescent="0.35">
      <c r="C78" s="21" t="s">
        <v>2026</v>
      </c>
    </row>
    <row r="79" spans="2:3" ht="10" customHeight="1" x14ac:dyDescent="0.35"/>
    <row r="80" spans="2:3" ht="3" customHeight="1" x14ac:dyDescent="0.35">
      <c r="B80" s="23"/>
      <c r="C80" s="23"/>
    </row>
    <row r="81" spans="2:3" ht="12" customHeight="1" x14ac:dyDescent="0.35"/>
    <row r="82" spans="2:3" ht="101.5" x14ac:dyDescent="0.35">
      <c r="B82" s="20" t="s">
        <v>2027</v>
      </c>
      <c r="C82" s="21" t="s">
        <v>2028</v>
      </c>
    </row>
    <row r="83" spans="2:3" ht="6" customHeight="1" x14ac:dyDescent="0.35"/>
    <row r="84" spans="2:3" ht="145" x14ac:dyDescent="0.35">
      <c r="C84" s="21" t="s">
        <v>2029</v>
      </c>
    </row>
    <row r="85" spans="2:3" ht="6" customHeight="1" x14ac:dyDescent="0.35"/>
    <row r="86" spans="2:3" ht="43.5" x14ac:dyDescent="0.35">
      <c r="C86" s="21" t="s">
        <v>2030</v>
      </c>
    </row>
    <row r="87" spans="2:3" ht="10" customHeight="1" x14ac:dyDescent="0.35"/>
    <row r="88" spans="2:3" ht="3" customHeight="1" x14ac:dyDescent="0.35">
      <c r="B88" s="23"/>
      <c r="C88" s="23"/>
    </row>
    <row r="89" spans="2:3" ht="12" customHeight="1" x14ac:dyDescent="0.35"/>
    <row r="90" spans="2:3" ht="26" customHeight="1" x14ac:dyDescent="0.35">
      <c r="B90" s="39" t="s">
        <v>2031</v>
      </c>
    </row>
    <row r="91" spans="2:3" ht="8" customHeight="1" x14ac:dyDescent="0.35"/>
    <row r="92" spans="2:3" ht="20" customHeight="1" x14ac:dyDescent="0.35">
      <c r="B92" s="29" t="s">
        <v>2032</v>
      </c>
      <c r="C92" s="40" t="s">
        <v>2033</v>
      </c>
    </row>
    <row r="93" spans="2:3" ht="116" x14ac:dyDescent="0.35">
      <c r="C93" s="21" t="s">
        <v>2034</v>
      </c>
    </row>
    <row r="94" spans="2:3" ht="10" customHeight="1" x14ac:dyDescent="0.35"/>
    <row r="95" spans="2:3" ht="20" customHeight="1" x14ac:dyDescent="0.35">
      <c r="B95" s="29" t="s">
        <v>2035</v>
      </c>
      <c r="C95" s="40" t="s">
        <v>2036</v>
      </c>
    </row>
    <row r="96" spans="2:3" ht="116" x14ac:dyDescent="0.35">
      <c r="C96" s="21" t="s">
        <v>2037</v>
      </c>
    </row>
    <row r="97" spans="2:3" ht="10" customHeight="1" x14ac:dyDescent="0.35"/>
    <row r="98" spans="2:3" ht="20" customHeight="1" x14ac:dyDescent="0.35">
      <c r="B98" s="29" t="s">
        <v>2038</v>
      </c>
      <c r="C98" s="40" t="s">
        <v>2039</v>
      </c>
    </row>
    <row r="99" spans="2:3" ht="130.5" x14ac:dyDescent="0.35">
      <c r="C99" s="21" t="s">
        <v>2040</v>
      </c>
    </row>
    <row r="100" spans="2:3" ht="10" customHeight="1" x14ac:dyDescent="0.35"/>
    <row r="101" spans="2:3" ht="20" customHeight="1" x14ac:dyDescent="0.35">
      <c r="B101" s="29" t="s">
        <v>2041</v>
      </c>
      <c r="C101" s="40" t="s">
        <v>2042</v>
      </c>
    </row>
    <row r="102" spans="2:3" ht="130.5" x14ac:dyDescent="0.35">
      <c r="C102" s="21" t="s">
        <v>2043</v>
      </c>
    </row>
    <row r="103" spans="2:3" ht="10" customHeight="1" x14ac:dyDescent="0.35"/>
    <row r="104" spans="2:3" ht="20" customHeight="1" x14ac:dyDescent="0.35">
      <c r="B104" s="29" t="s">
        <v>2044</v>
      </c>
      <c r="C104" s="40" t="s">
        <v>2045</v>
      </c>
    </row>
    <row r="105" spans="2:3" ht="116" x14ac:dyDescent="0.35">
      <c r="C105" s="21" t="s">
        <v>2046</v>
      </c>
    </row>
    <row r="106" spans="2:3" ht="10" customHeight="1" x14ac:dyDescent="0.35"/>
    <row r="107" spans="2:3" ht="20" customHeight="1" x14ac:dyDescent="0.35">
      <c r="B107" s="29" t="s">
        <v>2047</v>
      </c>
      <c r="C107" s="40" t="s">
        <v>2048</v>
      </c>
    </row>
    <row r="108" spans="2:3" ht="116" x14ac:dyDescent="0.35">
      <c r="C108" s="21" t="s">
        <v>2049</v>
      </c>
    </row>
    <row r="109" spans="2:3" ht="10" customHeight="1" x14ac:dyDescent="0.35"/>
    <row r="110" spans="2:3" ht="20" customHeight="1" x14ac:dyDescent="0.35">
      <c r="B110" s="29" t="s">
        <v>2050</v>
      </c>
      <c r="C110" s="40" t="s">
        <v>2051</v>
      </c>
    </row>
    <row r="111" spans="2:3" ht="130.5" x14ac:dyDescent="0.35">
      <c r="C111" s="21" t="s">
        <v>2052</v>
      </c>
    </row>
    <row r="112" spans="2:3" ht="10" customHeight="1" x14ac:dyDescent="0.35"/>
    <row r="113" spans="2:3" ht="20" customHeight="1" x14ac:dyDescent="0.35">
      <c r="B113" s="29" t="s">
        <v>2053</v>
      </c>
      <c r="C113" s="40" t="s">
        <v>2054</v>
      </c>
    </row>
    <row r="114" spans="2:3" ht="203" x14ac:dyDescent="0.35">
      <c r="C114" s="21" t="s">
        <v>2055</v>
      </c>
    </row>
    <row r="115" spans="2:3" ht="10" customHeight="1" x14ac:dyDescent="0.35"/>
    <row r="118" spans="2:3" ht="32" customHeight="1" x14ac:dyDescent="0.35">
      <c r="B118" s="291" t="s">
        <v>1971</v>
      </c>
      <c r="C118" s="291"/>
    </row>
  </sheetData>
  <sheetProtection password="90EA" sheet="1"/>
  <mergeCells count="1">
    <mergeCell ref="B118:C118"/>
  </mergeCells>
  <hyperlinks>
    <hyperlink ref="C5" r:id="rId1" xr:uid="{00000000-0004-0000-0000-000000000000}"/>
    <hyperlink ref="C6" r:id="rId2" xr:uid="{00000000-0004-0000-0000-000001000000}"/>
    <hyperlink ref="C37" r:id="rId3" xr:uid="{00000000-0004-0000-0000-000002000000}"/>
    <hyperlink ref="B118"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32" t="s">
        <v>4739</v>
      </c>
      <c r="B1" s="233" t="s">
        <v>0</v>
      </c>
      <c r="C1" s="233" t="s">
        <v>2216</v>
      </c>
      <c r="D1" s="233" t="s">
        <v>2217</v>
      </c>
      <c r="E1" s="233" t="s">
        <v>2222</v>
      </c>
      <c r="F1" s="233" t="s">
        <v>2223</v>
      </c>
      <c r="G1" s="233" t="s">
        <v>2224</v>
      </c>
      <c r="H1" s="233" t="s">
        <v>2225</v>
      </c>
      <c r="I1" s="233" t="s">
        <v>2226</v>
      </c>
      <c r="J1" s="233" t="s">
        <v>2227</v>
      </c>
      <c r="K1" s="233" t="s">
        <v>2228</v>
      </c>
      <c r="L1" s="233" t="s">
        <v>2229</v>
      </c>
      <c r="M1" s="233" t="s">
        <v>2230</v>
      </c>
      <c r="N1" s="233" t="s">
        <v>2231</v>
      </c>
      <c r="O1" s="233" t="s">
        <v>2232</v>
      </c>
      <c r="P1" s="233" t="s">
        <v>2233</v>
      </c>
      <c r="Q1" s="233" t="s">
        <v>2234</v>
      </c>
      <c r="R1" s="233" t="s">
        <v>2235</v>
      </c>
      <c r="S1" s="233" t="s">
        <v>2236</v>
      </c>
      <c r="T1" s="233" t="s">
        <v>2237</v>
      </c>
      <c r="U1" s="233" t="s">
        <v>2238</v>
      </c>
      <c r="V1" s="233" t="s">
        <v>2239</v>
      </c>
      <c r="W1" s="233" t="s">
        <v>2240</v>
      </c>
      <c r="X1" s="233" t="s">
        <v>2241</v>
      </c>
      <c r="Y1" s="233" t="s">
        <v>2242</v>
      </c>
      <c r="Z1" s="233" t="s">
        <v>2243</v>
      </c>
      <c r="AA1" s="233" t="s">
        <v>2244</v>
      </c>
      <c r="AB1" s="233" t="s">
        <v>2245</v>
      </c>
      <c r="AC1" s="233" t="s">
        <v>2246</v>
      </c>
      <c r="AD1" s="233" t="s">
        <v>2247</v>
      </c>
      <c r="AE1" s="233" t="s">
        <v>2248</v>
      </c>
      <c r="AF1" s="233" t="s">
        <v>2249</v>
      </c>
      <c r="AG1" s="233" t="s">
        <v>2250</v>
      </c>
      <c r="AH1" s="233" t="s">
        <v>2251</v>
      </c>
      <c r="AI1" s="233" t="s">
        <v>2252</v>
      </c>
      <c r="AJ1" s="233" t="s">
        <v>2253</v>
      </c>
      <c r="AK1" s="233" t="s">
        <v>2254</v>
      </c>
      <c r="AL1" s="233" t="s">
        <v>2255</v>
      </c>
      <c r="AM1" s="233" t="s">
        <v>2256</v>
      </c>
      <c r="AN1" s="233" t="s">
        <v>2257</v>
      </c>
      <c r="AO1" s="233" t="s">
        <v>2258</v>
      </c>
      <c r="AP1" s="233" t="s">
        <v>2259</v>
      </c>
      <c r="AQ1" s="233" t="s">
        <v>2260</v>
      </c>
      <c r="AR1" s="233" t="s">
        <v>2261</v>
      </c>
      <c r="AS1" s="234" t="s">
        <v>2262</v>
      </c>
    </row>
    <row r="2" spans="1:45" ht="60" customHeight="1" outlineLevel="1" x14ac:dyDescent="0.35">
      <c r="A2" s="226" t="s">
        <v>4740</v>
      </c>
      <c r="B2" s="213" t="s">
        <v>4741</v>
      </c>
      <c r="C2" s="212"/>
      <c r="D2" s="216"/>
      <c r="E2" s="218" t="str">
        <f>IF(COUNTIF(F2:AS2,"&lt;&gt;")=0,"",SUMPRODUCT(((Recommendations[ImplStatus]="Implemented")+(Recommendations[ImplStatus]="Compensated"))*ISNUMBER(MATCH(Recommendations[Id],F2:AS2,0)))/COUNTIF(F2:AS2,"&lt;&gt;"))</f>
        <v/>
      </c>
      <c r="F2" s="212"/>
      <c r="G2" s="212"/>
      <c r="H2" s="212"/>
      <c r="I2" s="212"/>
      <c r="J2" s="212"/>
      <c r="K2" s="212"/>
      <c r="L2" s="212"/>
      <c r="M2" s="212"/>
      <c r="N2" s="212"/>
      <c r="O2" s="212"/>
      <c r="P2" s="212"/>
      <c r="Q2" s="212"/>
      <c r="R2" s="212"/>
      <c r="S2" s="212"/>
      <c r="T2" s="212"/>
      <c r="U2" s="212"/>
      <c r="V2" s="212"/>
      <c r="W2" s="212"/>
      <c r="X2" s="212"/>
      <c r="Y2" s="212"/>
      <c r="Z2" s="212"/>
      <c r="AA2" s="212"/>
      <c r="AB2" s="212"/>
      <c r="AC2" s="212"/>
      <c r="AD2" s="212"/>
      <c r="AE2" s="212"/>
      <c r="AF2" s="212"/>
      <c r="AG2" s="212"/>
      <c r="AH2" s="212"/>
      <c r="AI2" s="212"/>
      <c r="AJ2" s="212"/>
      <c r="AK2" s="212"/>
      <c r="AL2" s="212"/>
      <c r="AM2" s="212"/>
      <c r="AN2" s="212"/>
      <c r="AO2" s="212"/>
      <c r="AP2" s="212"/>
      <c r="AQ2" s="212"/>
      <c r="AR2" s="212"/>
      <c r="AS2" s="229"/>
    </row>
    <row r="3" spans="1:45" ht="60" customHeight="1" x14ac:dyDescent="0.35">
      <c r="A3" s="227" t="s">
        <v>4740</v>
      </c>
      <c r="B3" s="214" t="s">
        <v>4742</v>
      </c>
      <c r="C3" s="215" t="s">
        <v>4743</v>
      </c>
      <c r="D3" s="217" t="s">
        <v>4744</v>
      </c>
      <c r="E3" s="219" t="str">
        <f>IF(COUNTIF(F3:AS3,"&lt;&gt;")=0,"",SUMPRODUCT(((Recommendations[ImplStatus]="Implemented")+(Recommendations[ImplStatus]="Compensated"))*ISNUMBER(MATCH(Recommendations[Id],F3:AS3,0)))/COUNTIF(F3:AS3,"&lt;&gt;"))</f>
        <v/>
      </c>
      <c r="F3" s="220"/>
      <c r="G3" s="220"/>
      <c r="H3" s="220"/>
      <c r="I3" s="220"/>
      <c r="J3" s="220"/>
      <c r="K3" s="220"/>
      <c r="L3" s="220"/>
      <c r="M3" s="220"/>
      <c r="N3" s="220"/>
      <c r="O3" s="220"/>
      <c r="P3" s="220"/>
      <c r="Q3" s="220"/>
      <c r="R3" s="220"/>
      <c r="S3" s="220"/>
      <c r="T3" s="220"/>
      <c r="U3" s="220"/>
      <c r="V3" s="220"/>
      <c r="W3" s="220"/>
      <c r="X3" s="220"/>
      <c r="Y3" s="220"/>
      <c r="Z3" s="220"/>
      <c r="AA3" s="220"/>
      <c r="AB3" s="220"/>
      <c r="AC3" s="220"/>
      <c r="AD3" s="220"/>
      <c r="AE3" s="220"/>
      <c r="AF3" s="220"/>
      <c r="AG3" s="220"/>
      <c r="AH3" s="220"/>
      <c r="AI3" s="220"/>
      <c r="AJ3" s="220"/>
      <c r="AK3" s="220"/>
      <c r="AL3" s="220"/>
      <c r="AM3" s="220"/>
      <c r="AN3" s="220"/>
      <c r="AO3" s="220"/>
      <c r="AP3" s="220"/>
      <c r="AQ3" s="220"/>
      <c r="AR3" s="220"/>
      <c r="AS3" s="230"/>
    </row>
    <row r="4" spans="1:45" ht="60" customHeight="1" x14ac:dyDescent="0.35">
      <c r="A4" s="227" t="s">
        <v>4740</v>
      </c>
      <c r="B4" s="214" t="s">
        <v>4745</v>
      </c>
      <c r="C4" s="215" t="s">
        <v>4746</v>
      </c>
      <c r="D4" s="217" t="s">
        <v>4747</v>
      </c>
      <c r="E4" s="219" t="str">
        <f>IF(COUNTIF(F4:AS4,"&lt;&gt;")=0,"",SUMPRODUCT(((Recommendations[ImplStatus]="Implemented")+(Recommendations[ImplStatus]="Compensated"))*ISNUMBER(MATCH(Recommendations[Id],F4:AS4,0)))/COUNTIF(F4:AS4,"&lt;&gt;"))</f>
        <v/>
      </c>
      <c r="F4" s="220"/>
      <c r="G4" s="220"/>
      <c r="H4" s="220"/>
      <c r="I4" s="220"/>
      <c r="J4" s="220"/>
      <c r="K4" s="220"/>
      <c r="L4" s="220"/>
      <c r="M4" s="220"/>
      <c r="N4" s="220"/>
      <c r="O4" s="220"/>
      <c r="P4" s="220"/>
      <c r="Q4" s="220"/>
      <c r="R4" s="220"/>
      <c r="S4" s="220"/>
      <c r="T4" s="220"/>
      <c r="U4" s="220"/>
      <c r="V4" s="220"/>
      <c r="W4" s="220"/>
      <c r="X4" s="220"/>
      <c r="Y4" s="220"/>
      <c r="Z4" s="220"/>
      <c r="AA4" s="220"/>
      <c r="AB4" s="220"/>
      <c r="AC4" s="220"/>
      <c r="AD4" s="220"/>
      <c r="AE4" s="220"/>
      <c r="AF4" s="220"/>
      <c r="AG4" s="220"/>
      <c r="AH4" s="220"/>
      <c r="AI4" s="220"/>
      <c r="AJ4" s="220"/>
      <c r="AK4" s="220"/>
      <c r="AL4" s="220"/>
      <c r="AM4" s="220"/>
      <c r="AN4" s="220"/>
      <c r="AO4" s="220"/>
      <c r="AP4" s="220"/>
      <c r="AQ4" s="220"/>
      <c r="AR4" s="220"/>
      <c r="AS4" s="230"/>
    </row>
    <row r="5" spans="1:45" ht="60" customHeight="1" x14ac:dyDescent="0.35">
      <c r="A5" s="227" t="s">
        <v>4740</v>
      </c>
      <c r="B5" s="214" t="s">
        <v>4748</v>
      </c>
      <c r="C5" s="215" t="s">
        <v>4749</v>
      </c>
      <c r="D5" s="217" t="s">
        <v>4750</v>
      </c>
      <c r="E5" s="219" t="str">
        <f>IF(COUNTIF(F5:AS5,"&lt;&gt;")=0,"",SUMPRODUCT(((Recommendations[ImplStatus]="Implemented")+(Recommendations[ImplStatus]="Compensated"))*ISNUMBER(MATCH(Recommendations[Id],F5:AS5,0)))/COUNTIF(F5:AS5,"&lt;&gt;"))</f>
        <v/>
      </c>
      <c r="F5" s="220"/>
      <c r="G5" s="220"/>
      <c r="H5" s="220"/>
      <c r="I5" s="220"/>
      <c r="J5" s="220"/>
      <c r="K5" s="220"/>
      <c r="L5" s="220"/>
      <c r="M5" s="220"/>
      <c r="N5" s="220"/>
      <c r="O5" s="220"/>
      <c r="P5" s="220"/>
      <c r="Q5" s="220"/>
      <c r="R5" s="220"/>
      <c r="S5" s="220"/>
      <c r="T5" s="220"/>
      <c r="U5" s="220"/>
      <c r="V5" s="220"/>
      <c r="W5" s="220"/>
      <c r="X5" s="220"/>
      <c r="Y5" s="220"/>
      <c r="Z5" s="220"/>
      <c r="AA5" s="220"/>
      <c r="AB5" s="220"/>
      <c r="AC5" s="220"/>
      <c r="AD5" s="220"/>
      <c r="AE5" s="220"/>
      <c r="AF5" s="220"/>
      <c r="AG5" s="220"/>
      <c r="AH5" s="220"/>
      <c r="AI5" s="220"/>
      <c r="AJ5" s="220"/>
      <c r="AK5" s="220"/>
      <c r="AL5" s="220"/>
      <c r="AM5" s="220"/>
      <c r="AN5" s="220"/>
      <c r="AO5" s="220"/>
      <c r="AP5" s="220"/>
      <c r="AQ5" s="220"/>
      <c r="AR5" s="220"/>
      <c r="AS5" s="230"/>
    </row>
    <row r="6" spans="1:45" ht="60" customHeight="1" x14ac:dyDescent="0.35">
      <c r="A6" s="227" t="s">
        <v>4740</v>
      </c>
      <c r="B6" s="214" t="s">
        <v>4751</v>
      </c>
      <c r="C6" s="215" t="s">
        <v>4752</v>
      </c>
      <c r="D6" s="217" t="s">
        <v>4753</v>
      </c>
      <c r="E6" s="219" t="str">
        <f>IF(COUNTIF(F6:AS6,"&lt;&gt;")=0,"",SUMPRODUCT(((Recommendations[ImplStatus]="Implemented")+(Recommendations[ImplStatus]="Compensated"))*ISNUMBER(MATCH(Recommendations[Id],F6:AS6,0)))/COUNTIF(F6:AS6,"&lt;&gt;"))</f>
        <v/>
      </c>
      <c r="F6" s="220"/>
      <c r="G6" s="220"/>
      <c r="H6" s="220"/>
      <c r="I6" s="220"/>
      <c r="J6" s="220"/>
      <c r="K6" s="220"/>
      <c r="L6" s="220"/>
      <c r="M6" s="220"/>
      <c r="N6" s="220"/>
      <c r="O6" s="220"/>
      <c r="P6" s="220"/>
      <c r="Q6" s="220"/>
      <c r="R6" s="220"/>
      <c r="S6" s="220"/>
      <c r="T6" s="220"/>
      <c r="U6" s="220"/>
      <c r="V6" s="220"/>
      <c r="W6" s="220"/>
      <c r="X6" s="220"/>
      <c r="Y6" s="220"/>
      <c r="Z6" s="220"/>
      <c r="AA6" s="220"/>
      <c r="AB6" s="220"/>
      <c r="AC6" s="220"/>
      <c r="AD6" s="220"/>
      <c r="AE6" s="220"/>
      <c r="AF6" s="220"/>
      <c r="AG6" s="220"/>
      <c r="AH6" s="220"/>
      <c r="AI6" s="220"/>
      <c r="AJ6" s="220"/>
      <c r="AK6" s="220"/>
      <c r="AL6" s="220"/>
      <c r="AM6" s="220"/>
      <c r="AN6" s="220"/>
      <c r="AO6" s="220"/>
      <c r="AP6" s="220"/>
      <c r="AQ6" s="220"/>
      <c r="AR6" s="220"/>
      <c r="AS6" s="230"/>
    </row>
    <row r="7" spans="1:45" ht="60" customHeight="1" x14ac:dyDescent="0.35">
      <c r="A7" s="227" t="s">
        <v>4740</v>
      </c>
      <c r="B7" s="214" t="s">
        <v>4754</v>
      </c>
      <c r="C7" s="215" t="s">
        <v>4755</v>
      </c>
      <c r="D7" s="217" t="s">
        <v>4756</v>
      </c>
      <c r="E7" s="219" t="str">
        <f>IF(COUNTIF(F7:AS7,"&lt;&gt;")=0,"",SUMPRODUCT(((Recommendations[ImplStatus]="Implemented")+(Recommendations[ImplStatus]="Compensated"))*ISNUMBER(MATCH(Recommendations[Id],F7:AS7,0)))/COUNTIF(F7:AS7,"&lt;&gt;"))</f>
        <v/>
      </c>
      <c r="F7" s="220"/>
      <c r="G7" s="220"/>
      <c r="H7" s="220"/>
      <c r="I7" s="220"/>
      <c r="J7" s="220"/>
      <c r="K7" s="220"/>
      <c r="L7" s="220"/>
      <c r="M7" s="220"/>
      <c r="N7" s="220"/>
      <c r="O7" s="220"/>
      <c r="P7" s="220"/>
      <c r="Q7" s="220"/>
      <c r="R7" s="220"/>
      <c r="S7" s="220"/>
      <c r="T7" s="220"/>
      <c r="U7" s="220"/>
      <c r="V7" s="220"/>
      <c r="W7" s="220"/>
      <c r="X7" s="220"/>
      <c r="Y7" s="220"/>
      <c r="Z7" s="220"/>
      <c r="AA7" s="220"/>
      <c r="AB7" s="220"/>
      <c r="AC7" s="220"/>
      <c r="AD7" s="220"/>
      <c r="AE7" s="220"/>
      <c r="AF7" s="220"/>
      <c r="AG7" s="220"/>
      <c r="AH7" s="220"/>
      <c r="AI7" s="220"/>
      <c r="AJ7" s="220"/>
      <c r="AK7" s="220"/>
      <c r="AL7" s="220"/>
      <c r="AM7" s="220"/>
      <c r="AN7" s="220"/>
      <c r="AO7" s="220"/>
      <c r="AP7" s="220"/>
      <c r="AQ7" s="220"/>
      <c r="AR7" s="220"/>
      <c r="AS7" s="230"/>
    </row>
    <row r="8" spans="1:45" ht="60" customHeight="1" x14ac:dyDescent="0.35">
      <c r="A8" s="227" t="s">
        <v>4740</v>
      </c>
      <c r="B8" s="214" t="s">
        <v>4757</v>
      </c>
      <c r="C8" s="215" t="s">
        <v>4758</v>
      </c>
      <c r="D8" s="217" t="s">
        <v>4759</v>
      </c>
      <c r="E8" s="219" t="str">
        <f>IF(COUNTIF(F8:AS8,"&lt;&gt;")=0,"",SUMPRODUCT(((Recommendations[ImplStatus]="Implemented")+(Recommendations[ImplStatus]="Compensated"))*ISNUMBER(MATCH(Recommendations[Id],F8:AS8,0)))/COUNTIF(F8:AS8,"&lt;&gt;"))</f>
        <v/>
      </c>
      <c r="F8" s="220"/>
      <c r="G8" s="220"/>
      <c r="H8" s="220"/>
      <c r="I8" s="220"/>
      <c r="J8" s="220"/>
      <c r="K8" s="220"/>
      <c r="L8" s="220"/>
      <c r="M8" s="220"/>
      <c r="N8" s="220"/>
      <c r="O8" s="220"/>
      <c r="P8" s="220"/>
      <c r="Q8" s="220"/>
      <c r="R8" s="220"/>
      <c r="S8" s="220"/>
      <c r="T8" s="220"/>
      <c r="U8" s="220"/>
      <c r="V8" s="220"/>
      <c r="W8" s="220"/>
      <c r="X8" s="220"/>
      <c r="Y8" s="220"/>
      <c r="Z8" s="220"/>
      <c r="AA8" s="220"/>
      <c r="AB8" s="220"/>
      <c r="AC8" s="220"/>
      <c r="AD8" s="220"/>
      <c r="AE8" s="220"/>
      <c r="AF8" s="220"/>
      <c r="AG8" s="220"/>
      <c r="AH8" s="220"/>
      <c r="AI8" s="220"/>
      <c r="AJ8" s="220"/>
      <c r="AK8" s="220"/>
      <c r="AL8" s="220"/>
      <c r="AM8" s="220"/>
      <c r="AN8" s="220"/>
      <c r="AO8" s="220"/>
      <c r="AP8" s="220"/>
      <c r="AQ8" s="220"/>
      <c r="AR8" s="220"/>
      <c r="AS8" s="230"/>
    </row>
    <row r="9" spans="1:45" ht="60" customHeight="1" x14ac:dyDescent="0.35">
      <c r="A9" s="227" t="s">
        <v>4740</v>
      </c>
      <c r="B9" s="214" t="s">
        <v>4760</v>
      </c>
      <c r="C9" s="215" t="s">
        <v>4761</v>
      </c>
      <c r="D9" s="217" t="s">
        <v>4762</v>
      </c>
      <c r="E9" s="219" t="str">
        <f>IF(COUNTIF(F9:AS9,"&lt;&gt;")=0,"",SUMPRODUCT(((Recommendations[ImplStatus]="Implemented")+(Recommendations[ImplStatus]="Compensated"))*ISNUMBER(MATCH(Recommendations[Id],F9:AS9,0)))/COUNTIF(F9:AS9,"&lt;&gt;"))</f>
        <v/>
      </c>
      <c r="F9" s="220"/>
      <c r="G9" s="220"/>
      <c r="H9" s="220"/>
      <c r="I9" s="220"/>
      <c r="J9" s="220"/>
      <c r="K9" s="220"/>
      <c r="L9" s="220"/>
      <c r="M9" s="220"/>
      <c r="N9" s="220"/>
      <c r="O9" s="220"/>
      <c r="P9" s="220"/>
      <c r="Q9" s="220"/>
      <c r="R9" s="220"/>
      <c r="S9" s="220"/>
      <c r="T9" s="220"/>
      <c r="U9" s="220"/>
      <c r="V9" s="220"/>
      <c r="W9" s="220"/>
      <c r="X9" s="220"/>
      <c r="Y9" s="220"/>
      <c r="Z9" s="220"/>
      <c r="AA9" s="220"/>
      <c r="AB9" s="220"/>
      <c r="AC9" s="220"/>
      <c r="AD9" s="220"/>
      <c r="AE9" s="220"/>
      <c r="AF9" s="220"/>
      <c r="AG9" s="220"/>
      <c r="AH9" s="220"/>
      <c r="AI9" s="220"/>
      <c r="AJ9" s="220"/>
      <c r="AK9" s="220"/>
      <c r="AL9" s="220"/>
      <c r="AM9" s="220"/>
      <c r="AN9" s="220"/>
      <c r="AO9" s="220"/>
      <c r="AP9" s="220"/>
      <c r="AQ9" s="220"/>
      <c r="AR9" s="220"/>
      <c r="AS9" s="230"/>
    </row>
    <row r="10" spans="1:45" ht="60" customHeight="1" x14ac:dyDescent="0.35">
      <c r="A10" s="227" t="s">
        <v>4740</v>
      </c>
      <c r="B10" s="214" t="s">
        <v>4763</v>
      </c>
      <c r="C10" s="215" t="s">
        <v>4764</v>
      </c>
      <c r="D10" s="217" t="s">
        <v>4765</v>
      </c>
      <c r="E10" s="219" t="str">
        <f>IF(COUNTIF(F10:AS10,"&lt;&gt;")=0,"",SUMPRODUCT(((Recommendations[ImplStatus]="Implemented")+(Recommendations[ImplStatus]="Compensated"))*ISNUMBER(MATCH(Recommendations[Id],F10:AS10,0)))/COUNTIF(F10:AS10,"&lt;&gt;"))</f>
        <v/>
      </c>
      <c r="F10" s="220"/>
      <c r="G10" s="220"/>
      <c r="H10" s="220"/>
      <c r="I10" s="220"/>
      <c r="J10" s="220"/>
      <c r="K10" s="220"/>
      <c r="L10" s="220"/>
      <c r="M10" s="220"/>
      <c r="N10" s="220"/>
      <c r="O10" s="220"/>
      <c r="P10" s="220"/>
      <c r="Q10" s="220"/>
      <c r="R10" s="220"/>
      <c r="S10" s="220"/>
      <c r="T10" s="220"/>
      <c r="U10" s="220"/>
      <c r="V10" s="220"/>
      <c r="W10" s="220"/>
      <c r="X10" s="220"/>
      <c r="Y10" s="220"/>
      <c r="Z10" s="220"/>
      <c r="AA10" s="220"/>
      <c r="AB10" s="220"/>
      <c r="AC10" s="220"/>
      <c r="AD10" s="220"/>
      <c r="AE10" s="220"/>
      <c r="AF10" s="220"/>
      <c r="AG10" s="220"/>
      <c r="AH10" s="220"/>
      <c r="AI10" s="220"/>
      <c r="AJ10" s="220"/>
      <c r="AK10" s="220"/>
      <c r="AL10" s="220"/>
      <c r="AM10" s="220"/>
      <c r="AN10" s="220"/>
      <c r="AO10" s="220"/>
      <c r="AP10" s="220"/>
      <c r="AQ10" s="220"/>
      <c r="AR10" s="220"/>
      <c r="AS10" s="230"/>
    </row>
    <row r="11" spans="1:45" ht="60" customHeight="1" x14ac:dyDescent="0.35">
      <c r="A11" s="227" t="s">
        <v>4740</v>
      </c>
      <c r="B11" s="214" t="s">
        <v>4766</v>
      </c>
      <c r="C11" s="215" t="s">
        <v>4767</v>
      </c>
      <c r="D11" s="217" t="s">
        <v>4768</v>
      </c>
      <c r="E11" s="219" t="str">
        <f>IF(COUNTIF(F11:AS11,"&lt;&gt;")=0,"",SUMPRODUCT(((Recommendations[ImplStatus]="Implemented")+(Recommendations[ImplStatus]="Compensated"))*ISNUMBER(MATCH(Recommendations[Id],F11:AS11,0)))/COUNTIF(F11:AS11,"&lt;&gt;"))</f>
        <v/>
      </c>
      <c r="F11" s="220"/>
      <c r="G11" s="220"/>
      <c r="H11" s="220"/>
      <c r="I11" s="220"/>
      <c r="J11" s="220"/>
      <c r="K11" s="220"/>
      <c r="L11" s="220"/>
      <c r="M11" s="220"/>
      <c r="N11" s="220"/>
      <c r="O11" s="220"/>
      <c r="P11" s="220"/>
      <c r="Q11" s="220"/>
      <c r="R11" s="220"/>
      <c r="S11" s="220"/>
      <c r="T11" s="220"/>
      <c r="U11" s="220"/>
      <c r="V11" s="220"/>
      <c r="W11" s="220"/>
      <c r="X11" s="220"/>
      <c r="Y11" s="220"/>
      <c r="Z11" s="220"/>
      <c r="AA11" s="220"/>
      <c r="AB11" s="220"/>
      <c r="AC11" s="220"/>
      <c r="AD11" s="220"/>
      <c r="AE11" s="220"/>
      <c r="AF11" s="220"/>
      <c r="AG11" s="220"/>
      <c r="AH11" s="220"/>
      <c r="AI11" s="220"/>
      <c r="AJ11" s="220"/>
      <c r="AK11" s="220"/>
      <c r="AL11" s="220"/>
      <c r="AM11" s="220"/>
      <c r="AN11" s="220"/>
      <c r="AO11" s="220"/>
      <c r="AP11" s="220"/>
      <c r="AQ11" s="220"/>
      <c r="AR11" s="220"/>
      <c r="AS11" s="230"/>
    </row>
    <row r="12" spans="1:45" ht="60" customHeight="1" x14ac:dyDescent="0.35">
      <c r="A12" s="227" t="s">
        <v>4740</v>
      </c>
      <c r="B12" s="214" t="s">
        <v>4769</v>
      </c>
      <c r="C12" s="215" t="s">
        <v>4770</v>
      </c>
      <c r="D12" s="217" t="s">
        <v>4771</v>
      </c>
      <c r="E12" s="219" t="str">
        <f>IF(COUNTIF(F12:AS12,"&lt;&gt;")=0,"",SUMPRODUCT(((Recommendations[ImplStatus]="Implemented")+(Recommendations[ImplStatus]="Compensated"))*ISNUMBER(MATCH(Recommendations[Id],F12:AS12,0)))/COUNTIF(F12:AS12,"&lt;&gt;"))</f>
        <v/>
      </c>
      <c r="F12" s="220"/>
      <c r="G12" s="220"/>
      <c r="H12" s="220"/>
      <c r="I12" s="220"/>
      <c r="J12" s="220"/>
      <c r="K12" s="220"/>
      <c r="L12" s="220"/>
      <c r="M12" s="220"/>
      <c r="N12" s="220"/>
      <c r="O12" s="220"/>
      <c r="P12" s="220"/>
      <c r="Q12" s="220"/>
      <c r="R12" s="220"/>
      <c r="S12" s="220"/>
      <c r="T12" s="220"/>
      <c r="U12" s="220"/>
      <c r="V12" s="220"/>
      <c r="W12" s="220"/>
      <c r="X12" s="220"/>
      <c r="Y12" s="220"/>
      <c r="Z12" s="220"/>
      <c r="AA12" s="220"/>
      <c r="AB12" s="220"/>
      <c r="AC12" s="220"/>
      <c r="AD12" s="220"/>
      <c r="AE12" s="220"/>
      <c r="AF12" s="220"/>
      <c r="AG12" s="220"/>
      <c r="AH12" s="220"/>
      <c r="AI12" s="220"/>
      <c r="AJ12" s="220"/>
      <c r="AK12" s="220"/>
      <c r="AL12" s="220"/>
      <c r="AM12" s="220"/>
      <c r="AN12" s="220"/>
      <c r="AO12" s="220"/>
      <c r="AP12" s="220"/>
      <c r="AQ12" s="220"/>
      <c r="AR12" s="220"/>
      <c r="AS12" s="230"/>
    </row>
    <row r="13" spans="1:45" ht="60" customHeight="1" x14ac:dyDescent="0.35">
      <c r="A13" s="227" t="s">
        <v>4740</v>
      </c>
      <c r="B13" s="214" t="s">
        <v>4772</v>
      </c>
      <c r="C13" s="215" t="s">
        <v>4773</v>
      </c>
      <c r="D13" s="217" t="s">
        <v>4774</v>
      </c>
      <c r="E13" s="219" t="str">
        <f>IF(COUNTIF(F13:AS13,"&lt;&gt;")=0,"",SUMPRODUCT(((Recommendations[ImplStatus]="Implemented")+(Recommendations[ImplStatus]="Compensated"))*ISNUMBER(MATCH(Recommendations[Id],F13:AS13,0)))/COUNTIF(F13:AS13,"&lt;&gt;"))</f>
        <v/>
      </c>
      <c r="F13" s="220"/>
      <c r="G13" s="220"/>
      <c r="H13" s="220"/>
      <c r="I13" s="220"/>
      <c r="J13" s="220"/>
      <c r="K13" s="220"/>
      <c r="L13" s="220"/>
      <c r="M13" s="220"/>
      <c r="N13" s="220"/>
      <c r="O13" s="220"/>
      <c r="P13" s="220"/>
      <c r="Q13" s="220"/>
      <c r="R13" s="220"/>
      <c r="S13" s="220"/>
      <c r="T13" s="220"/>
      <c r="U13" s="220"/>
      <c r="V13" s="220"/>
      <c r="W13" s="220"/>
      <c r="X13" s="220"/>
      <c r="Y13" s="220"/>
      <c r="Z13" s="220"/>
      <c r="AA13" s="220"/>
      <c r="AB13" s="220"/>
      <c r="AC13" s="220"/>
      <c r="AD13" s="220"/>
      <c r="AE13" s="220"/>
      <c r="AF13" s="220"/>
      <c r="AG13" s="220"/>
      <c r="AH13" s="220"/>
      <c r="AI13" s="220"/>
      <c r="AJ13" s="220"/>
      <c r="AK13" s="220"/>
      <c r="AL13" s="220"/>
      <c r="AM13" s="220"/>
      <c r="AN13" s="220"/>
      <c r="AO13" s="220"/>
      <c r="AP13" s="220"/>
      <c r="AQ13" s="220"/>
      <c r="AR13" s="220"/>
      <c r="AS13" s="230"/>
    </row>
    <row r="14" spans="1:45" ht="60" customHeight="1" x14ac:dyDescent="0.35">
      <c r="A14" s="227" t="s">
        <v>4740</v>
      </c>
      <c r="B14" s="214" t="s">
        <v>4775</v>
      </c>
      <c r="C14" s="215" t="s">
        <v>4776</v>
      </c>
      <c r="D14" s="217" t="s">
        <v>4777</v>
      </c>
      <c r="E14" s="219" t="str">
        <f>IF(COUNTIF(F14:AS14,"&lt;&gt;")=0,"",SUMPRODUCT(((Recommendations[ImplStatus]="Implemented")+(Recommendations[ImplStatus]="Compensated"))*ISNUMBER(MATCH(Recommendations[Id],F14:AS14,0)))/COUNTIF(F14:AS14,"&lt;&gt;"))</f>
        <v/>
      </c>
      <c r="F14" s="220"/>
      <c r="G14" s="220"/>
      <c r="H14" s="220"/>
      <c r="I14" s="220"/>
      <c r="J14" s="220"/>
      <c r="K14" s="220"/>
      <c r="L14" s="220"/>
      <c r="M14" s="220"/>
      <c r="N14" s="220"/>
      <c r="O14" s="220"/>
      <c r="P14" s="220"/>
      <c r="Q14" s="220"/>
      <c r="R14" s="220"/>
      <c r="S14" s="220"/>
      <c r="T14" s="220"/>
      <c r="U14" s="220"/>
      <c r="V14" s="220"/>
      <c r="W14" s="220"/>
      <c r="X14" s="220"/>
      <c r="Y14" s="220"/>
      <c r="Z14" s="220"/>
      <c r="AA14" s="220"/>
      <c r="AB14" s="220"/>
      <c r="AC14" s="220"/>
      <c r="AD14" s="220"/>
      <c r="AE14" s="220"/>
      <c r="AF14" s="220"/>
      <c r="AG14" s="220"/>
      <c r="AH14" s="220"/>
      <c r="AI14" s="220"/>
      <c r="AJ14" s="220"/>
      <c r="AK14" s="220"/>
      <c r="AL14" s="220"/>
      <c r="AM14" s="220"/>
      <c r="AN14" s="220"/>
      <c r="AO14" s="220"/>
      <c r="AP14" s="220"/>
      <c r="AQ14" s="220"/>
      <c r="AR14" s="220"/>
      <c r="AS14" s="230"/>
    </row>
    <row r="15" spans="1:45" ht="60" customHeight="1" x14ac:dyDescent="0.35">
      <c r="A15" s="227" t="s">
        <v>4740</v>
      </c>
      <c r="B15" s="214" t="s">
        <v>4778</v>
      </c>
      <c r="C15" s="215" t="s">
        <v>4779</v>
      </c>
      <c r="D15" s="217" t="s">
        <v>4780</v>
      </c>
      <c r="E15" s="219" t="str">
        <f>IF(COUNTIF(F15:AS15,"&lt;&gt;")=0,"",SUMPRODUCT(((Recommendations[ImplStatus]="Implemented")+(Recommendations[ImplStatus]="Compensated"))*ISNUMBER(MATCH(Recommendations[Id],F15:AS15,0)))/COUNTIF(F15:AS15,"&lt;&gt;"))</f>
        <v/>
      </c>
      <c r="F15" s="220"/>
      <c r="G15" s="220"/>
      <c r="H15" s="220"/>
      <c r="I15" s="220"/>
      <c r="J15" s="220"/>
      <c r="K15" s="220"/>
      <c r="L15" s="220"/>
      <c r="M15" s="220"/>
      <c r="N15" s="220"/>
      <c r="O15" s="220"/>
      <c r="P15" s="220"/>
      <c r="Q15" s="220"/>
      <c r="R15" s="220"/>
      <c r="S15" s="220"/>
      <c r="T15" s="220"/>
      <c r="U15" s="220"/>
      <c r="V15" s="220"/>
      <c r="W15" s="220"/>
      <c r="X15" s="220"/>
      <c r="Y15" s="220"/>
      <c r="Z15" s="220"/>
      <c r="AA15" s="220"/>
      <c r="AB15" s="220"/>
      <c r="AC15" s="220"/>
      <c r="AD15" s="220"/>
      <c r="AE15" s="220"/>
      <c r="AF15" s="220"/>
      <c r="AG15" s="220"/>
      <c r="AH15" s="220"/>
      <c r="AI15" s="220"/>
      <c r="AJ15" s="220"/>
      <c r="AK15" s="220"/>
      <c r="AL15" s="220"/>
      <c r="AM15" s="220"/>
      <c r="AN15" s="220"/>
      <c r="AO15" s="220"/>
      <c r="AP15" s="220"/>
      <c r="AQ15" s="220"/>
      <c r="AR15" s="220"/>
      <c r="AS15" s="230"/>
    </row>
    <row r="16" spans="1:45" ht="60" customHeight="1" x14ac:dyDescent="0.35">
      <c r="A16" s="227" t="s">
        <v>4740</v>
      </c>
      <c r="B16" s="214" t="s">
        <v>4781</v>
      </c>
      <c r="C16" s="215" t="s">
        <v>4782</v>
      </c>
      <c r="D16" s="217" t="s">
        <v>4783</v>
      </c>
      <c r="E16" s="219" t="str">
        <f>IF(COUNTIF(F16:AS16,"&lt;&gt;")=0,"",SUMPRODUCT(((Recommendations[ImplStatus]="Implemented")+(Recommendations[ImplStatus]="Compensated"))*ISNUMBER(MATCH(Recommendations[Id],F16:AS16,0)))/COUNTIF(F16:AS16,"&lt;&gt;"))</f>
        <v/>
      </c>
      <c r="F16" s="220"/>
      <c r="G16" s="220"/>
      <c r="H16" s="220"/>
      <c r="I16" s="220"/>
      <c r="J16" s="220"/>
      <c r="K16" s="220"/>
      <c r="L16" s="220"/>
      <c r="M16" s="220"/>
      <c r="N16" s="220"/>
      <c r="O16" s="220"/>
      <c r="P16" s="220"/>
      <c r="Q16" s="220"/>
      <c r="R16" s="220"/>
      <c r="S16" s="220"/>
      <c r="T16" s="220"/>
      <c r="U16" s="220"/>
      <c r="V16" s="220"/>
      <c r="W16" s="220"/>
      <c r="X16" s="220"/>
      <c r="Y16" s="220"/>
      <c r="Z16" s="220"/>
      <c r="AA16" s="220"/>
      <c r="AB16" s="220"/>
      <c r="AC16" s="220"/>
      <c r="AD16" s="220"/>
      <c r="AE16" s="220"/>
      <c r="AF16" s="220"/>
      <c r="AG16" s="220"/>
      <c r="AH16" s="220"/>
      <c r="AI16" s="220"/>
      <c r="AJ16" s="220"/>
      <c r="AK16" s="220"/>
      <c r="AL16" s="220"/>
      <c r="AM16" s="220"/>
      <c r="AN16" s="220"/>
      <c r="AO16" s="220"/>
      <c r="AP16" s="220"/>
      <c r="AQ16" s="220"/>
      <c r="AR16" s="220"/>
      <c r="AS16" s="230"/>
    </row>
    <row r="17" spans="1:45" ht="60" customHeight="1" x14ac:dyDescent="0.35">
      <c r="A17" s="227" t="s">
        <v>4740</v>
      </c>
      <c r="B17" s="214" t="s">
        <v>4784</v>
      </c>
      <c r="C17" s="215" t="s">
        <v>4785</v>
      </c>
      <c r="D17" s="217" t="s">
        <v>4786</v>
      </c>
      <c r="E17" s="219" t="str">
        <f>IF(COUNTIF(F17:AS17,"&lt;&gt;")=0,"",SUMPRODUCT(((Recommendations[ImplStatus]="Implemented")+(Recommendations[ImplStatus]="Compensated"))*ISNUMBER(MATCH(Recommendations[Id],F17:AS17,0)))/COUNTIF(F17:AS17,"&lt;&gt;"))</f>
        <v/>
      </c>
      <c r="F17" s="220"/>
      <c r="G17" s="220"/>
      <c r="H17" s="220"/>
      <c r="I17" s="220"/>
      <c r="J17" s="220"/>
      <c r="K17" s="220"/>
      <c r="L17" s="220"/>
      <c r="M17" s="220"/>
      <c r="N17" s="220"/>
      <c r="O17" s="220"/>
      <c r="P17" s="220"/>
      <c r="Q17" s="220"/>
      <c r="R17" s="220"/>
      <c r="S17" s="220"/>
      <c r="T17" s="220"/>
      <c r="U17" s="220"/>
      <c r="V17" s="220"/>
      <c r="W17" s="220"/>
      <c r="X17" s="220"/>
      <c r="Y17" s="220"/>
      <c r="Z17" s="220"/>
      <c r="AA17" s="220"/>
      <c r="AB17" s="220"/>
      <c r="AC17" s="220"/>
      <c r="AD17" s="220"/>
      <c r="AE17" s="220"/>
      <c r="AF17" s="220"/>
      <c r="AG17" s="220"/>
      <c r="AH17" s="220"/>
      <c r="AI17" s="220"/>
      <c r="AJ17" s="220"/>
      <c r="AK17" s="220"/>
      <c r="AL17" s="220"/>
      <c r="AM17" s="220"/>
      <c r="AN17" s="220"/>
      <c r="AO17" s="220"/>
      <c r="AP17" s="220"/>
      <c r="AQ17" s="220"/>
      <c r="AR17" s="220"/>
      <c r="AS17" s="230"/>
    </row>
    <row r="18" spans="1:45" ht="60" customHeight="1" x14ac:dyDescent="0.35">
      <c r="A18" s="227" t="s">
        <v>4740</v>
      </c>
      <c r="B18" s="214" t="s">
        <v>4787</v>
      </c>
      <c r="C18" s="215" t="s">
        <v>4788</v>
      </c>
      <c r="D18" s="217" t="s">
        <v>4789</v>
      </c>
      <c r="E18" s="219" t="str">
        <f>IF(COUNTIF(F18:AS18,"&lt;&gt;")=0,"",SUMPRODUCT(((Recommendations[ImplStatus]="Implemented")+(Recommendations[ImplStatus]="Compensated"))*ISNUMBER(MATCH(Recommendations[Id],F18:AS18,0)))/COUNTIF(F18:AS18,"&lt;&gt;"))</f>
        <v/>
      </c>
      <c r="F18" s="220"/>
      <c r="G18" s="220"/>
      <c r="H18" s="220"/>
      <c r="I18" s="220"/>
      <c r="J18" s="220"/>
      <c r="K18" s="220"/>
      <c r="L18" s="220"/>
      <c r="M18" s="220"/>
      <c r="N18" s="220"/>
      <c r="O18" s="220"/>
      <c r="P18" s="220"/>
      <c r="Q18" s="220"/>
      <c r="R18" s="220"/>
      <c r="S18" s="220"/>
      <c r="T18" s="220"/>
      <c r="U18" s="220"/>
      <c r="V18" s="220"/>
      <c r="W18" s="220"/>
      <c r="X18" s="220"/>
      <c r="Y18" s="220"/>
      <c r="Z18" s="220"/>
      <c r="AA18" s="220"/>
      <c r="AB18" s="220"/>
      <c r="AC18" s="220"/>
      <c r="AD18" s="220"/>
      <c r="AE18" s="220"/>
      <c r="AF18" s="220"/>
      <c r="AG18" s="220"/>
      <c r="AH18" s="220"/>
      <c r="AI18" s="220"/>
      <c r="AJ18" s="220"/>
      <c r="AK18" s="220"/>
      <c r="AL18" s="220"/>
      <c r="AM18" s="220"/>
      <c r="AN18" s="220"/>
      <c r="AO18" s="220"/>
      <c r="AP18" s="220"/>
      <c r="AQ18" s="220"/>
      <c r="AR18" s="220"/>
      <c r="AS18" s="230"/>
    </row>
    <row r="19" spans="1:45" ht="60" customHeight="1" x14ac:dyDescent="0.35">
      <c r="A19" s="227" t="s">
        <v>4740</v>
      </c>
      <c r="B19" s="214" t="s">
        <v>4790</v>
      </c>
      <c r="C19" s="215" t="s">
        <v>4791</v>
      </c>
      <c r="D19" s="217" t="s">
        <v>4792</v>
      </c>
      <c r="E19" s="219" t="str">
        <f>IF(COUNTIF(F19:AS19,"&lt;&gt;")=0,"",SUMPRODUCT(((Recommendations[ImplStatus]="Implemented")+(Recommendations[ImplStatus]="Compensated"))*ISNUMBER(MATCH(Recommendations[Id],F19:AS19,0)))/COUNTIF(F19:AS19,"&lt;&gt;"))</f>
        <v/>
      </c>
      <c r="F19" s="220"/>
      <c r="G19" s="220"/>
      <c r="H19" s="220"/>
      <c r="I19" s="220"/>
      <c r="J19" s="220"/>
      <c r="K19" s="220"/>
      <c r="L19" s="220"/>
      <c r="M19" s="220"/>
      <c r="N19" s="220"/>
      <c r="O19" s="220"/>
      <c r="P19" s="220"/>
      <c r="Q19" s="220"/>
      <c r="R19" s="220"/>
      <c r="S19" s="220"/>
      <c r="T19" s="220"/>
      <c r="U19" s="220"/>
      <c r="V19" s="220"/>
      <c r="W19" s="220"/>
      <c r="X19" s="220"/>
      <c r="Y19" s="220"/>
      <c r="Z19" s="220"/>
      <c r="AA19" s="220"/>
      <c r="AB19" s="220"/>
      <c r="AC19" s="220"/>
      <c r="AD19" s="220"/>
      <c r="AE19" s="220"/>
      <c r="AF19" s="220"/>
      <c r="AG19" s="220"/>
      <c r="AH19" s="220"/>
      <c r="AI19" s="220"/>
      <c r="AJ19" s="220"/>
      <c r="AK19" s="220"/>
      <c r="AL19" s="220"/>
      <c r="AM19" s="220"/>
      <c r="AN19" s="220"/>
      <c r="AO19" s="220"/>
      <c r="AP19" s="220"/>
      <c r="AQ19" s="220"/>
      <c r="AR19" s="220"/>
      <c r="AS19" s="230"/>
    </row>
    <row r="20" spans="1:45" ht="60" customHeight="1" x14ac:dyDescent="0.35">
      <c r="A20" s="227" t="s">
        <v>4740</v>
      </c>
      <c r="B20" s="214" t="s">
        <v>4793</v>
      </c>
      <c r="C20" s="215" t="s">
        <v>4794</v>
      </c>
      <c r="D20" s="217" t="s">
        <v>4795</v>
      </c>
      <c r="E20" s="219" t="str">
        <f>IF(COUNTIF(F20:AS20,"&lt;&gt;")=0,"",SUMPRODUCT(((Recommendations[ImplStatus]="Implemented")+(Recommendations[ImplStatus]="Compensated"))*ISNUMBER(MATCH(Recommendations[Id],F20:AS20,0)))/COUNTIF(F20:AS20,"&lt;&gt;"))</f>
        <v/>
      </c>
      <c r="F20" s="220"/>
      <c r="G20" s="220"/>
      <c r="H20" s="220"/>
      <c r="I20" s="220"/>
      <c r="J20" s="220"/>
      <c r="K20" s="220"/>
      <c r="L20" s="220"/>
      <c r="M20" s="220"/>
      <c r="N20" s="220"/>
      <c r="O20" s="220"/>
      <c r="P20" s="220"/>
      <c r="Q20" s="220"/>
      <c r="R20" s="220"/>
      <c r="S20" s="220"/>
      <c r="T20" s="220"/>
      <c r="U20" s="220"/>
      <c r="V20" s="220"/>
      <c r="W20" s="220"/>
      <c r="X20" s="220"/>
      <c r="Y20" s="220"/>
      <c r="Z20" s="220"/>
      <c r="AA20" s="220"/>
      <c r="AB20" s="220"/>
      <c r="AC20" s="220"/>
      <c r="AD20" s="220"/>
      <c r="AE20" s="220"/>
      <c r="AF20" s="220"/>
      <c r="AG20" s="220"/>
      <c r="AH20" s="220"/>
      <c r="AI20" s="220"/>
      <c r="AJ20" s="220"/>
      <c r="AK20" s="220"/>
      <c r="AL20" s="220"/>
      <c r="AM20" s="220"/>
      <c r="AN20" s="220"/>
      <c r="AO20" s="220"/>
      <c r="AP20" s="220"/>
      <c r="AQ20" s="220"/>
      <c r="AR20" s="220"/>
      <c r="AS20" s="230"/>
    </row>
    <row r="21" spans="1:45" ht="60" customHeight="1" x14ac:dyDescent="0.35">
      <c r="A21" s="227" t="s">
        <v>4740</v>
      </c>
      <c r="B21" s="214" t="s">
        <v>4796</v>
      </c>
      <c r="C21" s="215" t="s">
        <v>4797</v>
      </c>
      <c r="D21" s="217" t="s">
        <v>4798</v>
      </c>
      <c r="E21" s="219" t="str">
        <f>IF(COUNTIF(F21:AS21,"&lt;&gt;")=0,"",SUMPRODUCT(((Recommendations[ImplStatus]="Implemented")+(Recommendations[ImplStatus]="Compensated"))*ISNUMBER(MATCH(Recommendations[Id],F21:AS21,0)))/COUNTIF(F21:AS21,"&lt;&gt;"))</f>
        <v/>
      </c>
      <c r="F21" s="220"/>
      <c r="G21" s="220"/>
      <c r="H21" s="220"/>
      <c r="I21" s="220"/>
      <c r="J21" s="220"/>
      <c r="K21" s="220"/>
      <c r="L21" s="220"/>
      <c r="M21" s="220"/>
      <c r="N21" s="220"/>
      <c r="O21" s="220"/>
      <c r="P21" s="220"/>
      <c r="Q21" s="220"/>
      <c r="R21" s="220"/>
      <c r="S21" s="220"/>
      <c r="T21" s="220"/>
      <c r="U21" s="220"/>
      <c r="V21" s="220"/>
      <c r="W21" s="220"/>
      <c r="X21" s="220"/>
      <c r="Y21" s="220"/>
      <c r="Z21" s="220"/>
      <c r="AA21" s="220"/>
      <c r="AB21" s="220"/>
      <c r="AC21" s="220"/>
      <c r="AD21" s="220"/>
      <c r="AE21" s="220"/>
      <c r="AF21" s="220"/>
      <c r="AG21" s="220"/>
      <c r="AH21" s="220"/>
      <c r="AI21" s="220"/>
      <c r="AJ21" s="220"/>
      <c r="AK21" s="220"/>
      <c r="AL21" s="220"/>
      <c r="AM21" s="220"/>
      <c r="AN21" s="220"/>
      <c r="AO21" s="220"/>
      <c r="AP21" s="220"/>
      <c r="AQ21" s="220"/>
      <c r="AR21" s="220"/>
      <c r="AS21" s="230"/>
    </row>
    <row r="22" spans="1:45" ht="60" customHeight="1" x14ac:dyDescent="0.35">
      <c r="A22" s="227" t="s">
        <v>4740</v>
      </c>
      <c r="B22" s="214" t="s">
        <v>4799</v>
      </c>
      <c r="C22" s="215" t="s">
        <v>4800</v>
      </c>
      <c r="D22" s="217" t="s">
        <v>4801</v>
      </c>
      <c r="E22" s="219" t="str">
        <f>IF(COUNTIF(F22:AS22,"&lt;&gt;")=0,"",SUMPRODUCT(((Recommendations[ImplStatus]="Implemented")+(Recommendations[ImplStatus]="Compensated"))*ISNUMBER(MATCH(Recommendations[Id],F22:AS22,0)))/COUNTIF(F22:AS22,"&lt;&gt;"))</f>
        <v/>
      </c>
      <c r="F22" s="220"/>
      <c r="G22" s="220"/>
      <c r="H22" s="220"/>
      <c r="I22" s="220"/>
      <c r="J22" s="220"/>
      <c r="K22" s="220"/>
      <c r="L22" s="220"/>
      <c r="M22" s="220"/>
      <c r="N22" s="220"/>
      <c r="O22" s="220"/>
      <c r="P22" s="220"/>
      <c r="Q22" s="220"/>
      <c r="R22" s="220"/>
      <c r="S22" s="220"/>
      <c r="T22" s="220"/>
      <c r="U22" s="220"/>
      <c r="V22" s="220"/>
      <c r="W22" s="220"/>
      <c r="X22" s="220"/>
      <c r="Y22" s="220"/>
      <c r="Z22" s="220"/>
      <c r="AA22" s="220"/>
      <c r="AB22" s="220"/>
      <c r="AC22" s="220"/>
      <c r="AD22" s="220"/>
      <c r="AE22" s="220"/>
      <c r="AF22" s="220"/>
      <c r="AG22" s="220"/>
      <c r="AH22" s="220"/>
      <c r="AI22" s="220"/>
      <c r="AJ22" s="220"/>
      <c r="AK22" s="220"/>
      <c r="AL22" s="220"/>
      <c r="AM22" s="220"/>
      <c r="AN22" s="220"/>
      <c r="AO22" s="220"/>
      <c r="AP22" s="220"/>
      <c r="AQ22" s="220"/>
      <c r="AR22" s="220"/>
      <c r="AS22" s="230"/>
    </row>
    <row r="23" spans="1:45" ht="60" customHeight="1" x14ac:dyDescent="0.35">
      <c r="A23" s="227" t="s">
        <v>4740</v>
      </c>
      <c r="B23" s="214" t="s">
        <v>4802</v>
      </c>
      <c r="C23" s="215" t="s">
        <v>4803</v>
      </c>
      <c r="D23" s="217" t="s">
        <v>4804</v>
      </c>
      <c r="E23" s="219" t="str">
        <f>IF(COUNTIF(F23:AS23,"&lt;&gt;")=0,"",SUMPRODUCT(((Recommendations[ImplStatus]="Implemented")+(Recommendations[ImplStatus]="Compensated"))*ISNUMBER(MATCH(Recommendations[Id],F23:AS23,0)))/COUNTIF(F23:AS23,"&lt;&gt;"))</f>
        <v/>
      </c>
      <c r="F23" s="220"/>
      <c r="G23" s="220"/>
      <c r="H23" s="220"/>
      <c r="I23" s="220"/>
      <c r="J23" s="220"/>
      <c r="K23" s="220"/>
      <c r="L23" s="220"/>
      <c r="M23" s="220"/>
      <c r="N23" s="220"/>
      <c r="O23" s="220"/>
      <c r="P23" s="220"/>
      <c r="Q23" s="220"/>
      <c r="R23" s="220"/>
      <c r="S23" s="220"/>
      <c r="T23" s="220"/>
      <c r="U23" s="220"/>
      <c r="V23" s="220"/>
      <c r="W23" s="220"/>
      <c r="X23" s="220"/>
      <c r="Y23" s="220"/>
      <c r="Z23" s="220"/>
      <c r="AA23" s="220"/>
      <c r="AB23" s="220"/>
      <c r="AC23" s="220"/>
      <c r="AD23" s="220"/>
      <c r="AE23" s="220"/>
      <c r="AF23" s="220"/>
      <c r="AG23" s="220"/>
      <c r="AH23" s="220"/>
      <c r="AI23" s="220"/>
      <c r="AJ23" s="220"/>
      <c r="AK23" s="220"/>
      <c r="AL23" s="220"/>
      <c r="AM23" s="220"/>
      <c r="AN23" s="220"/>
      <c r="AO23" s="220"/>
      <c r="AP23" s="220"/>
      <c r="AQ23" s="220"/>
      <c r="AR23" s="220"/>
      <c r="AS23" s="230"/>
    </row>
    <row r="24" spans="1:45" ht="60" customHeight="1" x14ac:dyDescent="0.35">
      <c r="A24" s="227" t="s">
        <v>4740</v>
      </c>
      <c r="B24" s="214" t="s">
        <v>4805</v>
      </c>
      <c r="C24" s="215" t="s">
        <v>4806</v>
      </c>
      <c r="D24" s="217" t="s">
        <v>4807</v>
      </c>
      <c r="E24" s="219" t="str">
        <f>IF(COUNTIF(F24:AS24,"&lt;&gt;")=0,"",SUMPRODUCT(((Recommendations[ImplStatus]="Implemented")+(Recommendations[ImplStatus]="Compensated"))*ISNUMBER(MATCH(Recommendations[Id],F24:AS24,0)))/COUNTIF(F24:AS24,"&lt;&gt;"))</f>
        <v/>
      </c>
      <c r="F24" s="220"/>
      <c r="G24" s="220"/>
      <c r="H24" s="220"/>
      <c r="I24" s="220"/>
      <c r="J24" s="220"/>
      <c r="K24" s="220"/>
      <c r="L24" s="220"/>
      <c r="M24" s="220"/>
      <c r="N24" s="220"/>
      <c r="O24" s="220"/>
      <c r="P24" s="220"/>
      <c r="Q24" s="220"/>
      <c r="R24" s="220"/>
      <c r="S24" s="220"/>
      <c r="T24" s="220"/>
      <c r="U24" s="220"/>
      <c r="V24" s="220"/>
      <c r="W24" s="220"/>
      <c r="X24" s="220"/>
      <c r="Y24" s="220"/>
      <c r="Z24" s="220"/>
      <c r="AA24" s="220"/>
      <c r="AB24" s="220"/>
      <c r="AC24" s="220"/>
      <c r="AD24" s="220"/>
      <c r="AE24" s="220"/>
      <c r="AF24" s="220"/>
      <c r="AG24" s="220"/>
      <c r="AH24" s="220"/>
      <c r="AI24" s="220"/>
      <c r="AJ24" s="220"/>
      <c r="AK24" s="220"/>
      <c r="AL24" s="220"/>
      <c r="AM24" s="220"/>
      <c r="AN24" s="220"/>
      <c r="AO24" s="220"/>
      <c r="AP24" s="220"/>
      <c r="AQ24" s="220"/>
      <c r="AR24" s="220"/>
      <c r="AS24" s="230"/>
    </row>
    <row r="25" spans="1:45" ht="60" customHeight="1" x14ac:dyDescent="0.35">
      <c r="A25" s="227" t="s">
        <v>4740</v>
      </c>
      <c r="B25" s="214" t="s">
        <v>4808</v>
      </c>
      <c r="C25" s="215" t="s">
        <v>4809</v>
      </c>
      <c r="D25" s="217" t="s">
        <v>4810</v>
      </c>
      <c r="E25" s="219" t="str">
        <f>IF(COUNTIF(F25:AS25,"&lt;&gt;")=0,"",SUMPRODUCT(((Recommendations[ImplStatus]="Implemented")+(Recommendations[ImplStatus]="Compensated"))*ISNUMBER(MATCH(Recommendations[Id],F25:AS25,0)))/COUNTIF(F25:AS25,"&lt;&gt;"))</f>
        <v/>
      </c>
      <c r="F25" s="220"/>
      <c r="G25" s="220"/>
      <c r="H25" s="220"/>
      <c r="I25" s="220"/>
      <c r="J25" s="220"/>
      <c r="K25" s="220"/>
      <c r="L25" s="220"/>
      <c r="M25" s="220"/>
      <c r="N25" s="220"/>
      <c r="O25" s="220"/>
      <c r="P25" s="220"/>
      <c r="Q25" s="220"/>
      <c r="R25" s="220"/>
      <c r="S25" s="220"/>
      <c r="T25" s="220"/>
      <c r="U25" s="220"/>
      <c r="V25" s="220"/>
      <c r="W25" s="220"/>
      <c r="X25" s="220"/>
      <c r="Y25" s="220"/>
      <c r="Z25" s="220"/>
      <c r="AA25" s="220"/>
      <c r="AB25" s="220"/>
      <c r="AC25" s="220"/>
      <c r="AD25" s="220"/>
      <c r="AE25" s="220"/>
      <c r="AF25" s="220"/>
      <c r="AG25" s="220"/>
      <c r="AH25" s="220"/>
      <c r="AI25" s="220"/>
      <c r="AJ25" s="220"/>
      <c r="AK25" s="220"/>
      <c r="AL25" s="220"/>
      <c r="AM25" s="220"/>
      <c r="AN25" s="220"/>
      <c r="AO25" s="220"/>
      <c r="AP25" s="220"/>
      <c r="AQ25" s="220"/>
      <c r="AR25" s="220"/>
      <c r="AS25" s="230"/>
    </row>
    <row r="26" spans="1:45" ht="60" customHeight="1" x14ac:dyDescent="0.35">
      <c r="A26" s="227" t="s">
        <v>4740</v>
      </c>
      <c r="B26" s="214" t="s">
        <v>4811</v>
      </c>
      <c r="C26" s="215" t="s">
        <v>4812</v>
      </c>
      <c r="D26" s="217" t="s">
        <v>4813</v>
      </c>
      <c r="E26" s="219" t="str">
        <f>IF(COUNTIF(F26:AS26,"&lt;&gt;")=0,"",SUMPRODUCT(((Recommendations[ImplStatus]="Implemented")+(Recommendations[ImplStatus]="Compensated"))*ISNUMBER(MATCH(Recommendations[Id],F26:AS26,0)))/COUNTIF(F26:AS26,"&lt;&gt;"))</f>
        <v/>
      </c>
      <c r="F26" s="220"/>
      <c r="G26" s="220"/>
      <c r="H26" s="220"/>
      <c r="I26" s="220"/>
      <c r="J26" s="220"/>
      <c r="K26" s="220"/>
      <c r="L26" s="220"/>
      <c r="M26" s="220"/>
      <c r="N26" s="220"/>
      <c r="O26" s="220"/>
      <c r="P26" s="220"/>
      <c r="Q26" s="220"/>
      <c r="R26" s="220"/>
      <c r="S26" s="220"/>
      <c r="T26" s="220"/>
      <c r="U26" s="220"/>
      <c r="V26" s="220"/>
      <c r="W26" s="220"/>
      <c r="X26" s="220"/>
      <c r="Y26" s="220"/>
      <c r="Z26" s="220"/>
      <c r="AA26" s="220"/>
      <c r="AB26" s="220"/>
      <c r="AC26" s="220"/>
      <c r="AD26" s="220"/>
      <c r="AE26" s="220"/>
      <c r="AF26" s="220"/>
      <c r="AG26" s="220"/>
      <c r="AH26" s="220"/>
      <c r="AI26" s="220"/>
      <c r="AJ26" s="220"/>
      <c r="AK26" s="220"/>
      <c r="AL26" s="220"/>
      <c r="AM26" s="220"/>
      <c r="AN26" s="220"/>
      <c r="AO26" s="220"/>
      <c r="AP26" s="220"/>
      <c r="AQ26" s="220"/>
      <c r="AR26" s="220"/>
      <c r="AS26" s="230"/>
    </row>
    <row r="27" spans="1:45" ht="60" customHeight="1" x14ac:dyDescent="0.35">
      <c r="A27" s="227" t="s">
        <v>4740</v>
      </c>
      <c r="B27" s="214" t="s">
        <v>4814</v>
      </c>
      <c r="C27" s="215" t="s">
        <v>4815</v>
      </c>
      <c r="D27" s="217" t="s">
        <v>4816</v>
      </c>
      <c r="E27" s="219" t="str">
        <f>IF(COUNTIF(F27:AS27,"&lt;&gt;")=0,"",SUMPRODUCT(((Recommendations[ImplStatus]="Implemented")+(Recommendations[ImplStatus]="Compensated"))*ISNUMBER(MATCH(Recommendations[Id],F27:AS27,0)))/COUNTIF(F27:AS27,"&lt;&gt;"))</f>
        <v/>
      </c>
      <c r="F27" s="220"/>
      <c r="G27" s="220"/>
      <c r="H27" s="220"/>
      <c r="I27" s="220"/>
      <c r="J27" s="220"/>
      <c r="K27" s="220"/>
      <c r="L27" s="220"/>
      <c r="M27" s="220"/>
      <c r="N27" s="220"/>
      <c r="O27" s="220"/>
      <c r="P27" s="220"/>
      <c r="Q27" s="220"/>
      <c r="R27" s="220"/>
      <c r="S27" s="220"/>
      <c r="T27" s="220"/>
      <c r="U27" s="220"/>
      <c r="V27" s="220"/>
      <c r="W27" s="220"/>
      <c r="X27" s="220"/>
      <c r="Y27" s="220"/>
      <c r="Z27" s="220"/>
      <c r="AA27" s="220"/>
      <c r="AB27" s="220"/>
      <c r="AC27" s="220"/>
      <c r="AD27" s="220"/>
      <c r="AE27" s="220"/>
      <c r="AF27" s="220"/>
      <c r="AG27" s="220"/>
      <c r="AH27" s="220"/>
      <c r="AI27" s="220"/>
      <c r="AJ27" s="220"/>
      <c r="AK27" s="220"/>
      <c r="AL27" s="220"/>
      <c r="AM27" s="220"/>
      <c r="AN27" s="220"/>
      <c r="AO27" s="220"/>
      <c r="AP27" s="220"/>
      <c r="AQ27" s="220"/>
      <c r="AR27" s="220"/>
      <c r="AS27" s="230"/>
    </row>
    <row r="28" spans="1:45" ht="60" customHeight="1" x14ac:dyDescent="0.35">
      <c r="A28" s="227" t="s">
        <v>4740</v>
      </c>
      <c r="B28" s="214" t="s">
        <v>4817</v>
      </c>
      <c r="C28" s="215" t="s">
        <v>4818</v>
      </c>
      <c r="D28" s="217" t="s">
        <v>4819</v>
      </c>
      <c r="E28" s="219" t="str">
        <f>IF(COUNTIF(F28:AS28,"&lt;&gt;")=0,"",SUMPRODUCT(((Recommendations[ImplStatus]="Implemented")+(Recommendations[ImplStatus]="Compensated"))*ISNUMBER(MATCH(Recommendations[Id],F28:AS28,0)))/COUNTIF(F28:AS28,"&lt;&gt;"))</f>
        <v/>
      </c>
      <c r="F28" s="220"/>
      <c r="G28" s="220"/>
      <c r="H28" s="220"/>
      <c r="I28" s="220"/>
      <c r="J28" s="220"/>
      <c r="K28" s="220"/>
      <c r="L28" s="220"/>
      <c r="M28" s="220"/>
      <c r="N28" s="220"/>
      <c r="O28" s="220"/>
      <c r="P28" s="220"/>
      <c r="Q28" s="220"/>
      <c r="R28" s="220"/>
      <c r="S28" s="220"/>
      <c r="T28" s="220"/>
      <c r="U28" s="220"/>
      <c r="V28" s="220"/>
      <c r="W28" s="220"/>
      <c r="X28" s="220"/>
      <c r="Y28" s="220"/>
      <c r="Z28" s="220"/>
      <c r="AA28" s="220"/>
      <c r="AB28" s="220"/>
      <c r="AC28" s="220"/>
      <c r="AD28" s="220"/>
      <c r="AE28" s="220"/>
      <c r="AF28" s="220"/>
      <c r="AG28" s="220"/>
      <c r="AH28" s="220"/>
      <c r="AI28" s="220"/>
      <c r="AJ28" s="220"/>
      <c r="AK28" s="220"/>
      <c r="AL28" s="220"/>
      <c r="AM28" s="220"/>
      <c r="AN28" s="220"/>
      <c r="AO28" s="220"/>
      <c r="AP28" s="220"/>
      <c r="AQ28" s="220"/>
      <c r="AR28" s="220"/>
      <c r="AS28" s="230"/>
    </row>
    <row r="29" spans="1:45" ht="60" customHeight="1" x14ac:dyDescent="0.35">
      <c r="A29" s="227" t="s">
        <v>4740</v>
      </c>
      <c r="B29" s="214" t="s">
        <v>4820</v>
      </c>
      <c r="C29" s="215" t="s">
        <v>4821</v>
      </c>
      <c r="D29" s="217" t="s">
        <v>4822</v>
      </c>
      <c r="E29" s="219" t="str">
        <f>IF(COUNTIF(F29:AS29,"&lt;&gt;")=0,"",SUMPRODUCT(((Recommendations[ImplStatus]="Implemented")+(Recommendations[ImplStatus]="Compensated"))*ISNUMBER(MATCH(Recommendations[Id],F29:AS29,0)))/COUNTIF(F29:AS29,"&lt;&gt;"))</f>
        <v/>
      </c>
      <c r="F29" s="220"/>
      <c r="G29" s="220"/>
      <c r="H29" s="220"/>
      <c r="I29" s="220"/>
      <c r="J29" s="220"/>
      <c r="K29" s="220"/>
      <c r="L29" s="220"/>
      <c r="M29" s="220"/>
      <c r="N29" s="220"/>
      <c r="O29" s="220"/>
      <c r="P29" s="220"/>
      <c r="Q29" s="220"/>
      <c r="R29" s="220"/>
      <c r="S29" s="220"/>
      <c r="T29" s="220"/>
      <c r="U29" s="220"/>
      <c r="V29" s="220"/>
      <c r="W29" s="220"/>
      <c r="X29" s="220"/>
      <c r="Y29" s="220"/>
      <c r="Z29" s="220"/>
      <c r="AA29" s="220"/>
      <c r="AB29" s="220"/>
      <c r="AC29" s="220"/>
      <c r="AD29" s="220"/>
      <c r="AE29" s="220"/>
      <c r="AF29" s="220"/>
      <c r="AG29" s="220"/>
      <c r="AH29" s="220"/>
      <c r="AI29" s="220"/>
      <c r="AJ29" s="220"/>
      <c r="AK29" s="220"/>
      <c r="AL29" s="220"/>
      <c r="AM29" s="220"/>
      <c r="AN29" s="220"/>
      <c r="AO29" s="220"/>
      <c r="AP29" s="220"/>
      <c r="AQ29" s="220"/>
      <c r="AR29" s="220"/>
      <c r="AS29" s="230"/>
    </row>
    <row r="30" spans="1:45" ht="60" customHeight="1" x14ac:dyDescent="0.35">
      <c r="A30" s="227" t="s">
        <v>4740</v>
      </c>
      <c r="B30" s="214" t="s">
        <v>4823</v>
      </c>
      <c r="C30" s="215" t="s">
        <v>4824</v>
      </c>
      <c r="D30" s="217" t="s">
        <v>4825</v>
      </c>
      <c r="E30" s="219" t="str">
        <f>IF(COUNTIF(F30:AS30,"&lt;&gt;")=0,"",SUMPRODUCT(((Recommendations[ImplStatus]="Implemented")+(Recommendations[ImplStatus]="Compensated"))*ISNUMBER(MATCH(Recommendations[Id],F30:AS30,0)))/COUNTIF(F30:AS30,"&lt;&gt;"))</f>
        <v/>
      </c>
      <c r="F30" s="220"/>
      <c r="G30" s="220"/>
      <c r="H30" s="220"/>
      <c r="I30" s="220"/>
      <c r="J30" s="220"/>
      <c r="K30" s="220"/>
      <c r="L30" s="220"/>
      <c r="M30" s="220"/>
      <c r="N30" s="220"/>
      <c r="O30" s="220"/>
      <c r="P30" s="220"/>
      <c r="Q30" s="220"/>
      <c r="R30" s="220"/>
      <c r="S30" s="220"/>
      <c r="T30" s="220"/>
      <c r="U30" s="220"/>
      <c r="V30" s="220"/>
      <c r="W30" s="220"/>
      <c r="X30" s="220"/>
      <c r="Y30" s="220"/>
      <c r="Z30" s="220"/>
      <c r="AA30" s="220"/>
      <c r="AB30" s="220"/>
      <c r="AC30" s="220"/>
      <c r="AD30" s="220"/>
      <c r="AE30" s="220"/>
      <c r="AF30" s="220"/>
      <c r="AG30" s="220"/>
      <c r="AH30" s="220"/>
      <c r="AI30" s="220"/>
      <c r="AJ30" s="220"/>
      <c r="AK30" s="220"/>
      <c r="AL30" s="220"/>
      <c r="AM30" s="220"/>
      <c r="AN30" s="220"/>
      <c r="AO30" s="220"/>
      <c r="AP30" s="220"/>
      <c r="AQ30" s="220"/>
      <c r="AR30" s="220"/>
      <c r="AS30" s="230"/>
    </row>
    <row r="31" spans="1:45" ht="60" customHeight="1" x14ac:dyDescent="0.35">
      <c r="A31" s="227" t="s">
        <v>4740</v>
      </c>
      <c r="B31" s="214" t="s">
        <v>4826</v>
      </c>
      <c r="C31" s="215" t="s">
        <v>4827</v>
      </c>
      <c r="D31" s="217" t="s">
        <v>4828</v>
      </c>
      <c r="E31" s="219" t="str">
        <f>IF(COUNTIF(F31:AS31,"&lt;&gt;")=0,"",SUMPRODUCT(((Recommendations[ImplStatus]="Implemented")+(Recommendations[ImplStatus]="Compensated"))*ISNUMBER(MATCH(Recommendations[Id],F31:AS31,0)))/COUNTIF(F31:AS31,"&lt;&gt;"))</f>
        <v/>
      </c>
      <c r="F31" s="220"/>
      <c r="G31" s="220"/>
      <c r="H31" s="220"/>
      <c r="I31" s="220"/>
      <c r="J31" s="220"/>
      <c r="K31" s="220"/>
      <c r="L31" s="220"/>
      <c r="M31" s="220"/>
      <c r="N31" s="220"/>
      <c r="O31" s="220"/>
      <c r="P31" s="220"/>
      <c r="Q31" s="220"/>
      <c r="R31" s="220"/>
      <c r="S31" s="220"/>
      <c r="T31" s="220"/>
      <c r="U31" s="220"/>
      <c r="V31" s="220"/>
      <c r="W31" s="220"/>
      <c r="X31" s="220"/>
      <c r="Y31" s="220"/>
      <c r="Z31" s="220"/>
      <c r="AA31" s="220"/>
      <c r="AB31" s="220"/>
      <c r="AC31" s="220"/>
      <c r="AD31" s="220"/>
      <c r="AE31" s="220"/>
      <c r="AF31" s="220"/>
      <c r="AG31" s="220"/>
      <c r="AH31" s="220"/>
      <c r="AI31" s="220"/>
      <c r="AJ31" s="220"/>
      <c r="AK31" s="220"/>
      <c r="AL31" s="220"/>
      <c r="AM31" s="220"/>
      <c r="AN31" s="220"/>
      <c r="AO31" s="220"/>
      <c r="AP31" s="220"/>
      <c r="AQ31" s="220"/>
      <c r="AR31" s="220"/>
      <c r="AS31" s="230"/>
    </row>
    <row r="32" spans="1:45" ht="60" customHeight="1" x14ac:dyDescent="0.35">
      <c r="A32" s="227" t="s">
        <v>4740</v>
      </c>
      <c r="B32" s="214" t="s">
        <v>4829</v>
      </c>
      <c r="C32" s="215" t="s">
        <v>4830</v>
      </c>
      <c r="D32" s="217" t="s">
        <v>4831</v>
      </c>
      <c r="E32" s="219" t="str">
        <f>IF(COUNTIF(F32:AS32,"&lt;&gt;")=0,"",SUMPRODUCT(((Recommendations[ImplStatus]="Implemented")+(Recommendations[ImplStatus]="Compensated"))*ISNUMBER(MATCH(Recommendations[Id],F32:AS32,0)))/COUNTIF(F32:AS32,"&lt;&gt;"))</f>
        <v/>
      </c>
      <c r="F32" s="220"/>
      <c r="G32" s="220"/>
      <c r="H32" s="220"/>
      <c r="I32" s="220"/>
      <c r="J32" s="220"/>
      <c r="K32" s="220"/>
      <c r="L32" s="220"/>
      <c r="M32" s="220"/>
      <c r="N32" s="220"/>
      <c r="O32" s="220"/>
      <c r="P32" s="220"/>
      <c r="Q32" s="220"/>
      <c r="R32" s="220"/>
      <c r="S32" s="220"/>
      <c r="T32" s="220"/>
      <c r="U32" s="220"/>
      <c r="V32" s="220"/>
      <c r="W32" s="220"/>
      <c r="X32" s="220"/>
      <c r="Y32" s="220"/>
      <c r="Z32" s="220"/>
      <c r="AA32" s="220"/>
      <c r="AB32" s="220"/>
      <c r="AC32" s="220"/>
      <c r="AD32" s="220"/>
      <c r="AE32" s="220"/>
      <c r="AF32" s="220"/>
      <c r="AG32" s="220"/>
      <c r="AH32" s="220"/>
      <c r="AI32" s="220"/>
      <c r="AJ32" s="220"/>
      <c r="AK32" s="220"/>
      <c r="AL32" s="220"/>
      <c r="AM32" s="220"/>
      <c r="AN32" s="220"/>
      <c r="AO32" s="220"/>
      <c r="AP32" s="220"/>
      <c r="AQ32" s="220"/>
      <c r="AR32" s="220"/>
      <c r="AS32" s="230"/>
    </row>
    <row r="33" spans="1:45" ht="60" customHeight="1" x14ac:dyDescent="0.35">
      <c r="A33" s="227" t="s">
        <v>4740</v>
      </c>
      <c r="B33" s="214" t="s">
        <v>4832</v>
      </c>
      <c r="C33" s="215" t="s">
        <v>4833</v>
      </c>
      <c r="D33" s="217" t="s">
        <v>4834</v>
      </c>
      <c r="E33" s="219" t="str">
        <f>IF(COUNTIF(F33:AS33,"&lt;&gt;")=0,"",SUMPRODUCT(((Recommendations[ImplStatus]="Implemented")+(Recommendations[ImplStatus]="Compensated"))*ISNUMBER(MATCH(Recommendations[Id],F33:AS33,0)))/COUNTIF(F33:AS33,"&lt;&gt;"))</f>
        <v/>
      </c>
      <c r="F33" s="220"/>
      <c r="G33" s="220"/>
      <c r="H33" s="220"/>
      <c r="I33" s="220"/>
      <c r="J33" s="220"/>
      <c r="K33" s="220"/>
      <c r="L33" s="220"/>
      <c r="M33" s="220"/>
      <c r="N33" s="220"/>
      <c r="O33" s="220"/>
      <c r="P33" s="220"/>
      <c r="Q33" s="220"/>
      <c r="R33" s="220"/>
      <c r="S33" s="220"/>
      <c r="T33" s="220"/>
      <c r="U33" s="220"/>
      <c r="V33" s="220"/>
      <c r="W33" s="220"/>
      <c r="X33" s="220"/>
      <c r="Y33" s="220"/>
      <c r="Z33" s="220"/>
      <c r="AA33" s="220"/>
      <c r="AB33" s="220"/>
      <c r="AC33" s="220"/>
      <c r="AD33" s="220"/>
      <c r="AE33" s="220"/>
      <c r="AF33" s="220"/>
      <c r="AG33" s="220"/>
      <c r="AH33" s="220"/>
      <c r="AI33" s="220"/>
      <c r="AJ33" s="220"/>
      <c r="AK33" s="220"/>
      <c r="AL33" s="220"/>
      <c r="AM33" s="220"/>
      <c r="AN33" s="220"/>
      <c r="AO33" s="220"/>
      <c r="AP33" s="220"/>
      <c r="AQ33" s="220"/>
      <c r="AR33" s="220"/>
      <c r="AS33" s="230"/>
    </row>
    <row r="34" spans="1:45" ht="60" customHeight="1" x14ac:dyDescent="0.35">
      <c r="A34" s="227" t="s">
        <v>4740</v>
      </c>
      <c r="B34" s="214" t="s">
        <v>4835</v>
      </c>
      <c r="C34" s="215" t="s">
        <v>4836</v>
      </c>
      <c r="D34" s="217" t="s">
        <v>4837</v>
      </c>
      <c r="E34" s="219" t="str">
        <f>IF(COUNTIF(F34:AS34,"&lt;&gt;")=0,"",SUMPRODUCT(((Recommendations[ImplStatus]="Implemented")+(Recommendations[ImplStatus]="Compensated"))*ISNUMBER(MATCH(Recommendations[Id],F34:AS34,0)))/COUNTIF(F34:AS34,"&lt;&gt;"))</f>
        <v/>
      </c>
      <c r="F34" s="220"/>
      <c r="G34" s="220"/>
      <c r="H34" s="220"/>
      <c r="I34" s="220"/>
      <c r="J34" s="220"/>
      <c r="K34" s="220"/>
      <c r="L34" s="220"/>
      <c r="M34" s="220"/>
      <c r="N34" s="220"/>
      <c r="O34" s="220"/>
      <c r="P34" s="220"/>
      <c r="Q34" s="220"/>
      <c r="R34" s="220"/>
      <c r="S34" s="220"/>
      <c r="T34" s="220"/>
      <c r="U34" s="220"/>
      <c r="V34" s="220"/>
      <c r="W34" s="220"/>
      <c r="X34" s="220"/>
      <c r="Y34" s="220"/>
      <c r="Z34" s="220"/>
      <c r="AA34" s="220"/>
      <c r="AB34" s="220"/>
      <c r="AC34" s="220"/>
      <c r="AD34" s="220"/>
      <c r="AE34" s="220"/>
      <c r="AF34" s="220"/>
      <c r="AG34" s="220"/>
      <c r="AH34" s="220"/>
      <c r="AI34" s="220"/>
      <c r="AJ34" s="220"/>
      <c r="AK34" s="220"/>
      <c r="AL34" s="220"/>
      <c r="AM34" s="220"/>
      <c r="AN34" s="220"/>
      <c r="AO34" s="220"/>
      <c r="AP34" s="220"/>
      <c r="AQ34" s="220"/>
      <c r="AR34" s="220"/>
      <c r="AS34" s="230"/>
    </row>
    <row r="35" spans="1:45" ht="60" customHeight="1" x14ac:dyDescent="0.35">
      <c r="A35" s="227" t="s">
        <v>4740</v>
      </c>
      <c r="B35" s="214" t="s">
        <v>4838</v>
      </c>
      <c r="C35" s="215" t="s">
        <v>4839</v>
      </c>
      <c r="D35" s="217" t="s">
        <v>4840</v>
      </c>
      <c r="E35" s="219" t="str">
        <f>IF(COUNTIF(F35:AS35,"&lt;&gt;")=0,"",SUMPRODUCT(((Recommendations[ImplStatus]="Implemented")+(Recommendations[ImplStatus]="Compensated"))*ISNUMBER(MATCH(Recommendations[Id],F35:AS35,0)))/COUNTIF(F35:AS35,"&lt;&gt;"))</f>
        <v/>
      </c>
      <c r="F35" s="220"/>
      <c r="G35" s="220"/>
      <c r="H35" s="220"/>
      <c r="I35" s="220"/>
      <c r="J35" s="220"/>
      <c r="K35" s="220"/>
      <c r="L35" s="220"/>
      <c r="M35" s="220"/>
      <c r="N35" s="220"/>
      <c r="O35" s="220"/>
      <c r="P35" s="220"/>
      <c r="Q35" s="220"/>
      <c r="R35" s="220"/>
      <c r="S35" s="220"/>
      <c r="T35" s="220"/>
      <c r="U35" s="220"/>
      <c r="V35" s="220"/>
      <c r="W35" s="220"/>
      <c r="X35" s="220"/>
      <c r="Y35" s="220"/>
      <c r="Z35" s="220"/>
      <c r="AA35" s="220"/>
      <c r="AB35" s="220"/>
      <c r="AC35" s="220"/>
      <c r="AD35" s="220"/>
      <c r="AE35" s="220"/>
      <c r="AF35" s="220"/>
      <c r="AG35" s="220"/>
      <c r="AH35" s="220"/>
      <c r="AI35" s="220"/>
      <c r="AJ35" s="220"/>
      <c r="AK35" s="220"/>
      <c r="AL35" s="220"/>
      <c r="AM35" s="220"/>
      <c r="AN35" s="220"/>
      <c r="AO35" s="220"/>
      <c r="AP35" s="220"/>
      <c r="AQ35" s="220"/>
      <c r="AR35" s="220"/>
      <c r="AS35" s="230"/>
    </row>
    <row r="36" spans="1:45" ht="60" customHeight="1" x14ac:dyDescent="0.35">
      <c r="A36" s="227" t="s">
        <v>4740</v>
      </c>
      <c r="B36" s="214" t="s">
        <v>4841</v>
      </c>
      <c r="C36" s="215" t="s">
        <v>4842</v>
      </c>
      <c r="D36" s="217" t="s">
        <v>4843</v>
      </c>
      <c r="E36" s="219" t="str">
        <f>IF(COUNTIF(F36:AS36,"&lt;&gt;")=0,"",SUMPRODUCT(((Recommendations[ImplStatus]="Implemented")+(Recommendations[ImplStatus]="Compensated"))*ISNUMBER(MATCH(Recommendations[Id],F36:AS36,0)))/COUNTIF(F36:AS36,"&lt;&gt;"))</f>
        <v/>
      </c>
      <c r="F36" s="220"/>
      <c r="G36" s="220"/>
      <c r="H36" s="220"/>
      <c r="I36" s="220"/>
      <c r="J36" s="220"/>
      <c r="K36" s="220"/>
      <c r="L36" s="220"/>
      <c r="M36" s="220"/>
      <c r="N36" s="220"/>
      <c r="O36" s="220"/>
      <c r="P36" s="220"/>
      <c r="Q36" s="220"/>
      <c r="R36" s="220"/>
      <c r="S36" s="220"/>
      <c r="T36" s="220"/>
      <c r="U36" s="220"/>
      <c r="V36" s="220"/>
      <c r="W36" s="220"/>
      <c r="X36" s="220"/>
      <c r="Y36" s="220"/>
      <c r="Z36" s="220"/>
      <c r="AA36" s="220"/>
      <c r="AB36" s="220"/>
      <c r="AC36" s="220"/>
      <c r="AD36" s="220"/>
      <c r="AE36" s="220"/>
      <c r="AF36" s="220"/>
      <c r="AG36" s="220"/>
      <c r="AH36" s="220"/>
      <c r="AI36" s="220"/>
      <c r="AJ36" s="220"/>
      <c r="AK36" s="220"/>
      <c r="AL36" s="220"/>
      <c r="AM36" s="220"/>
      <c r="AN36" s="220"/>
      <c r="AO36" s="220"/>
      <c r="AP36" s="220"/>
      <c r="AQ36" s="220"/>
      <c r="AR36" s="220"/>
      <c r="AS36" s="230"/>
    </row>
    <row r="37" spans="1:45" ht="60" customHeight="1" x14ac:dyDescent="0.35">
      <c r="A37" s="227" t="s">
        <v>4740</v>
      </c>
      <c r="B37" s="214" t="s">
        <v>4844</v>
      </c>
      <c r="C37" s="215" t="s">
        <v>4845</v>
      </c>
      <c r="D37" s="217" t="s">
        <v>4846</v>
      </c>
      <c r="E37" s="219" t="str">
        <f>IF(COUNTIF(F37:AS37,"&lt;&gt;")=0,"",SUMPRODUCT(((Recommendations[ImplStatus]="Implemented")+(Recommendations[ImplStatus]="Compensated"))*ISNUMBER(MATCH(Recommendations[Id],F37:AS37,0)))/COUNTIF(F37:AS37,"&lt;&gt;"))</f>
        <v/>
      </c>
      <c r="F37" s="220"/>
      <c r="G37" s="220"/>
      <c r="H37" s="220"/>
      <c r="I37" s="220"/>
      <c r="J37" s="220"/>
      <c r="K37" s="220"/>
      <c r="L37" s="220"/>
      <c r="M37" s="220"/>
      <c r="N37" s="220"/>
      <c r="O37" s="220"/>
      <c r="P37" s="220"/>
      <c r="Q37" s="220"/>
      <c r="R37" s="220"/>
      <c r="S37" s="220"/>
      <c r="T37" s="220"/>
      <c r="U37" s="220"/>
      <c r="V37" s="220"/>
      <c r="W37" s="220"/>
      <c r="X37" s="220"/>
      <c r="Y37" s="220"/>
      <c r="Z37" s="220"/>
      <c r="AA37" s="220"/>
      <c r="AB37" s="220"/>
      <c r="AC37" s="220"/>
      <c r="AD37" s="220"/>
      <c r="AE37" s="220"/>
      <c r="AF37" s="220"/>
      <c r="AG37" s="220"/>
      <c r="AH37" s="220"/>
      <c r="AI37" s="220"/>
      <c r="AJ37" s="220"/>
      <c r="AK37" s="220"/>
      <c r="AL37" s="220"/>
      <c r="AM37" s="220"/>
      <c r="AN37" s="220"/>
      <c r="AO37" s="220"/>
      <c r="AP37" s="220"/>
      <c r="AQ37" s="220"/>
      <c r="AR37" s="220"/>
      <c r="AS37" s="230"/>
    </row>
    <row r="38" spans="1:45" ht="60" customHeight="1" x14ac:dyDescent="0.35">
      <c r="A38" s="227" t="s">
        <v>4740</v>
      </c>
      <c r="B38" s="214" t="s">
        <v>4847</v>
      </c>
      <c r="C38" s="215" t="s">
        <v>4848</v>
      </c>
      <c r="D38" s="217" t="s">
        <v>4849</v>
      </c>
      <c r="E38" s="219" t="str">
        <f>IF(COUNTIF(F38:AS38,"&lt;&gt;")=0,"",SUMPRODUCT(((Recommendations[ImplStatus]="Implemented")+(Recommendations[ImplStatus]="Compensated"))*ISNUMBER(MATCH(Recommendations[Id],F38:AS38,0)))/COUNTIF(F38:AS38,"&lt;&gt;"))</f>
        <v/>
      </c>
      <c r="F38" s="220"/>
      <c r="G38" s="220"/>
      <c r="H38" s="220"/>
      <c r="I38" s="220"/>
      <c r="J38" s="220"/>
      <c r="K38" s="220"/>
      <c r="L38" s="220"/>
      <c r="M38" s="220"/>
      <c r="N38" s="220"/>
      <c r="O38" s="220"/>
      <c r="P38" s="220"/>
      <c r="Q38" s="220"/>
      <c r="R38" s="220"/>
      <c r="S38" s="220"/>
      <c r="T38" s="220"/>
      <c r="U38" s="220"/>
      <c r="V38" s="220"/>
      <c r="W38" s="220"/>
      <c r="X38" s="220"/>
      <c r="Y38" s="220"/>
      <c r="Z38" s="220"/>
      <c r="AA38" s="220"/>
      <c r="AB38" s="220"/>
      <c r="AC38" s="220"/>
      <c r="AD38" s="220"/>
      <c r="AE38" s="220"/>
      <c r="AF38" s="220"/>
      <c r="AG38" s="220"/>
      <c r="AH38" s="220"/>
      <c r="AI38" s="220"/>
      <c r="AJ38" s="220"/>
      <c r="AK38" s="220"/>
      <c r="AL38" s="220"/>
      <c r="AM38" s="220"/>
      <c r="AN38" s="220"/>
      <c r="AO38" s="220"/>
      <c r="AP38" s="220"/>
      <c r="AQ38" s="220"/>
      <c r="AR38" s="220"/>
      <c r="AS38" s="230"/>
    </row>
    <row r="39" spans="1:45" ht="60" customHeight="1" x14ac:dyDescent="0.35">
      <c r="A39" s="227" t="s">
        <v>4740</v>
      </c>
      <c r="B39" s="214" t="s">
        <v>4850</v>
      </c>
      <c r="C39" s="215" t="s">
        <v>4851</v>
      </c>
      <c r="D39" s="217" t="s">
        <v>4852</v>
      </c>
      <c r="E39" s="219" t="str">
        <f>IF(COUNTIF(F39:AS39,"&lt;&gt;")=0,"",SUMPRODUCT(((Recommendations[ImplStatus]="Implemented")+(Recommendations[ImplStatus]="Compensated"))*ISNUMBER(MATCH(Recommendations[Id],F39:AS39,0)))/COUNTIF(F39:AS39,"&lt;&gt;"))</f>
        <v/>
      </c>
      <c r="F39" s="220"/>
      <c r="G39" s="220"/>
      <c r="H39" s="220"/>
      <c r="I39" s="220"/>
      <c r="J39" s="220"/>
      <c r="K39" s="220"/>
      <c r="L39" s="220"/>
      <c r="M39" s="220"/>
      <c r="N39" s="220"/>
      <c r="O39" s="220"/>
      <c r="P39" s="220"/>
      <c r="Q39" s="220"/>
      <c r="R39" s="220"/>
      <c r="S39" s="220"/>
      <c r="T39" s="220"/>
      <c r="U39" s="220"/>
      <c r="V39" s="220"/>
      <c r="W39" s="220"/>
      <c r="X39" s="220"/>
      <c r="Y39" s="220"/>
      <c r="Z39" s="220"/>
      <c r="AA39" s="220"/>
      <c r="AB39" s="220"/>
      <c r="AC39" s="220"/>
      <c r="AD39" s="220"/>
      <c r="AE39" s="220"/>
      <c r="AF39" s="220"/>
      <c r="AG39" s="220"/>
      <c r="AH39" s="220"/>
      <c r="AI39" s="220"/>
      <c r="AJ39" s="220"/>
      <c r="AK39" s="220"/>
      <c r="AL39" s="220"/>
      <c r="AM39" s="220"/>
      <c r="AN39" s="220"/>
      <c r="AO39" s="220"/>
      <c r="AP39" s="220"/>
      <c r="AQ39" s="220"/>
      <c r="AR39" s="220"/>
      <c r="AS39" s="230"/>
    </row>
    <row r="40" spans="1:45" ht="60" customHeight="1" outlineLevel="1" x14ac:dyDescent="0.35">
      <c r="A40" s="226" t="s">
        <v>4853</v>
      </c>
      <c r="B40" s="213" t="s">
        <v>4854</v>
      </c>
      <c r="C40" s="212"/>
      <c r="D40" s="216"/>
      <c r="E40" s="218" t="str">
        <f>IF(COUNTIF(F40:AS40,"&lt;&gt;")=0,"",SUMPRODUCT(((Recommendations[ImplStatus]="Implemented")+(Recommendations[ImplStatus]="Compensated"))*ISNUMBER(MATCH(Recommendations[Id],F40:AS40,0)))/COUNTIF(F40:AS40,"&lt;&gt;"))</f>
        <v/>
      </c>
      <c r="F40" s="212"/>
      <c r="G40" s="212"/>
      <c r="H40" s="212"/>
      <c r="I40" s="212"/>
      <c r="J40" s="212"/>
      <c r="K40" s="212"/>
      <c r="L40" s="212"/>
      <c r="M40" s="212"/>
      <c r="N40" s="212"/>
      <c r="O40" s="212"/>
      <c r="P40" s="212"/>
      <c r="Q40" s="212"/>
      <c r="R40" s="212"/>
      <c r="S40" s="212"/>
      <c r="T40" s="212"/>
      <c r="U40" s="212"/>
      <c r="V40" s="212"/>
      <c r="W40" s="212"/>
      <c r="X40" s="212"/>
      <c r="Y40" s="212"/>
      <c r="Z40" s="212"/>
      <c r="AA40" s="212"/>
      <c r="AB40" s="212"/>
      <c r="AC40" s="212"/>
      <c r="AD40" s="212"/>
      <c r="AE40" s="212"/>
      <c r="AF40" s="212"/>
      <c r="AG40" s="212"/>
      <c r="AH40" s="212"/>
      <c r="AI40" s="212"/>
      <c r="AJ40" s="212"/>
      <c r="AK40" s="212"/>
      <c r="AL40" s="212"/>
      <c r="AM40" s="212"/>
      <c r="AN40" s="212"/>
      <c r="AO40" s="212"/>
      <c r="AP40" s="212"/>
      <c r="AQ40" s="212"/>
      <c r="AR40" s="212"/>
      <c r="AS40" s="229"/>
    </row>
    <row r="41" spans="1:45" ht="60" customHeight="1" x14ac:dyDescent="0.35">
      <c r="A41" s="227" t="s">
        <v>4853</v>
      </c>
      <c r="B41" s="214" t="s">
        <v>4855</v>
      </c>
      <c r="C41" s="215" t="s">
        <v>4856</v>
      </c>
      <c r="D41" s="217" t="s">
        <v>4857</v>
      </c>
      <c r="E41" s="219" t="str">
        <f>IF(COUNTIF(F41:AS41,"&lt;&gt;")=0,"",SUMPRODUCT(((Recommendations[ImplStatus]="Implemented")+(Recommendations[ImplStatus]="Compensated"))*ISNUMBER(MATCH(Recommendations[Id],F41:AS41,0)))/COUNTIF(F41:AS41,"&lt;&gt;"))</f>
        <v/>
      </c>
      <c r="F41" s="220"/>
      <c r="G41" s="220"/>
      <c r="H41" s="220"/>
      <c r="I41" s="220"/>
      <c r="J41" s="220"/>
      <c r="K41" s="220"/>
      <c r="L41" s="220"/>
      <c r="M41" s="220"/>
      <c r="N41" s="220"/>
      <c r="O41" s="220"/>
      <c r="P41" s="220"/>
      <c r="Q41" s="220"/>
      <c r="R41" s="220"/>
      <c r="S41" s="220"/>
      <c r="T41" s="220"/>
      <c r="U41" s="220"/>
      <c r="V41" s="220"/>
      <c r="W41" s="220"/>
      <c r="X41" s="220"/>
      <c r="Y41" s="220"/>
      <c r="Z41" s="220"/>
      <c r="AA41" s="220"/>
      <c r="AB41" s="220"/>
      <c r="AC41" s="220"/>
      <c r="AD41" s="220"/>
      <c r="AE41" s="220"/>
      <c r="AF41" s="220"/>
      <c r="AG41" s="220"/>
      <c r="AH41" s="220"/>
      <c r="AI41" s="220"/>
      <c r="AJ41" s="220"/>
      <c r="AK41" s="220"/>
      <c r="AL41" s="220"/>
      <c r="AM41" s="220"/>
      <c r="AN41" s="220"/>
      <c r="AO41" s="220"/>
      <c r="AP41" s="220"/>
      <c r="AQ41" s="220"/>
      <c r="AR41" s="220"/>
      <c r="AS41" s="230"/>
    </row>
    <row r="42" spans="1:45" ht="60" customHeight="1" x14ac:dyDescent="0.35">
      <c r="A42" s="227" t="s">
        <v>4853</v>
      </c>
      <c r="B42" s="214" t="s">
        <v>4858</v>
      </c>
      <c r="C42" s="215" t="s">
        <v>4859</v>
      </c>
      <c r="D42" s="217" t="s">
        <v>4860</v>
      </c>
      <c r="E42" s="219" t="str">
        <f>IF(COUNTIF(F42:AS42,"&lt;&gt;")=0,"",SUMPRODUCT(((Recommendations[ImplStatus]="Implemented")+(Recommendations[ImplStatus]="Compensated"))*ISNUMBER(MATCH(Recommendations[Id],F42:AS42,0)))/COUNTIF(F42:AS42,"&lt;&gt;"))</f>
        <v/>
      </c>
      <c r="F42" s="220"/>
      <c r="G42" s="220"/>
      <c r="H42" s="220"/>
      <c r="I42" s="220"/>
      <c r="J42" s="220"/>
      <c r="K42" s="220"/>
      <c r="L42" s="220"/>
      <c r="M42" s="220"/>
      <c r="N42" s="220"/>
      <c r="O42" s="220"/>
      <c r="P42" s="220"/>
      <c r="Q42" s="220"/>
      <c r="R42" s="220"/>
      <c r="S42" s="220"/>
      <c r="T42" s="220"/>
      <c r="U42" s="220"/>
      <c r="V42" s="220"/>
      <c r="W42" s="220"/>
      <c r="X42" s="220"/>
      <c r="Y42" s="220"/>
      <c r="Z42" s="220"/>
      <c r="AA42" s="220"/>
      <c r="AB42" s="220"/>
      <c r="AC42" s="220"/>
      <c r="AD42" s="220"/>
      <c r="AE42" s="220"/>
      <c r="AF42" s="220"/>
      <c r="AG42" s="220"/>
      <c r="AH42" s="220"/>
      <c r="AI42" s="220"/>
      <c r="AJ42" s="220"/>
      <c r="AK42" s="220"/>
      <c r="AL42" s="220"/>
      <c r="AM42" s="220"/>
      <c r="AN42" s="220"/>
      <c r="AO42" s="220"/>
      <c r="AP42" s="220"/>
      <c r="AQ42" s="220"/>
      <c r="AR42" s="220"/>
      <c r="AS42" s="230"/>
    </row>
    <row r="43" spans="1:45" ht="60" customHeight="1" x14ac:dyDescent="0.35">
      <c r="A43" s="227" t="s">
        <v>4853</v>
      </c>
      <c r="B43" s="214" t="s">
        <v>4861</v>
      </c>
      <c r="C43" s="215" t="s">
        <v>4862</v>
      </c>
      <c r="D43" s="217" t="s">
        <v>4863</v>
      </c>
      <c r="E43" s="219" t="str">
        <f>IF(COUNTIF(F43:AS43,"&lt;&gt;")=0,"",SUMPRODUCT(((Recommendations[ImplStatus]="Implemented")+(Recommendations[ImplStatus]="Compensated"))*ISNUMBER(MATCH(Recommendations[Id],F43:AS43,0)))/COUNTIF(F43:AS43,"&lt;&gt;"))</f>
        <v/>
      </c>
      <c r="F43" s="220"/>
      <c r="G43" s="220"/>
      <c r="H43" s="220"/>
      <c r="I43" s="220"/>
      <c r="J43" s="220"/>
      <c r="K43" s="220"/>
      <c r="L43" s="220"/>
      <c r="M43" s="220"/>
      <c r="N43" s="220"/>
      <c r="O43" s="220"/>
      <c r="P43" s="220"/>
      <c r="Q43" s="220"/>
      <c r="R43" s="220"/>
      <c r="S43" s="220"/>
      <c r="T43" s="220"/>
      <c r="U43" s="220"/>
      <c r="V43" s="220"/>
      <c r="W43" s="220"/>
      <c r="X43" s="220"/>
      <c r="Y43" s="220"/>
      <c r="Z43" s="220"/>
      <c r="AA43" s="220"/>
      <c r="AB43" s="220"/>
      <c r="AC43" s="220"/>
      <c r="AD43" s="220"/>
      <c r="AE43" s="220"/>
      <c r="AF43" s="220"/>
      <c r="AG43" s="220"/>
      <c r="AH43" s="220"/>
      <c r="AI43" s="220"/>
      <c r="AJ43" s="220"/>
      <c r="AK43" s="220"/>
      <c r="AL43" s="220"/>
      <c r="AM43" s="220"/>
      <c r="AN43" s="220"/>
      <c r="AO43" s="220"/>
      <c r="AP43" s="220"/>
      <c r="AQ43" s="220"/>
      <c r="AR43" s="220"/>
      <c r="AS43" s="230"/>
    </row>
    <row r="44" spans="1:45" ht="60" customHeight="1" x14ac:dyDescent="0.35">
      <c r="A44" s="227" t="s">
        <v>4853</v>
      </c>
      <c r="B44" s="214" t="s">
        <v>4864</v>
      </c>
      <c r="C44" s="215" t="s">
        <v>4865</v>
      </c>
      <c r="D44" s="217" t="s">
        <v>4866</v>
      </c>
      <c r="E44" s="219" t="str">
        <f>IF(COUNTIF(F44:AS44,"&lt;&gt;")=0,"",SUMPRODUCT(((Recommendations[ImplStatus]="Implemented")+(Recommendations[ImplStatus]="Compensated"))*ISNUMBER(MATCH(Recommendations[Id],F44:AS44,0)))/COUNTIF(F44:AS44,"&lt;&gt;"))</f>
        <v/>
      </c>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30"/>
    </row>
    <row r="45" spans="1:45" ht="60" customHeight="1" x14ac:dyDescent="0.35">
      <c r="A45" s="227" t="s">
        <v>4853</v>
      </c>
      <c r="B45" s="214" t="s">
        <v>4867</v>
      </c>
      <c r="C45" s="215" t="s">
        <v>4868</v>
      </c>
      <c r="D45" s="217" t="s">
        <v>4869</v>
      </c>
      <c r="E45" s="219" t="str">
        <f>IF(COUNTIF(F45:AS45,"&lt;&gt;")=0,"",SUMPRODUCT(((Recommendations[ImplStatus]="Implemented")+(Recommendations[ImplStatus]="Compensated"))*ISNUMBER(MATCH(Recommendations[Id],F45:AS45,0)))/COUNTIF(F45:AS45,"&lt;&gt;"))</f>
        <v/>
      </c>
      <c r="F45" s="220"/>
      <c r="G45" s="220"/>
      <c r="H45" s="220"/>
      <c r="I45" s="220"/>
      <c r="J45" s="220"/>
      <c r="K45" s="220"/>
      <c r="L45" s="220"/>
      <c r="M45" s="220"/>
      <c r="N45" s="220"/>
      <c r="O45" s="220"/>
      <c r="P45" s="220"/>
      <c r="Q45" s="220"/>
      <c r="R45" s="220"/>
      <c r="S45" s="220"/>
      <c r="T45" s="220"/>
      <c r="U45" s="220"/>
      <c r="V45" s="220"/>
      <c r="W45" s="220"/>
      <c r="X45" s="220"/>
      <c r="Y45" s="220"/>
      <c r="Z45" s="220"/>
      <c r="AA45" s="220"/>
      <c r="AB45" s="220"/>
      <c r="AC45" s="220"/>
      <c r="AD45" s="220"/>
      <c r="AE45" s="220"/>
      <c r="AF45" s="220"/>
      <c r="AG45" s="220"/>
      <c r="AH45" s="220"/>
      <c r="AI45" s="220"/>
      <c r="AJ45" s="220"/>
      <c r="AK45" s="220"/>
      <c r="AL45" s="220"/>
      <c r="AM45" s="220"/>
      <c r="AN45" s="220"/>
      <c r="AO45" s="220"/>
      <c r="AP45" s="220"/>
      <c r="AQ45" s="220"/>
      <c r="AR45" s="220"/>
      <c r="AS45" s="230"/>
    </row>
    <row r="46" spans="1:45" ht="60" customHeight="1" x14ac:dyDescent="0.35">
      <c r="A46" s="227" t="s">
        <v>4853</v>
      </c>
      <c r="B46" s="214" t="s">
        <v>4870</v>
      </c>
      <c r="C46" s="215" t="s">
        <v>4871</v>
      </c>
      <c r="D46" s="217" t="s">
        <v>4872</v>
      </c>
      <c r="E46" s="219" t="str">
        <f>IF(COUNTIF(F46:AS46,"&lt;&gt;")=0,"",SUMPRODUCT(((Recommendations[ImplStatus]="Implemented")+(Recommendations[ImplStatus]="Compensated"))*ISNUMBER(MATCH(Recommendations[Id],F46:AS46,0)))/COUNTIF(F46:AS46,"&lt;&gt;"))</f>
        <v/>
      </c>
      <c r="F46" s="220"/>
      <c r="G46" s="220"/>
      <c r="H46" s="220"/>
      <c r="I46" s="220"/>
      <c r="J46" s="220"/>
      <c r="K46" s="220"/>
      <c r="L46" s="220"/>
      <c r="M46" s="220"/>
      <c r="N46" s="220"/>
      <c r="O46" s="220"/>
      <c r="P46" s="220"/>
      <c r="Q46" s="220"/>
      <c r="R46" s="220"/>
      <c r="S46" s="220"/>
      <c r="T46" s="220"/>
      <c r="U46" s="220"/>
      <c r="V46" s="220"/>
      <c r="W46" s="220"/>
      <c r="X46" s="220"/>
      <c r="Y46" s="220"/>
      <c r="Z46" s="220"/>
      <c r="AA46" s="220"/>
      <c r="AB46" s="220"/>
      <c r="AC46" s="220"/>
      <c r="AD46" s="220"/>
      <c r="AE46" s="220"/>
      <c r="AF46" s="220"/>
      <c r="AG46" s="220"/>
      <c r="AH46" s="220"/>
      <c r="AI46" s="220"/>
      <c r="AJ46" s="220"/>
      <c r="AK46" s="220"/>
      <c r="AL46" s="220"/>
      <c r="AM46" s="220"/>
      <c r="AN46" s="220"/>
      <c r="AO46" s="220"/>
      <c r="AP46" s="220"/>
      <c r="AQ46" s="220"/>
      <c r="AR46" s="220"/>
      <c r="AS46" s="230"/>
    </row>
    <row r="47" spans="1:45" ht="60" customHeight="1" x14ac:dyDescent="0.35">
      <c r="A47" s="227" t="s">
        <v>4853</v>
      </c>
      <c r="B47" s="214" t="s">
        <v>4873</v>
      </c>
      <c r="C47" s="215" t="s">
        <v>4874</v>
      </c>
      <c r="D47" s="217" t="s">
        <v>4875</v>
      </c>
      <c r="E47" s="219" t="str">
        <f>IF(COUNTIF(F47:AS47,"&lt;&gt;")=0,"",SUMPRODUCT(((Recommendations[ImplStatus]="Implemented")+(Recommendations[ImplStatus]="Compensated"))*ISNUMBER(MATCH(Recommendations[Id],F47:AS47,0)))/COUNTIF(F47:AS47,"&lt;&gt;"))</f>
        <v/>
      </c>
      <c r="F47" s="220"/>
      <c r="G47" s="220"/>
      <c r="H47" s="220"/>
      <c r="I47" s="220"/>
      <c r="J47" s="220"/>
      <c r="K47" s="220"/>
      <c r="L47" s="220"/>
      <c r="M47" s="220"/>
      <c r="N47" s="220"/>
      <c r="O47" s="220"/>
      <c r="P47" s="220"/>
      <c r="Q47" s="220"/>
      <c r="R47" s="220"/>
      <c r="S47" s="220"/>
      <c r="T47" s="220"/>
      <c r="U47" s="220"/>
      <c r="V47" s="220"/>
      <c r="W47" s="220"/>
      <c r="X47" s="220"/>
      <c r="Y47" s="220"/>
      <c r="Z47" s="220"/>
      <c r="AA47" s="220"/>
      <c r="AB47" s="220"/>
      <c r="AC47" s="220"/>
      <c r="AD47" s="220"/>
      <c r="AE47" s="220"/>
      <c r="AF47" s="220"/>
      <c r="AG47" s="220"/>
      <c r="AH47" s="220"/>
      <c r="AI47" s="220"/>
      <c r="AJ47" s="220"/>
      <c r="AK47" s="220"/>
      <c r="AL47" s="220"/>
      <c r="AM47" s="220"/>
      <c r="AN47" s="220"/>
      <c r="AO47" s="220"/>
      <c r="AP47" s="220"/>
      <c r="AQ47" s="220"/>
      <c r="AR47" s="220"/>
      <c r="AS47" s="230"/>
    </row>
    <row r="48" spans="1:45" ht="60" customHeight="1" x14ac:dyDescent="0.35">
      <c r="A48" s="227" t="s">
        <v>4853</v>
      </c>
      <c r="B48" s="214" t="s">
        <v>4876</v>
      </c>
      <c r="C48" s="215" t="s">
        <v>4877</v>
      </c>
      <c r="D48" s="217" t="s">
        <v>4878</v>
      </c>
      <c r="E48" s="219" t="str">
        <f>IF(COUNTIF(F48:AS48,"&lt;&gt;")=0,"",SUMPRODUCT(((Recommendations[ImplStatus]="Implemented")+(Recommendations[ImplStatus]="Compensated"))*ISNUMBER(MATCH(Recommendations[Id],F48:AS48,0)))/COUNTIF(F48:AS48,"&lt;&gt;"))</f>
        <v/>
      </c>
      <c r="F48" s="220"/>
      <c r="G48" s="220"/>
      <c r="H48" s="220"/>
      <c r="I48" s="220"/>
      <c r="J48" s="220"/>
      <c r="K48" s="220"/>
      <c r="L48" s="220"/>
      <c r="M48" s="220"/>
      <c r="N48" s="220"/>
      <c r="O48" s="220"/>
      <c r="P48" s="220"/>
      <c r="Q48" s="220"/>
      <c r="R48" s="220"/>
      <c r="S48" s="220"/>
      <c r="T48" s="220"/>
      <c r="U48" s="220"/>
      <c r="V48" s="220"/>
      <c r="W48" s="220"/>
      <c r="X48" s="220"/>
      <c r="Y48" s="220"/>
      <c r="Z48" s="220"/>
      <c r="AA48" s="220"/>
      <c r="AB48" s="220"/>
      <c r="AC48" s="220"/>
      <c r="AD48" s="220"/>
      <c r="AE48" s="220"/>
      <c r="AF48" s="220"/>
      <c r="AG48" s="220"/>
      <c r="AH48" s="220"/>
      <c r="AI48" s="220"/>
      <c r="AJ48" s="220"/>
      <c r="AK48" s="220"/>
      <c r="AL48" s="220"/>
      <c r="AM48" s="220"/>
      <c r="AN48" s="220"/>
      <c r="AO48" s="220"/>
      <c r="AP48" s="220"/>
      <c r="AQ48" s="220"/>
      <c r="AR48" s="220"/>
      <c r="AS48" s="230"/>
    </row>
    <row r="49" spans="1:45" ht="60" customHeight="1" outlineLevel="1" x14ac:dyDescent="0.35">
      <c r="A49" s="226" t="s">
        <v>4879</v>
      </c>
      <c r="B49" s="213" t="s">
        <v>4880</v>
      </c>
      <c r="C49" s="212"/>
      <c r="D49" s="216"/>
      <c r="E49" s="218" t="str">
        <f>IF(COUNTIF(F49:AS49,"&lt;&gt;")=0,"",SUMPRODUCT(((Recommendations[ImplStatus]="Implemented")+(Recommendations[ImplStatus]="Compensated"))*ISNUMBER(MATCH(Recommendations[Id],F49:AS49,0)))/COUNTIF(F49:AS49,"&lt;&gt;"))</f>
        <v/>
      </c>
      <c r="F49" s="212"/>
      <c r="G49" s="212"/>
      <c r="H49" s="212"/>
      <c r="I49" s="212"/>
      <c r="J49" s="212"/>
      <c r="K49" s="212"/>
      <c r="L49" s="212"/>
      <c r="M49" s="212"/>
      <c r="N49" s="212"/>
      <c r="O49" s="212"/>
      <c r="P49" s="212"/>
      <c r="Q49" s="212"/>
      <c r="R49" s="212"/>
      <c r="S49" s="212"/>
      <c r="T49" s="212"/>
      <c r="U49" s="212"/>
      <c r="V49" s="212"/>
      <c r="W49" s="212"/>
      <c r="X49" s="212"/>
      <c r="Y49" s="212"/>
      <c r="Z49" s="212"/>
      <c r="AA49" s="212"/>
      <c r="AB49" s="212"/>
      <c r="AC49" s="212"/>
      <c r="AD49" s="212"/>
      <c r="AE49" s="212"/>
      <c r="AF49" s="212"/>
      <c r="AG49" s="212"/>
      <c r="AH49" s="212"/>
      <c r="AI49" s="212"/>
      <c r="AJ49" s="212"/>
      <c r="AK49" s="212"/>
      <c r="AL49" s="212"/>
      <c r="AM49" s="212"/>
      <c r="AN49" s="212"/>
      <c r="AO49" s="212"/>
      <c r="AP49" s="212"/>
      <c r="AQ49" s="212"/>
      <c r="AR49" s="212"/>
      <c r="AS49" s="229"/>
    </row>
    <row r="50" spans="1:45" ht="60" customHeight="1" x14ac:dyDescent="0.35">
      <c r="A50" s="227" t="s">
        <v>4879</v>
      </c>
      <c r="B50" s="214" t="s">
        <v>4881</v>
      </c>
      <c r="C50" s="215" t="s">
        <v>4882</v>
      </c>
      <c r="D50" s="217" t="s">
        <v>4883</v>
      </c>
      <c r="E50" s="219" t="str">
        <f>IF(COUNTIF(F50:AS50,"&lt;&gt;")=0,"",SUMPRODUCT(((Recommendations[ImplStatus]="Implemented")+(Recommendations[ImplStatus]="Compensated"))*ISNUMBER(MATCH(Recommendations[Id],F50:AS50,0)))/COUNTIF(F50:AS50,"&lt;&gt;"))</f>
        <v/>
      </c>
      <c r="F50" s="220"/>
      <c r="G50" s="220"/>
      <c r="H50" s="220"/>
      <c r="I50" s="220"/>
      <c r="J50" s="220"/>
      <c r="K50" s="220"/>
      <c r="L50" s="220"/>
      <c r="M50" s="220"/>
      <c r="N50" s="220"/>
      <c r="O50" s="220"/>
      <c r="P50" s="220"/>
      <c r="Q50" s="220"/>
      <c r="R50" s="220"/>
      <c r="S50" s="220"/>
      <c r="T50" s="220"/>
      <c r="U50" s="220"/>
      <c r="V50" s="220"/>
      <c r="W50" s="220"/>
      <c r="X50" s="220"/>
      <c r="Y50" s="220"/>
      <c r="Z50" s="220"/>
      <c r="AA50" s="220"/>
      <c r="AB50" s="220"/>
      <c r="AC50" s="220"/>
      <c r="AD50" s="220"/>
      <c r="AE50" s="220"/>
      <c r="AF50" s="220"/>
      <c r="AG50" s="220"/>
      <c r="AH50" s="220"/>
      <c r="AI50" s="220"/>
      <c r="AJ50" s="220"/>
      <c r="AK50" s="220"/>
      <c r="AL50" s="220"/>
      <c r="AM50" s="220"/>
      <c r="AN50" s="220"/>
      <c r="AO50" s="220"/>
      <c r="AP50" s="220"/>
      <c r="AQ50" s="220"/>
      <c r="AR50" s="220"/>
      <c r="AS50" s="230"/>
    </row>
    <row r="51" spans="1:45" ht="60" customHeight="1" x14ac:dyDescent="0.35">
      <c r="A51" s="227" t="s">
        <v>4879</v>
      </c>
      <c r="B51" s="214" t="s">
        <v>4884</v>
      </c>
      <c r="C51" s="215" t="s">
        <v>4885</v>
      </c>
      <c r="D51" s="217" t="s">
        <v>4886</v>
      </c>
      <c r="E51" s="219" t="str">
        <f>IF(COUNTIF(F51:AS51,"&lt;&gt;")=0,"",SUMPRODUCT(((Recommendations[ImplStatus]="Implemented")+(Recommendations[ImplStatus]="Compensated"))*ISNUMBER(MATCH(Recommendations[Id],F51:AS51,0)))/COUNTIF(F51:AS51,"&lt;&gt;"))</f>
        <v/>
      </c>
      <c r="F51" s="220"/>
      <c r="G51" s="220"/>
      <c r="H51" s="220"/>
      <c r="I51" s="220"/>
      <c r="J51" s="220"/>
      <c r="K51" s="220"/>
      <c r="L51" s="220"/>
      <c r="M51" s="220"/>
      <c r="N51" s="220"/>
      <c r="O51" s="220"/>
      <c r="P51" s="220"/>
      <c r="Q51" s="220"/>
      <c r="R51" s="220"/>
      <c r="S51" s="220"/>
      <c r="T51" s="220"/>
      <c r="U51" s="220"/>
      <c r="V51" s="220"/>
      <c r="W51" s="220"/>
      <c r="X51" s="220"/>
      <c r="Y51" s="220"/>
      <c r="Z51" s="220"/>
      <c r="AA51" s="220"/>
      <c r="AB51" s="220"/>
      <c r="AC51" s="220"/>
      <c r="AD51" s="220"/>
      <c r="AE51" s="220"/>
      <c r="AF51" s="220"/>
      <c r="AG51" s="220"/>
      <c r="AH51" s="220"/>
      <c r="AI51" s="220"/>
      <c r="AJ51" s="220"/>
      <c r="AK51" s="220"/>
      <c r="AL51" s="220"/>
      <c r="AM51" s="220"/>
      <c r="AN51" s="220"/>
      <c r="AO51" s="220"/>
      <c r="AP51" s="220"/>
      <c r="AQ51" s="220"/>
      <c r="AR51" s="220"/>
      <c r="AS51" s="230"/>
    </row>
    <row r="52" spans="1:45" ht="60" customHeight="1" x14ac:dyDescent="0.35">
      <c r="A52" s="227" t="s">
        <v>4879</v>
      </c>
      <c r="B52" s="214" t="s">
        <v>4887</v>
      </c>
      <c r="C52" s="215" t="s">
        <v>4888</v>
      </c>
      <c r="D52" s="217" t="s">
        <v>4889</v>
      </c>
      <c r="E52" s="219" t="str">
        <f>IF(COUNTIF(F52:AS52,"&lt;&gt;")=0,"",SUMPRODUCT(((Recommendations[ImplStatus]="Implemented")+(Recommendations[ImplStatus]="Compensated"))*ISNUMBER(MATCH(Recommendations[Id],F52:AS52,0)))/COUNTIF(F52:AS52,"&lt;&gt;"))</f>
        <v/>
      </c>
      <c r="F52" s="220"/>
      <c r="G52" s="220"/>
      <c r="H52" s="220"/>
      <c r="I52" s="220"/>
      <c r="J52" s="220"/>
      <c r="K52" s="220"/>
      <c r="L52" s="220"/>
      <c r="M52" s="220"/>
      <c r="N52" s="220"/>
      <c r="O52" s="220"/>
      <c r="P52" s="220"/>
      <c r="Q52" s="220"/>
      <c r="R52" s="220"/>
      <c r="S52" s="220"/>
      <c r="T52" s="220"/>
      <c r="U52" s="220"/>
      <c r="V52" s="220"/>
      <c r="W52" s="220"/>
      <c r="X52" s="220"/>
      <c r="Y52" s="220"/>
      <c r="Z52" s="220"/>
      <c r="AA52" s="220"/>
      <c r="AB52" s="220"/>
      <c r="AC52" s="220"/>
      <c r="AD52" s="220"/>
      <c r="AE52" s="220"/>
      <c r="AF52" s="220"/>
      <c r="AG52" s="220"/>
      <c r="AH52" s="220"/>
      <c r="AI52" s="220"/>
      <c r="AJ52" s="220"/>
      <c r="AK52" s="220"/>
      <c r="AL52" s="220"/>
      <c r="AM52" s="220"/>
      <c r="AN52" s="220"/>
      <c r="AO52" s="220"/>
      <c r="AP52" s="220"/>
      <c r="AQ52" s="220"/>
      <c r="AR52" s="220"/>
      <c r="AS52" s="230"/>
    </row>
    <row r="53" spans="1:45" ht="60" customHeight="1" x14ac:dyDescent="0.35">
      <c r="A53" s="227" t="s">
        <v>4879</v>
      </c>
      <c r="B53" s="214" t="s">
        <v>4890</v>
      </c>
      <c r="C53" s="215" t="s">
        <v>4891</v>
      </c>
      <c r="D53" s="217" t="s">
        <v>4892</v>
      </c>
      <c r="E53" s="219" t="str">
        <f>IF(COUNTIF(F53:AS53,"&lt;&gt;")=0,"",SUMPRODUCT(((Recommendations[ImplStatus]="Implemented")+(Recommendations[ImplStatus]="Compensated"))*ISNUMBER(MATCH(Recommendations[Id],F53:AS53,0)))/COUNTIF(F53:AS53,"&lt;&gt;"))</f>
        <v/>
      </c>
      <c r="F53" s="220"/>
      <c r="G53" s="220"/>
      <c r="H53" s="220"/>
      <c r="I53" s="220"/>
      <c r="J53" s="220"/>
      <c r="K53" s="220"/>
      <c r="L53" s="220"/>
      <c r="M53" s="220"/>
      <c r="N53" s="220"/>
      <c r="O53" s="220"/>
      <c r="P53" s="220"/>
      <c r="Q53" s="220"/>
      <c r="R53" s="220"/>
      <c r="S53" s="220"/>
      <c r="T53" s="220"/>
      <c r="U53" s="220"/>
      <c r="V53" s="220"/>
      <c r="W53" s="220"/>
      <c r="X53" s="220"/>
      <c r="Y53" s="220"/>
      <c r="Z53" s="220"/>
      <c r="AA53" s="220"/>
      <c r="AB53" s="220"/>
      <c r="AC53" s="220"/>
      <c r="AD53" s="220"/>
      <c r="AE53" s="220"/>
      <c r="AF53" s="220"/>
      <c r="AG53" s="220"/>
      <c r="AH53" s="220"/>
      <c r="AI53" s="220"/>
      <c r="AJ53" s="220"/>
      <c r="AK53" s="220"/>
      <c r="AL53" s="220"/>
      <c r="AM53" s="220"/>
      <c r="AN53" s="220"/>
      <c r="AO53" s="220"/>
      <c r="AP53" s="220"/>
      <c r="AQ53" s="220"/>
      <c r="AR53" s="220"/>
      <c r="AS53" s="230"/>
    </row>
    <row r="54" spans="1:45" ht="60" customHeight="1" x14ac:dyDescent="0.35">
      <c r="A54" s="227" t="s">
        <v>4879</v>
      </c>
      <c r="B54" s="214" t="s">
        <v>4893</v>
      </c>
      <c r="C54" s="215" t="s">
        <v>4894</v>
      </c>
      <c r="D54" s="217" t="s">
        <v>4895</v>
      </c>
      <c r="E54" s="219" t="str">
        <f>IF(COUNTIF(F54:AS54,"&lt;&gt;")=0,"",SUMPRODUCT(((Recommendations[ImplStatus]="Implemented")+(Recommendations[ImplStatus]="Compensated"))*ISNUMBER(MATCH(Recommendations[Id],F54:AS54,0)))/COUNTIF(F54:AS54,"&lt;&gt;"))</f>
        <v/>
      </c>
      <c r="F54" s="220"/>
      <c r="G54" s="220"/>
      <c r="H54" s="220"/>
      <c r="I54" s="220"/>
      <c r="J54" s="220"/>
      <c r="K54" s="220"/>
      <c r="L54" s="220"/>
      <c r="M54" s="220"/>
      <c r="N54" s="220"/>
      <c r="O54" s="220"/>
      <c r="P54" s="220"/>
      <c r="Q54" s="220"/>
      <c r="R54" s="220"/>
      <c r="S54" s="220"/>
      <c r="T54" s="220"/>
      <c r="U54" s="220"/>
      <c r="V54" s="220"/>
      <c r="W54" s="220"/>
      <c r="X54" s="220"/>
      <c r="Y54" s="220"/>
      <c r="Z54" s="220"/>
      <c r="AA54" s="220"/>
      <c r="AB54" s="220"/>
      <c r="AC54" s="220"/>
      <c r="AD54" s="220"/>
      <c r="AE54" s="220"/>
      <c r="AF54" s="220"/>
      <c r="AG54" s="220"/>
      <c r="AH54" s="220"/>
      <c r="AI54" s="220"/>
      <c r="AJ54" s="220"/>
      <c r="AK54" s="220"/>
      <c r="AL54" s="220"/>
      <c r="AM54" s="220"/>
      <c r="AN54" s="220"/>
      <c r="AO54" s="220"/>
      <c r="AP54" s="220"/>
      <c r="AQ54" s="220"/>
      <c r="AR54" s="220"/>
      <c r="AS54" s="230"/>
    </row>
    <row r="55" spans="1:45" ht="60" customHeight="1" x14ac:dyDescent="0.35">
      <c r="A55" s="227" t="s">
        <v>4879</v>
      </c>
      <c r="B55" s="214" t="s">
        <v>4896</v>
      </c>
      <c r="C55" s="215" t="s">
        <v>4897</v>
      </c>
      <c r="D55" s="217" t="s">
        <v>4898</v>
      </c>
      <c r="E55" s="219" t="str">
        <f>IF(COUNTIF(F55:AS55,"&lt;&gt;")=0,"",SUMPRODUCT(((Recommendations[ImplStatus]="Implemented")+(Recommendations[ImplStatus]="Compensated"))*ISNUMBER(MATCH(Recommendations[Id],F55:AS55,0)))/COUNTIF(F55:AS55,"&lt;&gt;"))</f>
        <v/>
      </c>
      <c r="F55" s="220"/>
      <c r="G55" s="220"/>
      <c r="H55" s="220"/>
      <c r="I55" s="220"/>
      <c r="J55" s="220"/>
      <c r="K55" s="220"/>
      <c r="L55" s="220"/>
      <c r="M55" s="220"/>
      <c r="N55" s="220"/>
      <c r="O55" s="220"/>
      <c r="P55" s="220"/>
      <c r="Q55" s="220"/>
      <c r="R55" s="220"/>
      <c r="S55" s="220"/>
      <c r="T55" s="220"/>
      <c r="U55" s="220"/>
      <c r="V55" s="220"/>
      <c r="W55" s="220"/>
      <c r="X55" s="220"/>
      <c r="Y55" s="220"/>
      <c r="Z55" s="220"/>
      <c r="AA55" s="220"/>
      <c r="AB55" s="220"/>
      <c r="AC55" s="220"/>
      <c r="AD55" s="220"/>
      <c r="AE55" s="220"/>
      <c r="AF55" s="220"/>
      <c r="AG55" s="220"/>
      <c r="AH55" s="220"/>
      <c r="AI55" s="220"/>
      <c r="AJ55" s="220"/>
      <c r="AK55" s="220"/>
      <c r="AL55" s="220"/>
      <c r="AM55" s="220"/>
      <c r="AN55" s="220"/>
      <c r="AO55" s="220"/>
      <c r="AP55" s="220"/>
      <c r="AQ55" s="220"/>
      <c r="AR55" s="220"/>
      <c r="AS55" s="230"/>
    </row>
    <row r="56" spans="1:45" ht="60" customHeight="1" x14ac:dyDescent="0.35">
      <c r="A56" s="227" t="s">
        <v>4879</v>
      </c>
      <c r="B56" s="214" t="s">
        <v>4899</v>
      </c>
      <c r="C56" s="215" t="s">
        <v>4900</v>
      </c>
      <c r="D56" s="217" t="s">
        <v>4901</v>
      </c>
      <c r="E56" s="219" t="str">
        <f>IF(COUNTIF(F56:AS56,"&lt;&gt;")=0,"",SUMPRODUCT(((Recommendations[ImplStatus]="Implemented")+(Recommendations[ImplStatus]="Compensated"))*ISNUMBER(MATCH(Recommendations[Id],F56:AS56,0)))/COUNTIF(F56:AS56,"&lt;&gt;"))</f>
        <v/>
      </c>
      <c r="F56" s="220"/>
      <c r="G56" s="220"/>
      <c r="H56" s="220"/>
      <c r="I56" s="220"/>
      <c r="J56" s="220"/>
      <c r="K56" s="220"/>
      <c r="L56" s="220"/>
      <c r="M56" s="220"/>
      <c r="N56" s="220"/>
      <c r="O56" s="220"/>
      <c r="P56" s="220"/>
      <c r="Q56" s="220"/>
      <c r="R56" s="220"/>
      <c r="S56" s="220"/>
      <c r="T56" s="220"/>
      <c r="U56" s="220"/>
      <c r="V56" s="220"/>
      <c r="W56" s="220"/>
      <c r="X56" s="220"/>
      <c r="Y56" s="220"/>
      <c r="Z56" s="220"/>
      <c r="AA56" s="220"/>
      <c r="AB56" s="220"/>
      <c r="AC56" s="220"/>
      <c r="AD56" s="220"/>
      <c r="AE56" s="220"/>
      <c r="AF56" s="220"/>
      <c r="AG56" s="220"/>
      <c r="AH56" s="220"/>
      <c r="AI56" s="220"/>
      <c r="AJ56" s="220"/>
      <c r="AK56" s="220"/>
      <c r="AL56" s="220"/>
      <c r="AM56" s="220"/>
      <c r="AN56" s="220"/>
      <c r="AO56" s="220"/>
      <c r="AP56" s="220"/>
      <c r="AQ56" s="220"/>
      <c r="AR56" s="220"/>
      <c r="AS56" s="230"/>
    </row>
    <row r="57" spans="1:45" ht="60" customHeight="1" x14ac:dyDescent="0.35">
      <c r="A57" s="227" t="s">
        <v>4879</v>
      </c>
      <c r="B57" s="214" t="s">
        <v>4902</v>
      </c>
      <c r="C57" s="215" t="s">
        <v>4903</v>
      </c>
      <c r="D57" s="217" t="s">
        <v>4904</v>
      </c>
      <c r="E57" s="219" t="str">
        <f>IF(COUNTIF(F57:AS57,"&lt;&gt;")=0,"",SUMPRODUCT(((Recommendations[ImplStatus]="Implemented")+(Recommendations[ImplStatus]="Compensated"))*ISNUMBER(MATCH(Recommendations[Id],F57:AS57,0)))/COUNTIF(F57:AS57,"&lt;&gt;"))</f>
        <v/>
      </c>
      <c r="F57" s="220"/>
      <c r="G57" s="220"/>
      <c r="H57" s="220"/>
      <c r="I57" s="220"/>
      <c r="J57" s="220"/>
      <c r="K57" s="220"/>
      <c r="L57" s="220"/>
      <c r="M57" s="220"/>
      <c r="N57" s="220"/>
      <c r="O57" s="220"/>
      <c r="P57" s="220"/>
      <c r="Q57" s="220"/>
      <c r="R57" s="220"/>
      <c r="S57" s="220"/>
      <c r="T57" s="220"/>
      <c r="U57" s="220"/>
      <c r="V57" s="220"/>
      <c r="W57" s="220"/>
      <c r="X57" s="220"/>
      <c r="Y57" s="220"/>
      <c r="Z57" s="220"/>
      <c r="AA57" s="220"/>
      <c r="AB57" s="220"/>
      <c r="AC57" s="220"/>
      <c r="AD57" s="220"/>
      <c r="AE57" s="220"/>
      <c r="AF57" s="220"/>
      <c r="AG57" s="220"/>
      <c r="AH57" s="220"/>
      <c r="AI57" s="220"/>
      <c r="AJ57" s="220"/>
      <c r="AK57" s="220"/>
      <c r="AL57" s="220"/>
      <c r="AM57" s="220"/>
      <c r="AN57" s="220"/>
      <c r="AO57" s="220"/>
      <c r="AP57" s="220"/>
      <c r="AQ57" s="220"/>
      <c r="AR57" s="220"/>
      <c r="AS57" s="230"/>
    </row>
    <row r="58" spans="1:45" ht="60" customHeight="1" x14ac:dyDescent="0.35">
      <c r="A58" s="227" t="s">
        <v>4879</v>
      </c>
      <c r="B58" s="214" t="s">
        <v>4905</v>
      </c>
      <c r="C58" s="215" t="s">
        <v>4906</v>
      </c>
      <c r="D58" s="217" t="s">
        <v>4907</v>
      </c>
      <c r="E58" s="219" t="str">
        <f>IF(COUNTIF(F58:AS58,"&lt;&gt;")=0,"",SUMPRODUCT(((Recommendations[ImplStatus]="Implemented")+(Recommendations[ImplStatus]="Compensated"))*ISNUMBER(MATCH(Recommendations[Id],F58:AS58,0)))/COUNTIF(F58:AS58,"&lt;&gt;"))</f>
        <v/>
      </c>
      <c r="F58" s="220"/>
      <c r="G58" s="220"/>
      <c r="H58" s="220"/>
      <c r="I58" s="220"/>
      <c r="J58" s="220"/>
      <c r="K58" s="220"/>
      <c r="L58" s="220"/>
      <c r="M58" s="220"/>
      <c r="N58" s="220"/>
      <c r="O58" s="220"/>
      <c r="P58" s="220"/>
      <c r="Q58" s="220"/>
      <c r="R58" s="220"/>
      <c r="S58" s="220"/>
      <c r="T58" s="220"/>
      <c r="U58" s="220"/>
      <c r="V58" s="220"/>
      <c r="W58" s="220"/>
      <c r="X58" s="220"/>
      <c r="Y58" s="220"/>
      <c r="Z58" s="220"/>
      <c r="AA58" s="220"/>
      <c r="AB58" s="220"/>
      <c r="AC58" s="220"/>
      <c r="AD58" s="220"/>
      <c r="AE58" s="220"/>
      <c r="AF58" s="220"/>
      <c r="AG58" s="220"/>
      <c r="AH58" s="220"/>
      <c r="AI58" s="220"/>
      <c r="AJ58" s="220"/>
      <c r="AK58" s="220"/>
      <c r="AL58" s="220"/>
      <c r="AM58" s="220"/>
      <c r="AN58" s="220"/>
      <c r="AO58" s="220"/>
      <c r="AP58" s="220"/>
      <c r="AQ58" s="220"/>
      <c r="AR58" s="220"/>
      <c r="AS58" s="230"/>
    </row>
    <row r="59" spans="1:45" ht="60" customHeight="1" x14ac:dyDescent="0.35">
      <c r="A59" s="227" t="s">
        <v>4879</v>
      </c>
      <c r="B59" s="214" t="s">
        <v>4908</v>
      </c>
      <c r="C59" s="215" t="s">
        <v>4909</v>
      </c>
      <c r="D59" s="217" t="s">
        <v>4910</v>
      </c>
      <c r="E59" s="219" t="str">
        <f>IF(COUNTIF(F59:AS59,"&lt;&gt;")=0,"",SUMPRODUCT(((Recommendations[ImplStatus]="Implemented")+(Recommendations[ImplStatus]="Compensated"))*ISNUMBER(MATCH(Recommendations[Id],F59:AS59,0)))/COUNTIF(F59:AS59,"&lt;&gt;"))</f>
        <v/>
      </c>
      <c r="F59" s="220"/>
      <c r="G59" s="220"/>
      <c r="H59" s="220"/>
      <c r="I59" s="220"/>
      <c r="J59" s="220"/>
      <c r="K59" s="220"/>
      <c r="L59" s="220"/>
      <c r="M59" s="220"/>
      <c r="N59" s="220"/>
      <c r="O59" s="220"/>
      <c r="P59" s="220"/>
      <c r="Q59" s="220"/>
      <c r="R59" s="220"/>
      <c r="S59" s="220"/>
      <c r="T59" s="220"/>
      <c r="U59" s="220"/>
      <c r="V59" s="220"/>
      <c r="W59" s="220"/>
      <c r="X59" s="220"/>
      <c r="Y59" s="220"/>
      <c r="Z59" s="220"/>
      <c r="AA59" s="220"/>
      <c r="AB59" s="220"/>
      <c r="AC59" s="220"/>
      <c r="AD59" s="220"/>
      <c r="AE59" s="220"/>
      <c r="AF59" s="220"/>
      <c r="AG59" s="220"/>
      <c r="AH59" s="220"/>
      <c r="AI59" s="220"/>
      <c r="AJ59" s="220"/>
      <c r="AK59" s="220"/>
      <c r="AL59" s="220"/>
      <c r="AM59" s="220"/>
      <c r="AN59" s="220"/>
      <c r="AO59" s="220"/>
      <c r="AP59" s="220"/>
      <c r="AQ59" s="220"/>
      <c r="AR59" s="220"/>
      <c r="AS59" s="230"/>
    </row>
    <row r="60" spans="1:45" ht="60" customHeight="1" x14ac:dyDescent="0.35">
      <c r="A60" s="227" t="s">
        <v>4879</v>
      </c>
      <c r="B60" s="214" t="s">
        <v>4911</v>
      </c>
      <c r="C60" s="215" t="s">
        <v>4912</v>
      </c>
      <c r="D60" s="217" t="s">
        <v>4913</v>
      </c>
      <c r="E60" s="219" t="str">
        <f>IF(COUNTIF(F60:AS60,"&lt;&gt;")=0,"",SUMPRODUCT(((Recommendations[ImplStatus]="Implemented")+(Recommendations[ImplStatus]="Compensated"))*ISNUMBER(MATCH(Recommendations[Id],F60:AS60,0)))/COUNTIF(F60:AS60,"&lt;&gt;"))</f>
        <v/>
      </c>
      <c r="F60" s="220"/>
      <c r="G60" s="220"/>
      <c r="H60" s="220"/>
      <c r="I60" s="220"/>
      <c r="J60" s="220"/>
      <c r="K60" s="220"/>
      <c r="L60" s="220"/>
      <c r="M60" s="220"/>
      <c r="N60" s="220"/>
      <c r="O60" s="220"/>
      <c r="P60" s="220"/>
      <c r="Q60" s="220"/>
      <c r="R60" s="220"/>
      <c r="S60" s="220"/>
      <c r="T60" s="220"/>
      <c r="U60" s="220"/>
      <c r="V60" s="220"/>
      <c r="W60" s="220"/>
      <c r="X60" s="220"/>
      <c r="Y60" s="220"/>
      <c r="Z60" s="220"/>
      <c r="AA60" s="220"/>
      <c r="AB60" s="220"/>
      <c r="AC60" s="220"/>
      <c r="AD60" s="220"/>
      <c r="AE60" s="220"/>
      <c r="AF60" s="220"/>
      <c r="AG60" s="220"/>
      <c r="AH60" s="220"/>
      <c r="AI60" s="220"/>
      <c r="AJ60" s="220"/>
      <c r="AK60" s="220"/>
      <c r="AL60" s="220"/>
      <c r="AM60" s="220"/>
      <c r="AN60" s="220"/>
      <c r="AO60" s="220"/>
      <c r="AP60" s="220"/>
      <c r="AQ60" s="220"/>
      <c r="AR60" s="220"/>
      <c r="AS60" s="230"/>
    </row>
    <row r="61" spans="1:45" ht="60" customHeight="1" x14ac:dyDescent="0.35">
      <c r="A61" s="227" t="s">
        <v>4879</v>
      </c>
      <c r="B61" s="214" t="s">
        <v>4914</v>
      </c>
      <c r="C61" s="215" t="s">
        <v>4915</v>
      </c>
      <c r="D61" s="217" t="s">
        <v>4916</v>
      </c>
      <c r="E61" s="219" t="str">
        <f>IF(COUNTIF(F61:AS61,"&lt;&gt;")=0,"",SUMPRODUCT(((Recommendations[ImplStatus]="Implemented")+(Recommendations[ImplStatus]="Compensated"))*ISNUMBER(MATCH(Recommendations[Id],F61:AS61,0)))/COUNTIF(F61:AS61,"&lt;&gt;"))</f>
        <v/>
      </c>
      <c r="F61" s="220"/>
      <c r="G61" s="220"/>
      <c r="H61" s="220"/>
      <c r="I61" s="220"/>
      <c r="J61" s="220"/>
      <c r="K61" s="220"/>
      <c r="L61" s="220"/>
      <c r="M61" s="220"/>
      <c r="N61" s="220"/>
      <c r="O61" s="220"/>
      <c r="P61" s="220"/>
      <c r="Q61" s="220"/>
      <c r="R61" s="220"/>
      <c r="S61" s="220"/>
      <c r="T61" s="220"/>
      <c r="U61" s="220"/>
      <c r="V61" s="220"/>
      <c r="W61" s="220"/>
      <c r="X61" s="220"/>
      <c r="Y61" s="220"/>
      <c r="Z61" s="220"/>
      <c r="AA61" s="220"/>
      <c r="AB61" s="220"/>
      <c r="AC61" s="220"/>
      <c r="AD61" s="220"/>
      <c r="AE61" s="220"/>
      <c r="AF61" s="220"/>
      <c r="AG61" s="220"/>
      <c r="AH61" s="220"/>
      <c r="AI61" s="220"/>
      <c r="AJ61" s="220"/>
      <c r="AK61" s="220"/>
      <c r="AL61" s="220"/>
      <c r="AM61" s="220"/>
      <c r="AN61" s="220"/>
      <c r="AO61" s="220"/>
      <c r="AP61" s="220"/>
      <c r="AQ61" s="220"/>
      <c r="AR61" s="220"/>
      <c r="AS61" s="230"/>
    </row>
    <row r="62" spans="1:45" ht="60" customHeight="1" x14ac:dyDescent="0.35">
      <c r="A62" s="227" t="s">
        <v>4879</v>
      </c>
      <c r="B62" s="214" t="s">
        <v>4917</v>
      </c>
      <c r="C62" s="215" t="s">
        <v>4918</v>
      </c>
      <c r="D62" s="217" t="s">
        <v>4919</v>
      </c>
      <c r="E62" s="219" t="str">
        <f>IF(COUNTIF(F62:AS62,"&lt;&gt;")=0,"",SUMPRODUCT(((Recommendations[ImplStatus]="Implemented")+(Recommendations[ImplStatus]="Compensated"))*ISNUMBER(MATCH(Recommendations[Id],F62:AS62,0)))/COUNTIF(F62:AS62,"&lt;&gt;"))</f>
        <v/>
      </c>
      <c r="F62" s="220"/>
      <c r="G62" s="220"/>
      <c r="H62" s="220"/>
      <c r="I62" s="220"/>
      <c r="J62" s="220"/>
      <c r="K62" s="220"/>
      <c r="L62" s="220"/>
      <c r="M62" s="220"/>
      <c r="N62" s="220"/>
      <c r="O62" s="220"/>
      <c r="P62" s="220"/>
      <c r="Q62" s="220"/>
      <c r="R62" s="220"/>
      <c r="S62" s="220"/>
      <c r="T62" s="220"/>
      <c r="U62" s="220"/>
      <c r="V62" s="220"/>
      <c r="W62" s="220"/>
      <c r="X62" s="220"/>
      <c r="Y62" s="220"/>
      <c r="Z62" s="220"/>
      <c r="AA62" s="220"/>
      <c r="AB62" s="220"/>
      <c r="AC62" s="220"/>
      <c r="AD62" s="220"/>
      <c r="AE62" s="220"/>
      <c r="AF62" s="220"/>
      <c r="AG62" s="220"/>
      <c r="AH62" s="220"/>
      <c r="AI62" s="220"/>
      <c r="AJ62" s="220"/>
      <c r="AK62" s="220"/>
      <c r="AL62" s="220"/>
      <c r="AM62" s="220"/>
      <c r="AN62" s="220"/>
      <c r="AO62" s="220"/>
      <c r="AP62" s="220"/>
      <c r="AQ62" s="220"/>
      <c r="AR62" s="220"/>
      <c r="AS62" s="230"/>
    </row>
    <row r="63" spans="1:45" ht="60" customHeight="1" x14ac:dyDescent="0.35">
      <c r="A63" s="227" t="s">
        <v>4879</v>
      </c>
      <c r="B63" s="214" t="s">
        <v>4920</v>
      </c>
      <c r="C63" s="215" t="s">
        <v>4921</v>
      </c>
      <c r="D63" s="217" t="s">
        <v>4922</v>
      </c>
      <c r="E63" s="219" t="str">
        <f>IF(COUNTIF(F63:AS63,"&lt;&gt;")=0,"",SUMPRODUCT(((Recommendations[ImplStatus]="Implemented")+(Recommendations[ImplStatus]="Compensated"))*ISNUMBER(MATCH(Recommendations[Id],F63:AS63,0)))/COUNTIF(F63:AS63,"&lt;&gt;"))</f>
        <v/>
      </c>
      <c r="F63" s="220"/>
      <c r="G63" s="220"/>
      <c r="H63" s="220"/>
      <c r="I63" s="220"/>
      <c r="J63" s="220"/>
      <c r="K63" s="220"/>
      <c r="L63" s="220"/>
      <c r="M63" s="220"/>
      <c r="N63" s="220"/>
      <c r="O63" s="220"/>
      <c r="P63" s="220"/>
      <c r="Q63" s="220"/>
      <c r="R63" s="220"/>
      <c r="S63" s="220"/>
      <c r="T63" s="220"/>
      <c r="U63" s="220"/>
      <c r="V63" s="220"/>
      <c r="W63" s="220"/>
      <c r="X63" s="220"/>
      <c r="Y63" s="220"/>
      <c r="Z63" s="220"/>
      <c r="AA63" s="220"/>
      <c r="AB63" s="220"/>
      <c r="AC63" s="220"/>
      <c r="AD63" s="220"/>
      <c r="AE63" s="220"/>
      <c r="AF63" s="220"/>
      <c r="AG63" s="220"/>
      <c r="AH63" s="220"/>
      <c r="AI63" s="220"/>
      <c r="AJ63" s="220"/>
      <c r="AK63" s="220"/>
      <c r="AL63" s="220"/>
      <c r="AM63" s="220"/>
      <c r="AN63" s="220"/>
      <c r="AO63" s="220"/>
      <c r="AP63" s="220"/>
      <c r="AQ63" s="220"/>
      <c r="AR63" s="220"/>
      <c r="AS63" s="230"/>
    </row>
    <row r="64" spans="1:45" ht="60" customHeight="1" outlineLevel="1" x14ac:dyDescent="0.35">
      <c r="A64" s="226" t="s">
        <v>4923</v>
      </c>
      <c r="B64" s="213" t="s">
        <v>4924</v>
      </c>
      <c r="C64" s="212"/>
      <c r="D64" s="216"/>
      <c r="E64" s="218" t="str">
        <f>IF(COUNTIF(F64:AS64,"&lt;&gt;")=0,"",SUMPRODUCT(((Recommendations[ImplStatus]="Implemented")+(Recommendations[ImplStatus]="Compensated"))*ISNUMBER(MATCH(Recommendations[Id],F64:AS64,0)))/COUNTIF(F64:AS64,"&lt;&gt;"))</f>
        <v/>
      </c>
      <c r="F64" s="212"/>
      <c r="G64" s="212"/>
      <c r="H64" s="212"/>
      <c r="I64" s="212"/>
      <c r="J64" s="212"/>
      <c r="K64" s="212"/>
      <c r="L64" s="212"/>
      <c r="M64" s="212"/>
      <c r="N64" s="212"/>
      <c r="O64" s="212"/>
      <c r="P64" s="212"/>
      <c r="Q64" s="212"/>
      <c r="R64" s="212"/>
      <c r="S64" s="212"/>
      <c r="T64" s="212"/>
      <c r="U64" s="212"/>
      <c r="V64" s="212"/>
      <c r="W64" s="212"/>
      <c r="X64" s="212"/>
      <c r="Y64" s="212"/>
      <c r="Z64" s="212"/>
      <c r="AA64" s="212"/>
      <c r="AB64" s="212"/>
      <c r="AC64" s="212"/>
      <c r="AD64" s="212"/>
      <c r="AE64" s="212"/>
      <c r="AF64" s="212"/>
      <c r="AG64" s="212"/>
      <c r="AH64" s="212"/>
      <c r="AI64" s="212"/>
      <c r="AJ64" s="212"/>
      <c r="AK64" s="212"/>
      <c r="AL64" s="212"/>
      <c r="AM64" s="212"/>
      <c r="AN64" s="212"/>
      <c r="AO64" s="212"/>
      <c r="AP64" s="212"/>
      <c r="AQ64" s="212"/>
      <c r="AR64" s="212"/>
      <c r="AS64" s="229"/>
    </row>
    <row r="65" spans="1:45" ht="60" customHeight="1" x14ac:dyDescent="0.35">
      <c r="A65" s="227" t="s">
        <v>4923</v>
      </c>
      <c r="B65" s="214" t="s">
        <v>4925</v>
      </c>
      <c r="C65" s="215" t="s">
        <v>4926</v>
      </c>
      <c r="D65" s="217" t="s">
        <v>4927</v>
      </c>
      <c r="E65" s="219" t="str">
        <f>IF(COUNTIF(F65:AS65,"&lt;&gt;")=0,"",SUMPRODUCT(((Recommendations[ImplStatus]="Implemented")+(Recommendations[ImplStatus]="Compensated"))*ISNUMBER(MATCH(Recommendations[Id],F65:AS65,0)))/COUNTIF(F65:AS65,"&lt;&gt;"))</f>
        <v/>
      </c>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30"/>
    </row>
    <row r="66" spans="1:45" ht="60" customHeight="1" x14ac:dyDescent="0.35">
      <c r="A66" s="227" t="s">
        <v>4923</v>
      </c>
      <c r="B66" s="214" t="s">
        <v>4928</v>
      </c>
      <c r="C66" s="215" t="s">
        <v>4929</v>
      </c>
      <c r="D66" s="217" t="s">
        <v>4930</v>
      </c>
      <c r="E66" s="219" t="str">
        <f>IF(COUNTIF(F66:AS66,"&lt;&gt;")=0,"",SUMPRODUCT(((Recommendations[ImplStatus]="Implemented")+(Recommendations[ImplStatus]="Compensated"))*ISNUMBER(MATCH(Recommendations[Id],F66:AS66,0)))/COUNTIF(F66:AS66,"&lt;&gt;"))</f>
        <v/>
      </c>
      <c r="F66" s="220"/>
      <c r="G66" s="220"/>
      <c r="H66" s="220"/>
      <c r="I66" s="220"/>
      <c r="J66" s="220"/>
      <c r="K66" s="220"/>
      <c r="L66" s="220"/>
      <c r="M66" s="220"/>
      <c r="N66" s="220"/>
      <c r="O66" s="220"/>
      <c r="P66" s="220"/>
      <c r="Q66" s="220"/>
      <c r="R66" s="220"/>
      <c r="S66" s="220"/>
      <c r="T66" s="220"/>
      <c r="U66" s="220"/>
      <c r="V66" s="220"/>
      <c r="W66" s="220"/>
      <c r="X66" s="220"/>
      <c r="Y66" s="220"/>
      <c r="Z66" s="220"/>
      <c r="AA66" s="220"/>
      <c r="AB66" s="220"/>
      <c r="AC66" s="220"/>
      <c r="AD66" s="220"/>
      <c r="AE66" s="220"/>
      <c r="AF66" s="220"/>
      <c r="AG66" s="220"/>
      <c r="AH66" s="220"/>
      <c r="AI66" s="220"/>
      <c r="AJ66" s="220"/>
      <c r="AK66" s="220"/>
      <c r="AL66" s="220"/>
      <c r="AM66" s="220"/>
      <c r="AN66" s="220"/>
      <c r="AO66" s="220"/>
      <c r="AP66" s="220"/>
      <c r="AQ66" s="220"/>
      <c r="AR66" s="220"/>
      <c r="AS66" s="230"/>
    </row>
    <row r="67" spans="1:45" ht="60" customHeight="1" x14ac:dyDescent="0.35">
      <c r="A67" s="227" t="s">
        <v>4923</v>
      </c>
      <c r="B67" s="214" t="s">
        <v>4931</v>
      </c>
      <c r="C67" s="215" t="s">
        <v>4932</v>
      </c>
      <c r="D67" s="217" t="s">
        <v>4933</v>
      </c>
      <c r="E67" s="219" t="str">
        <f>IF(COUNTIF(F67:AS67,"&lt;&gt;")=0,"",SUMPRODUCT(((Recommendations[ImplStatus]="Implemented")+(Recommendations[ImplStatus]="Compensated"))*ISNUMBER(MATCH(Recommendations[Id],F67:AS67,0)))/COUNTIF(F67:AS67,"&lt;&gt;"))</f>
        <v/>
      </c>
      <c r="F67" s="220"/>
      <c r="G67" s="220"/>
      <c r="H67" s="220"/>
      <c r="I67" s="220"/>
      <c r="J67" s="220"/>
      <c r="K67" s="220"/>
      <c r="L67" s="220"/>
      <c r="M67" s="220"/>
      <c r="N67" s="220"/>
      <c r="O67" s="220"/>
      <c r="P67" s="220"/>
      <c r="Q67" s="220"/>
      <c r="R67" s="220"/>
      <c r="S67" s="220"/>
      <c r="T67" s="220"/>
      <c r="U67" s="220"/>
      <c r="V67" s="220"/>
      <c r="W67" s="220"/>
      <c r="X67" s="220"/>
      <c r="Y67" s="220"/>
      <c r="Z67" s="220"/>
      <c r="AA67" s="220"/>
      <c r="AB67" s="220"/>
      <c r="AC67" s="220"/>
      <c r="AD67" s="220"/>
      <c r="AE67" s="220"/>
      <c r="AF67" s="220"/>
      <c r="AG67" s="220"/>
      <c r="AH67" s="220"/>
      <c r="AI67" s="220"/>
      <c r="AJ67" s="220"/>
      <c r="AK67" s="220"/>
      <c r="AL67" s="220"/>
      <c r="AM67" s="220"/>
      <c r="AN67" s="220"/>
      <c r="AO67" s="220"/>
      <c r="AP67" s="220"/>
      <c r="AQ67" s="220"/>
      <c r="AR67" s="220"/>
      <c r="AS67" s="230"/>
    </row>
    <row r="68" spans="1:45" ht="60" customHeight="1" x14ac:dyDescent="0.35">
      <c r="A68" s="227" t="s">
        <v>4923</v>
      </c>
      <c r="B68" s="214" t="s">
        <v>4934</v>
      </c>
      <c r="C68" s="215" t="s">
        <v>4935</v>
      </c>
      <c r="D68" s="217" t="s">
        <v>4936</v>
      </c>
      <c r="E68" s="219" t="str">
        <f>IF(COUNTIF(F68:AS68,"&lt;&gt;")=0,"",SUMPRODUCT(((Recommendations[ImplStatus]="Implemented")+(Recommendations[ImplStatus]="Compensated"))*ISNUMBER(MATCH(Recommendations[Id],F68:AS68,0)))/COUNTIF(F68:AS68,"&lt;&gt;"))</f>
        <v/>
      </c>
      <c r="F68" s="220"/>
      <c r="G68" s="220"/>
      <c r="H68" s="220"/>
      <c r="I68" s="220"/>
      <c r="J68" s="220"/>
      <c r="K68" s="220"/>
      <c r="L68" s="220"/>
      <c r="M68" s="220"/>
      <c r="N68" s="220"/>
      <c r="O68" s="220"/>
      <c r="P68" s="220"/>
      <c r="Q68" s="220"/>
      <c r="R68" s="220"/>
      <c r="S68" s="220"/>
      <c r="T68" s="220"/>
      <c r="U68" s="220"/>
      <c r="V68" s="220"/>
      <c r="W68" s="220"/>
      <c r="X68" s="220"/>
      <c r="Y68" s="220"/>
      <c r="Z68" s="220"/>
      <c r="AA68" s="220"/>
      <c r="AB68" s="220"/>
      <c r="AC68" s="220"/>
      <c r="AD68" s="220"/>
      <c r="AE68" s="220"/>
      <c r="AF68" s="220"/>
      <c r="AG68" s="220"/>
      <c r="AH68" s="220"/>
      <c r="AI68" s="220"/>
      <c r="AJ68" s="220"/>
      <c r="AK68" s="220"/>
      <c r="AL68" s="220"/>
      <c r="AM68" s="220"/>
      <c r="AN68" s="220"/>
      <c r="AO68" s="220"/>
      <c r="AP68" s="220"/>
      <c r="AQ68" s="220"/>
      <c r="AR68" s="220"/>
      <c r="AS68" s="230"/>
    </row>
    <row r="69" spans="1:45" ht="60" customHeight="1" x14ac:dyDescent="0.35">
      <c r="A69" s="227" t="s">
        <v>4923</v>
      </c>
      <c r="B69" s="214" t="s">
        <v>4937</v>
      </c>
      <c r="C69" s="215" t="s">
        <v>4938</v>
      </c>
      <c r="D69" s="217" t="s">
        <v>4939</v>
      </c>
      <c r="E69" s="219" t="str">
        <f>IF(COUNTIF(F69:AS69,"&lt;&gt;")=0,"",SUMPRODUCT(((Recommendations[ImplStatus]="Implemented")+(Recommendations[ImplStatus]="Compensated"))*ISNUMBER(MATCH(Recommendations[Id],F69:AS69,0)))/COUNTIF(F69:AS69,"&lt;&gt;"))</f>
        <v/>
      </c>
      <c r="F69" s="220"/>
      <c r="G69" s="220"/>
      <c r="H69" s="220"/>
      <c r="I69" s="220"/>
      <c r="J69" s="220"/>
      <c r="K69" s="220"/>
      <c r="L69" s="220"/>
      <c r="M69" s="220"/>
      <c r="N69" s="220"/>
      <c r="O69" s="220"/>
      <c r="P69" s="220"/>
      <c r="Q69" s="220"/>
      <c r="R69" s="220"/>
      <c r="S69" s="220"/>
      <c r="T69" s="220"/>
      <c r="U69" s="220"/>
      <c r="V69" s="220"/>
      <c r="W69" s="220"/>
      <c r="X69" s="220"/>
      <c r="Y69" s="220"/>
      <c r="Z69" s="220"/>
      <c r="AA69" s="220"/>
      <c r="AB69" s="220"/>
      <c r="AC69" s="220"/>
      <c r="AD69" s="220"/>
      <c r="AE69" s="220"/>
      <c r="AF69" s="220"/>
      <c r="AG69" s="220"/>
      <c r="AH69" s="220"/>
      <c r="AI69" s="220"/>
      <c r="AJ69" s="220"/>
      <c r="AK69" s="220"/>
      <c r="AL69" s="220"/>
      <c r="AM69" s="220"/>
      <c r="AN69" s="220"/>
      <c r="AO69" s="220"/>
      <c r="AP69" s="220"/>
      <c r="AQ69" s="220"/>
      <c r="AR69" s="220"/>
      <c r="AS69" s="230"/>
    </row>
    <row r="70" spans="1:45" ht="60" customHeight="1" x14ac:dyDescent="0.35">
      <c r="A70" s="227" t="s">
        <v>4923</v>
      </c>
      <c r="B70" s="214" t="s">
        <v>4940</v>
      </c>
      <c r="C70" s="215" t="s">
        <v>4941</v>
      </c>
      <c r="D70" s="217" t="s">
        <v>4942</v>
      </c>
      <c r="E70" s="219" t="str">
        <f>IF(COUNTIF(F70:AS70,"&lt;&gt;")=0,"",SUMPRODUCT(((Recommendations[ImplStatus]="Implemented")+(Recommendations[ImplStatus]="Compensated"))*ISNUMBER(MATCH(Recommendations[Id],F70:AS70,0)))/COUNTIF(F70:AS70,"&lt;&gt;"))</f>
        <v/>
      </c>
      <c r="F70" s="220"/>
      <c r="G70" s="220"/>
      <c r="H70" s="220"/>
      <c r="I70" s="220"/>
      <c r="J70" s="220"/>
      <c r="K70" s="220"/>
      <c r="L70" s="220"/>
      <c r="M70" s="220"/>
      <c r="N70" s="220"/>
      <c r="O70" s="220"/>
      <c r="P70" s="220"/>
      <c r="Q70" s="220"/>
      <c r="R70" s="220"/>
      <c r="S70" s="220"/>
      <c r="T70" s="220"/>
      <c r="U70" s="220"/>
      <c r="V70" s="220"/>
      <c r="W70" s="220"/>
      <c r="X70" s="220"/>
      <c r="Y70" s="220"/>
      <c r="Z70" s="220"/>
      <c r="AA70" s="220"/>
      <c r="AB70" s="220"/>
      <c r="AC70" s="220"/>
      <c r="AD70" s="220"/>
      <c r="AE70" s="220"/>
      <c r="AF70" s="220"/>
      <c r="AG70" s="220"/>
      <c r="AH70" s="220"/>
      <c r="AI70" s="220"/>
      <c r="AJ70" s="220"/>
      <c r="AK70" s="220"/>
      <c r="AL70" s="220"/>
      <c r="AM70" s="220"/>
      <c r="AN70" s="220"/>
      <c r="AO70" s="220"/>
      <c r="AP70" s="220"/>
      <c r="AQ70" s="220"/>
      <c r="AR70" s="220"/>
      <c r="AS70" s="230"/>
    </row>
    <row r="71" spans="1:45" ht="60" customHeight="1" x14ac:dyDescent="0.35">
      <c r="A71" s="227" t="s">
        <v>4923</v>
      </c>
      <c r="B71" s="214" t="s">
        <v>4943</v>
      </c>
      <c r="C71" s="215" t="s">
        <v>4944</v>
      </c>
      <c r="D71" s="217" t="s">
        <v>4945</v>
      </c>
      <c r="E71" s="219" t="str">
        <f>IF(COUNTIF(F71:AS71,"&lt;&gt;")=0,"",SUMPRODUCT(((Recommendations[ImplStatus]="Implemented")+(Recommendations[ImplStatus]="Compensated"))*ISNUMBER(MATCH(Recommendations[Id],F71:AS71,0)))/COUNTIF(F71:AS71,"&lt;&gt;"))</f>
        <v/>
      </c>
      <c r="F71" s="220"/>
      <c r="G71" s="220"/>
      <c r="H71" s="220"/>
      <c r="I71" s="220"/>
      <c r="J71" s="220"/>
      <c r="K71" s="220"/>
      <c r="L71" s="220"/>
      <c r="M71" s="220"/>
      <c r="N71" s="220"/>
      <c r="O71" s="220"/>
      <c r="P71" s="220"/>
      <c r="Q71" s="220"/>
      <c r="R71" s="220"/>
      <c r="S71" s="220"/>
      <c r="T71" s="220"/>
      <c r="U71" s="220"/>
      <c r="V71" s="220"/>
      <c r="W71" s="220"/>
      <c r="X71" s="220"/>
      <c r="Y71" s="220"/>
      <c r="Z71" s="220"/>
      <c r="AA71" s="220"/>
      <c r="AB71" s="220"/>
      <c r="AC71" s="220"/>
      <c r="AD71" s="220"/>
      <c r="AE71" s="220"/>
      <c r="AF71" s="220"/>
      <c r="AG71" s="220"/>
      <c r="AH71" s="220"/>
      <c r="AI71" s="220"/>
      <c r="AJ71" s="220"/>
      <c r="AK71" s="220"/>
      <c r="AL71" s="220"/>
      <c r="AM71" s="220"/>
      <c r="AN71" s="220"/>
      <c r="AO71" s="220"/>
      <c r="AP71" s="220"/>
      <c r="AQ71" s="220"/>
      <c r="AR71" s="220"/>
      <c r="AS71" s="230"/>
    </row>
    <row r="72" spans="1:45" ht="60" customHeight="1" x14ac:dyDescent="0.35">
      <c r="A72" s="227" t="s">
        <v>4923</v>
      </c>
      <c r="B72" s="214" t="s">
        <v>4946</v>
      </c>
      <c r="C72" s="215" t="s">
        <v>4947</v>
      </c>
      <c r="D72" s="217" t="s">
        <v>4948</v>
      </c>
      <c r="E72" s="219" t="str">
        <f>IF(COUNTIF(F72:AS72,"&lt;&gt;")=0,"",SUMPRODUCT(((Recommendations[ImplStatus]="Implemented")+(Recommendations[ImplStatus]="Compensated"))*ISNUMBER(MATCH(Recommendations[Id],F72:AS72,0)))/COUNTIF(F72:AS72,"&lt;&gt;"))</f>
        <v/>
      </c>
      <c r="F72" s="220"/>
      <c r="G72" s="220"/>
      <c r="H72" s="220"/>
      <c r="I72" s="220"/>
      <c r="J72" s="220"/>
      <c r="K72" s="220"/>
      <c r="L72" s="220"/>
      <c r="M72" s="220"/>
      <c r="N72" s="220"/>
      <c r="O72" s="220"/>
      <c r="P72" s="220"/>
      <c r="Q72" s="220"/>
      <c r="R72" s="220"/>
      <c r="S72" s="220"/>
      <c r="T72" s="220"/>
      <c r="U72" s="220"/>
      <c r="V72" s="220"/>
      <c r="W72" s="220"/>
      <c r="X72" s="220"/>
      <c r="Y72" s="220"/>
      <c r="Z72" s="220"/>
      <c r="AA72" s="220"/>
      <c r="AB72" s="220"/>
      <c r="AC72" s="220"/>
      <c r="AD72" s="220"/>
      <c r="AE72" s="220"/>
      <c r="AF72" s="220"/>
      <c r="AG72" s="220"/>
      <c r="AH72" s="220"/>
      <c r="AI72" s="220"/>
      <c r="AJ72" s="220"/>
      <c r="AK72" s="220"/>
      <c r="AL72" s="220"/>
      <c r="AM72" s="220"/>
      <c r="AN72" s="220"/>
      <c r="AO72" s="220"/>
      <c r="AP72" s="220"/>
      <c r="AQ72" s="220"/>
      <c r="AR72" s="220"/>
      <c r="AS72" s="230"/>
    </row>
    <row r="73" spans="1:45" ht="60" customHeight="1" x14ac:dyDescent="0.35">
      <c r="A73" s="227" t="s">
        <v>4923</v>
      </c>
      <c r="B73" s="214" t="s">
        <v>4949</v>
      </c>
      <c r="C73" s="215" t="s">
        <v>4950</v>
      </c>
      <c r="D73" s="217" t="s">
        <v>4951</v>
      </c>
      <c r="E73" s="219" t="str">
        <f>IF(COUNTIF(F73:AS73,"&lt;&gt;")=0,"",SUMPRODUCT(((Recommendations[ImplStatus]="Implemented")+(Recommendations[ImplStatus]="Compensated"))*ISNUMBER(MATCH(Recommendations[Id],F73:AS73,0)))/COUNTIF(F73:AS73,"&lt;&gt;"))</f>
        <v/>
      </c>
      <c r="F73" s="220"/>
      <c r="G73" s="220"/>
      <c r="H73" s="220"/>
      <c r="I73" s="220"/>
      <c r="J73" s="220"/>
      <c r="K73" s="220"/>
      <c r="L73" s="220"/>
      <c r="M73" s="220"/>
      <c r="N73" s="220"/>
      <c r="O73" s="220"/>
      <c r="P73" s="220"/>
      <c r="Q73" s="220"/>
      <c r="R73" s="220"/>
      <c r="S73" s="220"/>
      <c r="T73" s="220"/>
      <c r="U73" s="220"/>
      <c r="V73" s="220"/>
      <c r="W73" s="220"/>
      <c r="X73" s="220"/>
      <c r="Y73" s="220"/>
      <c r="Z73" s="220"/>
      <c r="AA73" s="220"/>
      <c r="AB73" s="220"/>
      <c r="AC73" s="220"/>
      <c r="AD73" s="220"/>
      <c r="AE73" s="220"/>
      <c r="AF73" s="220"/>
      <c r="AG73" s="220"/>
      <c r="AH73" s="220"/>
      <c r="AI73" s="220"/>
      <c r="AJ73" s="220"/>
      <c r="AK73" s="220"/>
      <c r="AL73" s="220"/>
      <c r="AM73" s="220"/>
      <c r="AN73" s="220"/>
      <c r="AO73" s="220"/>
      <c r="AP73" s="220"/>
      <c r="AQ73" s="220"/>
      <c r="AR73" s="220"/>
      <c r="AS73" s="230"/>
    </row>
    <row r="74" spans="1:45" ht="60" customHeight="1" x14ac:dyDescent="0.35">
      <c r="A74" s="227" t="s">
        <v>4923</v>
      </c>
      <c r="B74" s="214" t="s">
        <v>4952</v>
      </c>
      <c r="C74" s="215" t="s">
        <v>4953</v>
      </c>
      <c r="D74" s="217" t="s">
        <v>4954</v>
      </c>
      <c r="E74" s="219" t="str">
        <f>IF(COUNTIF(F74:AS74,"&lt;&gt;")=0,"",SUMPRODUCT(((Recommendations[ImplStatus]="Implemented")+(Recommendations[ImplStatus]="Compensated"))*ISNUMBER(MATCH(Recommendations[Id],F74:AS74,0)))/COUNTIF(F74:AS74,"&lt;&gt;"))</f>
        <v/>
      </c>
      <c r="F74" s="220"/>
      <c r="G74" s="220"/>
      <c r="H74" s="220"/>
      <c r="I74" s="220"/>
      <c r="J74" s="220"/>
      <c r="K74" s="220"/>
      <c r="L74" s="220"/>
      <c r="M74" s="220"/>
      <c r="N74" s="220"/>
      <c r="O74" s="220"/>
      <c r="P74" s="220"/>
      <c r="Q74" s="220"/>
      <c r="R74" s="220"/>
      <c r="S74" s="220"/>
      <c r="T74" s="220"/>
      <c r="U74" s="220"/>
      <c r="V74" s="220"/>
      <c r="W74" s="220"/>
      <c r="X74" s="220"/>
      <c r="Y74" s="220"/>
      <c r="Z74" s="220"/>
      <c r="AA74" s="220"/>
      <c r="AB74" s="220"/>
      <c r="AC74" s="220"/>
      <c r="AD74" s="220"/>
      <c r="AE74" s="220"/>
      <c r="AF74" s="220"/>
      <c r="AG74" s="220"/>
      <c r="AH74" s="220"/>
      <c r="AI74" s="220"/>
      <c r="AJ74" s="220"/>
      <c r="AK74" s="220"/>
      <c r="AL74" s="220"/>
      <c r="AM74" s="220"/>
      <c r="AN74" s="220"/>
      <c r="AO74" s="220"/>
      <c r="AP74" s="220"/>
      <c r="AQ74" s="220"/>
      <c r="AR74" s="220"/>
      <c r="AS74" s="230"/>
    </row>
    <row r="75" spans="1:45" ht="60" customHeight="1" x14ac:dyDescent="0.35">
      <c r="A75" s="227" t="s">
        <v>4923</v>
      </c>
      <c r="B75" s="214" t="s">
        <v>4955</v>
      </c>
      <c r="C75" s="215" t="s">
        <v>4956</v>
      </c>
      <c r="D75" s="217" t="s">
        <v>4957</v>
      </c>
      <c r="E75" s="219" t="str">
        <f>IF(COUNTIF(F75:AS75,"&lt;&gt;")=0,"",SUMPRODUCT(((Recommendations[ImplStatus]="Implemented")+(Recommendations[ImplStatus]="Compensated"))*ISNUMBER(MATCH(Recommendations[Id],F75:AS75,0)))/COUNTIF(F75:AS75,"&lt;&gt;"))</f>
        <v/>
      </c>
      <c r="F75" s="220"/>
      <c r="G75" s="220"/>
      <c r="H75" s="220"/>
      <c r="I75" s="220"/>
      <c r="J75" s="220"/>
      <c r="K75" s="220"/>
      <c r="L75" s="220"/>
      <c r="M75" s="220"/>
      <c r="N75" s="220"/>
      <c r="O75" s="220"/>
      <c r="P75" s="220"/>
      <c r="Q75" s="220"/>
      <c r="R75" s="220"/>
      <c r="S75" s="220"/>
      <c r="T75" s="220"/>
      <c r="U75" s="220"/>
      <c r="V75" s="220"/>
      <c r="W75" s="220"/>
      <c r="X75" s="220"/>
      <c r="Y75" s="220"/>
      <c r="Z75" s="220"/>
      <c r="AA75" s="220"/>
      <c r="AB75" s="220"/>
      <c r="AC75" s="220"/>
      <c r="AD75" s="220"/>
      <c r="AE75" s="220"/>
      <c r="AF75" s="220"/>
      <c r="AG75" s="220"/>
      <c r="AH75" s="220"/>
      <c r="AI75" s="220"/>
      <c r="AJ75" s="220"/>
      <c r="AK75" s="220"/>
      <c r="AL75" s="220"/>
      <c r="AM75" s="220"/>
      <c r="AN75" s="220"/>
      <c r="AO75" s="220"/>
      <c r="AP75" s="220"/>
      <c r="AQ75" s="220"/>
      <c r="AR75" s="220"/>
      <c r="AS75" s="230"/>
    </row>
    <row r="76" spans="1:45" ht="60" customHeight="1" x14ac:dyDescent="0.35">
      <c r="A76" s="227" t="s">
        <v>4923</v>
      </c>
      <c r="B76" s="214" t="s">
        <v>4958</v>
      </c>
      <c r="C76" s="215" t="s">
        <v>4959</v>
      </c>
      <c r="D76" s="217" t="s">
        <v>4960</v>
      </c>
      <c r="E76" s="219" t="str">
        <f>IF(COUNTIF(F76:AS76,"&lt;&gt;")=0,"",SUMPRODUCT(((Recommendations[ImplStatus]="Implemented")+(Recommendations[ImplStatus]="Compensated"))*ISNUMBER(MATCH(Recommendations[Id],F76:AS76,0)))/COUNTIF(F76:AS76,"&lt;&gt;"))</f>
        <v/>
      </c>
      <c r="F76" s="220"/>
      <c r="G76" s="220"/>
      <c r="H76" s="220"/>
      <c r="I76" s="220"/>
      <c r="J76" s="220"/>
      <c r="K76" s="220"/>
      <c r="L76" s="220"/>
      <c r="M76" s="220"/>
      <c r="N76" s="220"/>
      <c r="O76" s="220"/>
      <c r="P76" s="220"/>
      <c r="Q76" s="220"/>
      <c r="R76" s="220"/>
      <c r="S76" s="220"/>
      <c r="T76" s="220"/>
      <c r="U76" s="220"/>
      <c r="V76" s="220"/>
      <c r="W76" s="220"/>
      <c r="X76" s="220"/>
      <c r="Y76" s="220"/>
      <c r="Z76" s="220"/>
      <c r="AA76" s="220"/>
      <c r="AB76" s="220"/>
      <c r="AC76" s="220"/>
      <c r="AD76" s="220"/>
      <c r="AE76" s="220"/>
      <c r="AF76" s="220"/>
      <c r="AG76" s="220"/>
      <c r="AH76" s="220"/>
      <c r="AI76" s="220"/>
      <c r="AJ76" s="220"/>
      <c r="AK76" s="220"/>
      <c r="AL76" s="220"/>
      <c r="AM76" s="220"/>
      <c r="AN76" s="220"/>
      <c r="AO76" s="220"/>
      <c r="AP76" s="220"/>
      <c r="AQ76" s="220"/>
      <c r="AR76" s="220"/>
      <c r="AS76" s="230"/>
    </row>
    <row r="77" spans="1:45" ht="60" customHeight="1" x14ac:dyDescent="0.35">
      <c r="A77" s="227" t="s">
        <v>4923</v>
      </c>
      <c r="B77" s="214" t="s">
        <v>4961</v>
      </c>
      <c r="C77" s="215" t="s">
        <v>4962</v>
      </c>
      <c r="D77" s="217" t="s">
        <v>4963</v>
      </c>
      <c r="E77" s="219" t="str">
        <f>IF(COUNTIF(F77:AS77,"&lt;&gt;")=0,"",SUMPRODUCT(((Recommendations[ImplStatus]="Implemented")+(Recommendations[ImplStatus]="Compensated"))*ISNUMBER(MATCH(Recommendations[Id],F77:AS77,0)))/COUNTIF(F77:AS77,"&lt;&gt;"))</f>
        <v/>
      </c>
      <c r="F77" s="220"/>
      <c r="G77" s="220"/>
      <c r="H77" s="220"/>
      <c r="I77" s="220"/>
      <c r="J77" s="220"/>
      <c r="K77" s="220"/>
      <c r="L77" s="220"/>
      <c r="M77" s="220"/>
      <c r="N77" s="220"/>
      <c r="O77" s="220"/>
      <c r="P77" s="220"/>
      <c r="Q77" s="220"/>
      <c r="R77" s="220"/>
      <c r="S77" s="220"/>
      <c r="T77" s="220"/>
      <c r="U77" s="220"/>
      <c r="V77" s="220"/>
      <c r="W77" s="220"/>
      <c r="X77" s="220"/>
      <c r="Y77" s="220"/>
      <c r="Z77" s="220"/>
      <c r="AA77" s="220"/>
      <c r="AB77" s="220"/>
      <c r="AC77" s="220"/>
      <c r="AD77" s="220"/>
      <c r="AE77" s="220"/>
      <c r="AF77" s="220"/>
      <c r="AG77" s="220"/>
      <c r="AH77" s="220"/>
      <c r="AI77" s="220"/>
      <c r="AJ77" s="220"/>
      <c r="AK77" s="220"/>
      <c r="AL77" s="220"/>
      <c r="AM77" s="220"/>
      <c r="AN77" s="220"/>
      <c r="AO77" s="220"/>
      <c r="AP77" s="220"/>
      <c r="AQ77" s="220"/>
      <c r="AR77" s="220"/>
      <c r="AS77" s="230"/>
    </row>
    <row r="78" spans="1:45" ht="60" customHeight="1" x14ac:dyDescent="0.35">
      <c r="A78" s="227" t="s">
        <v>4923</v>
      </c>
      <c r="B78" s="214" t="s">
        <v>4964</v>
      </c>
      <c r="C78" s="215" t="s">
        <v>4965</v>
      </c>
      <c r="D78" s="217" t="s">
        <v>4966</v>
      </c>
      <c r="E78" s="219" t="str">
        <f>IF(COUNTIF(F78:AS78,"&lt;&gt;")=0,"",SUMPRODUCT(((Recommendations[ImplStatus]="Implemented")+(Recommendations[ImplStatus]="Compensated"))*ISNUMBER(MATCH(Recommendations[Id],F78:AS78,0)))/COUNTIF(F78:AS78,"&lt;&gt;"))</f>
        <v/>
      </c>
      <c r="F78" s="220"/>
      <c r="G78" s="220"/>
      <c r="H78" s="220"/>
      <c r="I78" s="220"/>
      <c r="J78" s="220"/>
      <c r="K78" s="220"/>
      <c r="L78" s="220"/>
      <c r="M78" s="220"/>
      <c r="N78" s="220"/>
      <c r="O78" s="220"/>
      <c r="P78" s="220"/>
      <c r="Q78" s="220"/>
      <c r="R78" s="220"/>
      <c r="S78" s="220"/>
      <c r="T78" s="220"/>
      <c r="U78" s="220"/>
      <c r="V78" s="220"/>
      <c r="W78" s="220"/>
      <c r="X78" s="220"/>
      <c r="Y78" s="220"/>
      <c r="Z78" s="220"/>
      <c r="AA78" s="220"/>
      <c r="AB78" s="220"/>
      <c r="AC78" s="220"/>
      <c r="AD78" s="220"/>
      <c r="AE78" s="220"/>
      <c r="AF78" s="220"/>
      <c r="AG78" s="220"/>
      <c r="AH78" s="220"/>
      <c r="AI78" s="220"/>
      <c r="AJ78" s="220"/>
      <c r="AK78" s="220"/>
      <c r="AL78" s="220"/>
      <c r="AM78" s="220"/>
      <c r="AN78" s="220"/>
      <c r="AO78" s="220"/>
      <c r="AP78" s="220"/>
      <c r="AQ78" s="220"/>
      <c r="AR78" s="220"/>
      <c r="AS78" s="230"/>
    </row>
    <row r="79" spans="1:45" ht="60" customHeight="1" x14ac:dyDescent="0.35">
      <c r="A79" s="227" t="s">
        <v>4923</v>
      </c>
      <c r="B79" s="214" t="s">
        <v>4967</v>
      </c>
      <c r="C79" s="215" t="s">
        <v>4968</v>
      </c>
      <c r="D79" s="217" t="s">
        <v>4969</v>
      </c>
      <c r="E79" s="219" t="str">
        <f>IF(COUNTIF(F79:AS79,"&lt;&gt;")=0,"",SUMPRODUCT(((Recommendations[ImplStatus]="Implemented")+(Recommendations[ImplStatus]="Compensated"))*ISNUMBER(MATCH(Recommendations[Id],F79:AS79,0)))/COUNTIF(F79:AS79,"&lt;&gt;"))</f>
        <v/>
      </c>
      <c r="F79" s="220"/>
      <c r="G79" s="220"/>
      <c r="H79" s="220"/>
      <c r="I79" s="220"/>
      <c r="J79" s="220"/>
      <c r="K79" s="220"/>
      <c r="L79" s="220"/>
      <c r="M79" s="220"/>
      <c r="N79" s="220"/>
      <c r="O79" s="220"/>
      <c r="P79" s="220"/>
      <c r="Q79" s="220"/>
      <c r="R79" s="220"/>
      <c r="S79" s="220"/>
      <c r="T79" s="220"/>
      <c r="U79" s="220"/>
      <c r="V79" s="220"/>
      <c r="W79" s="220"/>
      <c r="X79" s="220"/>
      <c r="Y79" s="220"/>
      <c r="Z79" s="220"/>
      <c r="AA79" s="220"/>
      <c r="AB79" s="220"/>
      <c r="AC79" s="220"/>
      <c r="AD79" s="220"/>
      <c r="AE79" s="220"/>
      <c r="AF79" s="220"/>
      <c r="AG79" s="220"/>
      <c r="AH79" s="220"/>
      <c r="AI79" s="220"/>
      <c r="AJ79" s="220"/>
      <c r="AK79" s="220"/>
      <c r="AL79" s="220"/>
      <c r="AM79" s="220"/>
      <c r="AN79" s="220"/>
      <c r="AO79" s="220"/>
      <c r="AP79" s="220"/>
      <c r="AQ79" s="220"/>
      <c r="AR79" s="220"/>
      <c r="AS79" s="230"/>
    </row>
    <row r="80" spans="1:45" ht="60" customHeight="1" x14ac:dyDescent="0.35">
      <c r="A80" s="227" t="s">
        <v>4923</v>
      </c>
      <c r="B80" s="214" t="s">
        <v>4970</v>
      </c>
      <c r="C80" s="215" t="s">
        <v>4971</v>
      </c>
      <c r="D80" s="217" t="s">
        <v>4972</v>
      </c>
      <c r="E80" s="219" t="str">
        <f>IF(COUNTIF(F80:AS80,"&lt;&gt;")=0,"",SUMPRODUCT(((Recommendations[ImplStatus]="Implemented")+(Recommendations[ImplStatus]="Compensated"))*ISNUMBER(MATCH(Recommendations[Id],F80:AS80,0)))/COUNTIF(F80:AS80,"&lt;&gt;"))</f>
        <v/>
      </c>
      <c r="F80" s="220"/>
      <c r="G80" s="220"/>
      <c r="H80" s="220"/>
      <c r="I80" s="220"/>
      <c r="J80" s="220"/>
      <c r="K80" s="220"/>
      <c r="L80" s="220"/>
      <c r="M80" s="220"/>
      <c r="N80" s="220"/>
      <c r="O80" s="220"/>
      <c r="P80" s="220"/>
      <c r="Q80" s="220"/>
      <c r="R80" s="220"/>
      <c r="S80" s="220"/>
      <c r="T80" s="220"/>
      <c r="U80" s="220"/>
      <c r="V80" s="220"/>
      <c r="W80" s="220"/>
      <c r="X80" s="220"/>
      <c r="Y80" s="220"/>
      <c r="Z80" s="220"/>
      <c r="AA80" s="220"/>
      <c r="AB80" s="220"/>
      <c r="AC80" s="220"/>
      <c r="AD80" s="220"/>
      <c r="AE80" s="220"/>
      <c r="AF80" s="220"/>
      <c r="AG80" s="220"/>
      <c r="AH80" s="220"/>
      <c r="AI80" s="220"/>
      <c r="AJ80" s="220"/>
      <c r="AK80" s="220"/>
      <c r="AL80" s="220"/>
      <c r="AM80" s="220"/>
      <c r="AN80" s="220"/>
      <c r="AO80" s="220"/>
      <c r="AP80" s="220"/>
      <c r="AQ80" s="220"/>
      <c r="AR80" s="220"/>
      <c r="AS80" s="230"/>
    </row>
    <row r="81" spans="1:45" ht="60" customHeight="1" x14ac:dyDescent="0.35">
      <c r="A81" s="227" t="s">
        <v>4923</v>
      </c>
      <c r="B81" s="214" t="s">
        <v>4973</v>
      </c>
      <c r="C81" s="215" t="s">
        <v>4974</v>
      </c>
      <c r="D81" s="217" t="s">
        <v>4975</v>
      </c>
      <c r="E81" s="219" t="str">
        <f>IF(COUNTIF(F81:AS81,"&lt;&gt;")=0,"",SUMPRODUCT(((Recommendations[ImplStatus]="Implemented")+(Recommendations[ImplStatus]="Compensated"))*ISNUMBER(MATCH(Recommendations[Id],F81:AS81,0)))/COUNTIF(F81:AS81,"&lt;&gt;"))</f>
        <v/>
      </c>
      <c r="F81" s="220"/>
      <c r="G81" s="220"/>
      <c r="H81" s="220"/>
      <c r="I81" s="220"/>
      <c r="J81" s="220"/>
      <c r="K81" s="220"/>
      <c r="L81" s="220"/>
      <c r="M81" s="220"/>
      <c r="N81" s="220"/>
      <c r="O81" s="220"/>
      <c r="P81" s="220"/>
      <c r="Q81" s="220"/>
      <c r="R81" s="220"/>
      <c r="S81" s="220"/>
      <c r="T81" s="220"/>
      <c r="U81" s="220"/>
      <c r="V81" s="220"/>
      <c r="W81" s="220"/>
      <c r="X81" s="220"/>
      <c r="Y81" s="220"/>
      <c r="Z81" s="220"/>
      <c r="AA81" s="220"/>
      <c r="AB81" s="220"/>
      <c r="AC81" s="220"/>
      <c r="AD81" s="220"/>
      <c r="AE81" s="220"/>
      <c r="AF81" s="220"/>
      <c r="AG81" s="220"/>
      <c r="AH81" s="220"/>
      <c r="AI81" s="220"/>
      <c r="AJ81" s="220"/>
      <c r="AK81" s="220"/>
      <c r="AL81" s="220"/>
      <c r="AM81" s="220"/>
      <c r="AN81" s="220"/>
      <c r="AO81" s="220"/>
      <c r="AP81" s="220"/>
      <c r="AQ81" s="220"/>
      <c r="AR81" s="220"/>
      <c r="AS81" s="230"/>
    </row>
    <row r="82" spans="1:45" ht="60" customHeight="1" x14ac:dyDescent="0.35">
      <c r="A82" s="227" t="s">
        <v>4923</v>
      </c>
      <c r="B82" s="214" t="s">
        <v>4976</v>
      </c>
      <c r="C82" s="215" t="s">
        <v>4977</v>
      </c>
      <c r="D82" s="217" t="s">
        <v>4978</v>
      </c>
      <c r="E82" s="219" t="str">
        <f>IF(COUNTIF(F82:AS82,"&lt;&gt;")=0,"",SUMPRODUCT(((Recommendations[ImplStatus]="Implemented")+(Recommendations[ImplStatus]="Compensated"))*ISNUMBER(MATCH(Recommendations[Id],F82:AS82,0)))/COUNTIF(F82:AS82,"&lt;&gt;"))</f>
        <v/>
      </c>
      <c r="F82" s="220"/>
      <c r="G82" s="220"/>
      <c r="H82" s="220"/>
      <c r="I82" s="220"/>
      <c r="J82" s="220"/>
      <c r="K82" s="220"/>
      <c r="L82" s="220"/>
      <c r="M82" s="220"/>
      <c r="N82" s="220"/>
      <c r="O82" s="220"/>
      <c r="P82" s="220"/>
      <c r="Q82" s="220"/>
      <c r="R82" s="220"/>
      <c r="S82" s="220"/>
      <c r="T82" s="220"/>
      <c r="U82" s="220"/>
      <c r="V82" s="220"/>
      <c r="W82" s="220"/>
      <c r="X82" s="220"/>
      <c r="Y82" s="220"/>
      <c r="Z82" s="220"/>
      <c r="AA82" s="220"/>
      <c r="AB82" s="220"/>
      <c r="AC82" s="220"/>
      <c r="AD82" s="220"/>
      <c r="AE82" s="220"/>
      <c r="AF82" s="220"/>
      <c r="AG82" s="220"/>
      <c r="AH82" s="220"/>
      <c r="AI82" s="220"/>
      <c r="AJ82" s="220"/>
      <c r="AK82" s="220"/>
      <c r="AL82" s="220"/>
      <c r="AM82" s="220"/>
      <c r="AN82" s="220"/>
      <c r="AO82" s="220"/>
      <c r="AP82" s="220"/>
      <c r="AQ82" s="220"/>
      <c r="AR82" s="220"/>
      <c r="AS82" s="230"/>
    </row>
    <row r="83" spans="1:45" ht="60" customHeight="1" x14ac:dyDescent="0.35">
      <c r="A83" s="227" t="s">
        <v>4923</v>
      </c>
      <c r="B83" s="214" t="s">
        <v>4979</v>
      </c>
      <c r="C83" s="215" t="s">
        <v>4980</v>
      </c>
      <c r="D83" s="217" t="s">
        <v>4981</v>
      </c>
      <c r="E83" s="219" t="str">
        <f>IF(COUNTIF(F83:AS83,"&lt;&gt;")=0,"",SUMPRODUCT(((Recommendations[ImplStatus]="Implemented")+(Recommendations[ImplStatus]="Compensated"))*ISNUMBER(MATCH(Recommendations[Id],F83:AS83,0)))/COUNTIF(F83:AS83,"&lt;&gt;"))</f>
        <v/>
      </c>
      <c r="F83" s="220"/>
      <c r="G83" s="220"/>
      <c r="H83" s="220"/>
      <c r="I83" s="220"/>
      <c r="J83" s="220"/>
      <c r="K83" s="220"/>
      <c r="L83" s="220"/>
      <c r="M83" s="220"/>
      <c r="N83" s="220"/>
      <c r="O83" s="220"/>
      <c r="P83" s="220"/>
      <c r="Q83" s="220"/>
      <c r="R83" s="220"/>
      <c r="S83" s="220"/>
      <c r="T83" s="220"/>
      <c r="U83" s="220"/>
      <c r="V83" s="220"/>
      <c r="W83" s="220"/>
      <c r="X83" s="220"/>
      <c r="Y83" s="220"/>
      <c r="Z83" s="220"/>
      <c r="AA83" s="220"/>
      <c r="AB83" s="220"/>
      <c r="AC83" s="220"/>
      <c r="AD83" s="220"/>
      <c r="AE83" s="220"/>
      <c r="AF83" s="220"/>
      <c r="AG83" s="220"/>
      <c r="AH83" s="220"/>
      <c r="AI83" s="220"/>
      <c r="AJ83" s="220"/>
      <c r="AK83" s="220"/>
      <c r="AL83" s="220"/>
      <c r="AM83" s="220"/>
      <c r="AN83" s="220"/>
      <c r="AO83" s="220"/>
      <c r="AP83" s="220"/>
      <c r="AQ83" s="220"/>
      <c r="AR83" s="220"/>
      <c r="AS83" s="230"/>
    </row>
    <row r="84" spans="1:45" ht="60" customHeight="1" x14ac:dyDescent="0.35">
      <c r="A84" s="227" t="s">
        <v>4923</v>
      </c>
      <c r="B84" s="214" t="s">
        <v>4982</v>
      </c>
      <c r="C84" s="215" t="s">
        <v>4983</v>
      </c>
      <c r="D84" s="217" t="s">
        <v>4984</v>
      </c>
      <c r="E84" s="219" t="str">
        <f>IF(COUNTIF(F84:AS84,"&lt;&gt;")=0,"",SUMPRODUCT(((Recommendations[ImplStatus]="Implemented")+(Recommendations[ImplStatus]="Compensated"))*ISNUMBER(MATCH(Recommendations[Id],F84:AS84,0)))/COUNTIF(F84:AS84,"&lt;&gt;"))</f>
        <v/>
      </c>
      <c r="F84" s="220"/>
      <c r="G84" s="220"/>
      <c r="H84" s="220"/>
      <c r="I84" s="220"/>
      <c r="J84" s="220"/>
      <c r="K84" s="220"/>
      <c r="L84" s="220"/>
      <c r="M84" s="220"/>
      <c r="N84" s="220"/>
      <c r="O84" s="220"/>
      <c r="P84" s="220"/>
      <c r="Q84" s="220"/>
      <c r="R84" s="220"/>
      <c r="S84" s="220"/>
      <c r="T84" s="220"/>
      <c r="U84" s="220"/>
      <c r="V84" s="220"/>
      <c r="W84" s="220"/>
      <c r="X84" s="220"/>
      <c r="Y84" s="220"/>
      <c r="Z84" s="220"/>
      <c r="AA84" s="220"/>
      <c r="AB84" s="220"/>
      <c r="AC84" s="220"/>
      <c r="AD84" s="220"/>
      <c r="AE84" s="220"/>
      <c r="AF84" s="220"/>
      <c r="AG84" s="220"/>
      <c r="AH84" s="220"/>
      <c r="AI84" s="220"/>
      <c r="AJ84" s="220"/>
      <c r="AK84" s="220"/>
      <c r="AL84" s="220"/>
      <c r="AM84" s="220"/>
      <c r="AN84" s="220"/>
      <c r="AO84" s="220"/>
      <c r="AP84" s="220"/>
      <c r="AQ84" s="220"/>
      <c r="AR84" s="220"/>
      <c r="AS84" s="230"/>
    </row>
    <row r="85" spans="1:45" ht="60" customHeight="1" x14ac:dyDescent="0.35">
      <c r="A85" s="227" t="s">
        <v>4923</v>
      </c>
      <c r="B85" s="214" t="s">
        <v>4985</v>
      </c>
      <c r="C85" s="215" t="s">
        <v>4986</v>
      </c>
      <c r="D85" s="217" t="s">
        <v>4987</v>
      </c>
      <c r="E85" s="219" t="str">
        <f>IF(COUNTIF(F85:AS85,"&lt;&gt;")=0,"",SUMPRODUCT(((Recommendations[ImplStatus]="Implemented")+(Recommendations[ImplStatus]="Compensated"))*ISNUMBER(MATCH(Recommendations[Id],F85:AS85,0)))/COUNTIF(F85:AS85,"&lt;&gt;"))</f>
        <v/>
      </c>
      <c r="F85" s="220"/>
      <c r="G85" s="220"/>
      <c r="H85" s="220"/>
      <c r="I85" s="220"/>
      <c r="J85" s="220"/>
      <c r="K85" s="220"/>
      <c r="L85" s="220"/>
      <c r="M85" s="220"/>
      <c r="N85" s="220"/>
      <c r="O85" s="220"/>
      <c r="P85" s="220"/>
      <c r="Q85" s="220"/>
      <c r="R85" s="220"/>
      <c r="S85" s="220"/>
      <c r="T85" s="220"/>
      <c r="U85" s="220"/>
      <c r="V85" s="220"/>
      <c r="W85" s="220"/>
      <c r="X85" s="220"/>
      <c r="Y85" s="220"/>
      <c r="Z85" s="220"/>
      <c r="AA85" s="220"/>
      <c r="AB85" s="220"/>
      <c r="AC85" s="220"/>
      <c r="AD85" s="220"/>
      <c r="AE85" s="220"/>
      <c r="AF85" s="220"/>
      <c r="AG85" s="220"/>
      <c r="AH85" s="220"/>
      <c r="AI85" s="220"/>
      <c r="AJ85" s="220"/>
      <c r="AK85" s="220"/>
      <c r="AL85" s="220"/>
      <c r="AM85" s="220"/>
      <c r="AN85" s="220"/>
      <c r="AO85" s="220"/>
      <c r="AP85" s="220"/>
      <c r="AQ85" s="220"/>
      <c r="AR85" s="220"/>
      <c r="AS85" s="230"/>
    </row>
    <row r="86" spans="1:45" ht="60" customHeight="1" x14ac:dyDescent="0.35">
      <c r="A86" s="227" t="s">
        <v>4923</v>
      </c>
      <c r="B86" s="214" t="s">
        <v>4988</v>
      </c>
      <c r="C86" s="215" t="s">
        <v>4989</v>
      </c>
      <c r="D86" s="217" t="s">
        <v>4990</v>
      </c>
      <c r="E86" s="219" t="str">
        <f>IF(COUNTIF(F86:AS86,"&lt;&gt;")=0,"",SUMPRODUCT(((Recommendations[ImplStatus]="Implemented")+(Recommendations[ImplStatus]="Compensated"))*ISNUMBER(MATCH(Recommendations[Id],F86:AS86,0)))/COUNTIF(F86:AS86,"&lt;&gt;"))</f>
        <v/>
      </c>
      <c r="F86" s="220"/>
      <c r="G86" s="220"/>
      <c r="H86" s="220"/>
      <c r="I86" s="220"/>
      <c r="J86" s="220"/>
      <c r="K86" s="220"/>
      <c r="L86" s="220"/>
      <c r="M86" s="220"/>
      <c r="N86" s="220"/>
      <c r="O86" s="220"/>
      <c r="P86" s="220"/>
      <c r="Q86" s="220"/>
      <c r="R86" s="220"/>
      <c r="S86" s="220"/>
      <c r="T86" s="220"/>
      <c r="U86" s="220"/>
      <c r="V86" s="220"/>
      <c r="W86" s="220"/>
      <c r="X86" s="220"/>
      <c r="Y86" s="220"/>
      <c r="Z86" s="220"/>
      <c r="AA86" s="220"/>
      <c r="AB86" s="220"/>
      <c r="AC86" s="220"/>
      <c r="AD86" s="220"/>
      <c r="AE86" s="220"/>
      <c r="AF86" s="220"/>
      <c r="AG86" s="220"/>
      <c r="AH86" s="220"/>
      <c r="AI86" s="220"/>
      <c r="AJ86" s="220"/>
      <c r="AK86" s="220"/>
      <c r="AL86" s="220"/>
      <c r="AM86" s="220"/>
      <c r="AN86" s="220"/>
      <c r="AO86" s="220"/>
      <c r="AP86" s="220"/>
      <c r="AQ86" s="220"/>
      <c r="AR86" s="220"/>
      <c r="AS86" s="230"/>
    </row>
    <row r="87" spans="1:45" ht="60" customHeight="1" x14ac:dyDescent="0.35">
      <c r="A87" s="227" t="s">
        <v>4923</v>
      </c>
      <c r="B87" s="214" t="s">
        <v>4991</v>
      </c>
      <c r="C87" s="215" t="s">
        <v>4992</v>
      </c>
      <c r="D87" s="217" t="s">
        <v>4993</v>
      </c>
      <c r="E87" s="219" t="str">
        <f>IF(COUNTIF(F87:AS87,"&lt;&gt;")=0,"",SUMPRODUCT(((Recommendations[ImplStatus]="Implemented")+(Recommendations[ImplStatus]="Compensated"))*ISNUMBER(MATCH(Recommendations[Id],F87:AS87,0)))/COUNTIF(F87:AS87,"&lt;&gt;"))</f>
        <v/>
      </c>
      <c r="F87" s="220"/>
      <c r="G87" s="220"/>
      <c r="H87" s="220"/>
      <c r="I87" s="220"/>
      <c r="J87" s="220"/>
      <c r="K87" s="220"/>
      <c r="L87" s="220"/>
      <c r="M87" s="220"/>
      <c r="N87" s="220"/>
      <c r="O87" s="220"/>
      <c r="P87" s="220"/>
      <c r="Q87" s="220"/>
      <c r="R87" s="220"/>
      <c r="S87" s="220"/>
      <c r="T87" s="220"/>
      <c r="U87" s="220"/>
      <c r="V87" s="220"/>
      <c r="W87" s="220"/>
      <c r="X87" s="220"/>
      <c r="Y87" s="220"/>
      <c r="Z87" s="220"/>
      <c r="AA87" s="220"/>
      <c r="AB87" s="220"/>
      <c r="AC87" s="220"/>
      <c r="AD87" s="220"/>
      <c r="AE87" s="220"/>
      <c r="AF87" s="220"/>
      <c r="AG87" s="220"/>
      <c r="AH87" s="220"/>
      <c r="AI87" s="220"/>
      <c r="AJ87" s="220"/>
      <c r="AK87" s="220"/>
      <c r="AL87" s="220"/>
      <c r="AM87" s="220"/>
      <c r="AN87" s="220"/>
      <c r="AO87" s="220"/>
      <c r="AP87" s="220"/>
      <c r="AQ87" s="220"/>
      <c r="AR87" s="220"/>
      <c r="AS87" s="230"/>
    </row>
    <row r="88" spans="1:45" ht="60" customHeight="1" x14ac:dyDescent="0.35">
      <c r="A88" s="227" t="s">
        <v>4923</v>
      </c>
      <c r="B88" s="214" t="s">
        <v>4994</v>
      </c>
      <c r="C88" s="215" t="s">
        <v>4995</v>
      </c>
      <c r="D88" s="217" t="s">
        <v>4996</v>
      </c>
      <c r="E88" s="219" t="str">
        <f>IF(COUNTIF(F88:AS88,"&lt;&gt;")=0,"",SUMPRODUCT(((Recommendations[ImplStatus]="Implemented")+(Recommendations[ImplStatus]="Compensated"))*ISNUMBER(MATCH(Recommendations[Id],F88:AS88,0)))/COUNTIF(F88:AS88,"&lt;&gt;"))</f>
        <v/>
      </c>
      <c r="F88" s="220"/>
      <c r="G88" s="220"/>
      <c r="H88" s="220"/>
      <c r="I88" s="220"/>
      <c r="J88" s="220"/>
      <c r="K88" s="220"/>
      <c r="L88" s="220"/>
      <c r="M88" s="220"/>
      <c r="N88" s="220"/>
      <c r="O88" s="220"/>
      <c r="P88" s="220"/>
      <c r="Q88" s="220"/>
      <c r="R88" s="220"/>
      <c r="S88" s="220"/>
      <c r="T88" s="220"/>
      <c r="U88" s="220"/>
      <c r="V88" s="220"/>
      <c r="W88" s="220"/>
      <c r="X88" s="220"/>
      <c r="Y88" s="220"/>
      <c r="Z88" s="220"/>
      <c r="AA88" s="220"/>
      <c r="AB88" s="220"/>
      <c r="AC88" s="220"/>
      <c r="AD88" s="220"/>
      <c r="AE88" s="220"/>
      <c r="AF88" s="220"/>
      <c r="AG88" s="220"/>
      <c r="AH88" s="220"/>
      <c r="AI88" s="220"/>
      <c r="AJ88" s="220"/>
      <c r="AK88" s="220"/>
      <c r="AL88" s="220"/>
      <c r="AM88" s="220"/>
      <c r="AN88" s="220"/>
      <c r="AO88" s="220"/>
      <c r="AP88" s="220"/>
      <c r="AQ88" s="220"/>
      <c r="AR88" s="220"/>
      <c r="AS88" s="230"/>
    </row>
    <row r="89" spans="1:45" ht="60" customHeight="1" x14ac:dyDescent="0.35">
      <c r="A89" s="227" t="s">
        <v>4923</v>
      </c>
      <c r="B89" s="214" t="s">
        <v>4997</v>
      </c>
      <c r="C89" s="215" t="s">
        <v>4998</v>
      </c>
      <c r="D89" s="217" t="s">
        <v>4999</v>
      </c>
      <c r="E89" s="219" t="str">
        <f>IF(COUNTIF(F89:AS89,"&lt;&gt;")=0,"",SUMPRODUCT(((Recommendations[ImplStatus]="Implemented")+(Recommendations[ImplStatus]="Compensated"))*ISNUMBER(MATCH(Recommendations[Id],F89:AS89,0)))/COUNTIF(F89:AS89,"&lt;&gt;"))</f>
        <v/>
      </c>
      <c r="F89" s="220"/>
      <c r="G89" s="220"/>
      <c r="H89" s="220"/>
      <c r="I89" s="220"/>
      <c r="J89" s="220"/>
      <c r="K89" s="220"/>
      <c r="L89" s="220"/>
      <c r="M89" s="220"/>
      <c r="N89" s="220"/>
      <c r="O89" s="220"/>
      <c r="P89" s="220"/>
      <c r="Q89" s="220"/>
      <c r="R89" s="220"/>
      <c r="S89" s="220"/>
      <c r="T89" s="220"/>
      <c r="U89" s="220"/>
      <c r="V89" s="220"/>
      <c r="W89" s="220"/>
      <c r="X89" s="220"/>
      <c r="Y89" s="220"/>
      <c r="Z89" s="220"/>
      <c r="AA89" s="220"/>
      <c r="AB89" s="220"/>
      <c r="AC89" s="220"/>
      <c r="AD89" s="220"/>
      <c r="AE89" s="220"/>
      <c r="AF89" s="220"/>
      <c r="AG89" s="220"/>
      <c r="AH89" s="220"/>
      <c r="AI89" s="220"/>
      <c r="AJ89" s="220"/>
      <c r="AK89" s="220"/>
      <c r="AL89" s="220"/>
      <c r="AM89" s="220"/>
      <c r="AN89" s="220"/>
      <c r="AO89" s="220"/>
      <c r="AP89" s="220"/>
      <c r="AQ89" s="220"/>
      <c r="AR89" s="220"/>
      <c r="AS89" s="230"/>
    </row>
    <row r="90" spans="1:45" ht="60" customHeight="1" x14ac:dyDescent="0.35">
      <c r="A90" s="227" t="s">
        <v>4923</v>
      </c>
      <c r="B90" s="214" t="s">
        <v>5000</v>
      </c>
      <c r="C90" s="215" t="s">
        <v>5001</v>
      </c>
      <c r="D90" s="217" t="s">
        <v>5002</v>
      </c>
      <c r="E90" s="219" t="str">
        <f>IF(COUNTIF(F90:AS90,"&lt;&gt;")=0,"",SUMPRODUCT(((Recommendations[ImplStatus]="Implemented")+(Recommendations[ImplStatus]="Compensated"))*ISNUMBER(MATCH(Recommendations[Id],F90:AS90,0)))/COUNTIF(F90:AS90,"&lt;&gt;"))</f>
        <v/>
      </c>
      <c r="F90" s="220"/>
      <c r="G90" s="220"/>
      <c r="H90" s="220"/>
      <c r="I90" s="220"/>
      <c r="J90" s="220"/>
      <c r="K90" s="220"/>
      <c r="L90" s="220"/>
      <c r="M90" s="220"/>
      <c r="N90" s="220"/>
      <c r="O90" s="220"/>
      <c r="P90" s="220"/>
      <c r="Q90" s="220"/>
      <c r="R90" s="220"/>
      <c r="S90" s="220"/>
      <c r="T90" s="220"/>
      <c r="U90" s="220"/>
      <c r="V90" s="220"/>
      <c r="W90" s="220"/>
      <c r="X90" s="220"/>
      <c r="Y90" s="220"/>
      <c r="Z90" s="220"/>
      <c r="AA90" s="220"/>
      <c r="AB90" s="220"/>
      <c r="AC90" s="220"/>
      <c r="AD90" s="220"/>
      <c r="AE90" s="220"/>
      <c r="AF90" s="220"/>
      <c r="AG90" s="220"/>
      <c r="AH90" s="220"/>
      <c r="AI90" s="220"/>
      <c r="AJ90" s="220"/>
      <c r="AK90" s="220"/>
      <c r="AL90" s="220"/>
      <c r="AM90" s="220"/>
      <c r="AN90" s="220"/>
      <c r="AO90" s="220"/>
      <c r="AP90" s="220"/>
      <c r="AQ90" s="220"/>
      <c r="AR90" s="220"/>
      <c r="AS90" s="230"/>
    </row>
    <row r="91" spans="1:45" ht="60" customHeight="1" x14ac:dyDescent="0.35">
      <c r="A91" s="227" t="s">
        <v>4923</v>
      </c>
      <c r="B91" s="214" t="s">
        <v>5003</v>
      </c>
      <c r="C91" s="215" t="s">
        <v>5004</v>
      </c>
      <c r="D91" s="217" t="s">
        <v>5005</v>
      </c>
      <c r="E91" s="219" t="str">
        <f>IF(COUNTIF(F91:AS91,"&lt;&gt;")=0,"",SUMPRODUCT(((Recommendations[ImplStatus]="Implemented")+(Recommendations[ImplStatus]="Compensated"))*ISNUMBER(MATCH(Recommendations[Id],F91:AS91,0)))/COUNTIF(F91:AS91,"&lt;&gt;"))</f>
        <v/>
      </c>
      <c r="F91" s="220"/>
      <c r="G91" s="220"/>
      <c r="H91" s="220"/>
      <c r="I91" s="220"/>
      <c r="J91" s="220"/>
      <c r="K91" s="220"/>
      <c r="L91" s="220"/>
      <c r="M91" s="220"/>
      <c r="N91" s="220"/>
      <c r="O91" s="220"/>
      <c r="P91" s="220"/>
      <c r="Q91" s="220"/>
      <c r="R91" s="220"/>
      <c r="S91" s="220"/>
      <c r="T91" s="220"/>
      <c r="U91" s="220"/>
      <c r="V91" s="220"/>
      <c r="W91" s="220"/>
      <c r="X91" s="220"/>
      <c r="Y91" s="220"/>
      <c r="Z91" s="220"/>
      <c r="AA91" s="220"/>
      <c r="AB91" s="220"/>
      <c r="AC91" s="220"/>
      <c r="AD91" s="220"/>
      <c r="AE91" s="220"/>
      <c r="AF91" s="220"/>
      <c r="AG91" s="220"/>
      <c r="AH91" s="220"/>
      <c r="AI91" s="220"/>
      <c r="AJ91" s="220"/>
      <c r="AK91" s="220"/>
      <c r="AL91" s="220"/>
      <c r="AM91" s="220"/>
      <c r="AN91" s="220"/>
      <c r="AO91" s="220"/>
      <c r="AP91" s="220"/>
      <c r="AQ91" s="220"/>
      <c r="AR91" s="220"/>
      <c r="AS91" s="230"/>
    </row>
    <row r="92" spans="1:45" ht="60" customHeight="1" x14ac:dyDescent="0.35">
      <c r="A92" s="227" t="s">
        <v>4923</v>
      </c>
      <c r="B92" s="214" t="s">
        <v>5006</v>
      </c>
      <c r="C92" s="215" t="s">
        <v>5007</v>
      </c>
      <c r="D92" s="217" t="s">
        <v>5008</v>
      </c>
      <c r="E92" s="219" t="str">
        <f>IF(COUNTIF(F92:AS92,"&lt;&gt;")=0,"",SUMPRODUCT(((Recommendations[ImplStatus]="Implemented")+(Recommendations[ImplStatus]="Compensated"))*ISNUMBER(MATCH(Recommendations[Id],F92:AS92,0)))/COUNTIF(F92:AS92,"&lt;&gt;"))</f>
        <v/>
      </c>
      <c r="F92" s="220"/>
      <c r="G92" s="220"/>
      <c r="H92" s="220"/>
      <c r="I92" s="220"/>
      <c r="J92" s="220"/>
      <c r="K92" s="220"/>
      <c r="L92" s="220"/>
      <c r="M92" s="220"/>
      <c r="N92" s="220"/>
      <c r="O92" s="220"/>
      <c r="P92" s="220"/>
      <c r="Q92" s="220"/>
      <c r="R92" s="220"/>
      <c r="S92" s="220"/>
      <c r="T92" s="220"/>
      <c r="U92" s="220"/>
      <c r="V92" s="220"/>
      <c r="W92" s="220"/>
      <c r="X92" s="220"/>
      <c r="Y92" s="220"/>
      <c r="Z92" s="220"/>
      <c r="AA92" s="220"/>
      <c r="AB92" s="220"/>
      <c r="AC92" s="220"/>
      <c r="AD92" s="220"/>
      <c r="AE92" s="220"/>
      <c r="AF92" s="220"/>
      <c r="AG92" s="220"/>
      <c r="AH92" s="220"/>
      <c r="AI92" s="220"/>
      <c r="AJ92" s="220"/>
      <c r="AK92" s="220"/>
      <c r="AL92" s="220"/>
      <c r="AM92" s="220"/>
      <c r="AN92" s="220"/>
      <c r="AO92" s="220"/>
      <c r="AP92" s="220"/>
      <c r="AQ92" s="220"/>
      <c r="AR92" s="220"/>
      <c r="AS92" s="230"/>
    </row>
    <row r="93" spans="1:45" ht="60" customHeight="1" x14ac:dyDescent="0.35">
      <c r="A93" s="227" t="s">
        <v>4923</v>
      </c>
      <c r="B93" s="214" t="s">
        <v>5009</v>
      </c>
      <c r="C93" s="215" t="s">
        <v>5010</v>
      </c>
      <c r="D93" s="217" t="s">
        <v>5011</v>
      </c>
      <c r="E93" s="219" t="str">
        <f>IF(COUNTIF(F93:AS93,"&lt;&gt;")=0,"",SUMPRODUCT(((Recommendations[ImplStatus]="Implemented")+(Recommendations[ImplStatus]="Compensated"))*ISNUMBER(MATCH(Recommendations[Id],F93:AS93,0)))/COUNTIF(F93:AS93,"&lt;&gt;"))</f>
        <v/>
      </c>
      <c r="F93" s="220"/>
      <c r="G93" s="220"/>
      <c r="H93" s="220"/>
      <c r="I93" s="220"/>
      <c r="J93" s="220"/>
      <c r="K93" s="220"/>
      <c r="L93" s="220"/>
      <c r="M93" s="220"/>
      <c r="N93" s="220"/>
      <c r="O93" s="220"/>
      <c r="P93" s="220"/>
      <c r="Q93" s="220"/>
      <c r="R93" s="220"/>
      <c r="S93" s="220"/>
      <c r="T93" s="220"/>
      <c r="U93" s="220"/>
      <c r="V93" s="220"/>
      <c r="W93" s="220"/>
      <c r="X93" s="220"/>
      <c r="Y93" s="220"/>
      <c r="Z93" s="220"/>
      <c r="AA93" s="220"/>
      <c r="AB93" s="220"/>
      <c r="AC93" s="220"/>
      <c r="AD93" s="220"/>
      <c r="AE93" s="220"/>
      <c r="AF93" s="220"/>
      <c r="AG93" s="220"/>
      <c r="AH93" s="220"/>
      <c r="AI93" s="220"/>
      <c r="AJ93" s="220"/>
      <c r="AK93" s="220"/>
      <c r="AL93" s="220"/>
      <c r="AM93" s="220"/>
      <c r="AN93" s="220"/>
      <c r="AO93" s="220"/>
      <c r="AP93" s="220"/>
      <c r="AQ93" s="220"/>
      <c r="AR93" s="220"/>
      <c r="AS93" s="230"/>
    </row>
    <row r="94" spans="1:45" ht="60" customHeight="1" x14ac:dyDescent="0.35">
      <c r="A94" s="227" t="s">
        <v>4923</v>
      </c>
      <c r="B94" s="214" t="s">
        <v>5012</v>
      </c>
      <c r="C94" s="215" t="s">
        <v>5013</v>
      </c>
      <c r="D94" s="217" t="s">
        <v>5014</v>
      </c>
      <c r="E94" s="219" t="str">
        <f>IF(COUNTIF(F94:AS94,"&lt;&gt;")=0,"",SUMPRODUCT(((Recommendations[ImplStatus]="Implemented")+(Recommendations[ImplStatus]="Compensated"))*ISNUMBER(MATCH(Recommendations[Id],F94:AS94,0)))/COUNTIF(F94:AS94,"&lt;&gt;"))</f>
        <v/>
      </c>
      <c r="F94" s="220"/>
      <c r="G94" s="220"/>
      <c r="H94" s="220"/>
      <c r="I94" s="220"/>
      <c r="J94" s="220"/>
      <c r="K94" s="220"/>
      <c r="L94" s="220"/>
      <c r="M94" s="220"/>
      <c r="N94" s="220"/>
      <c r="O94" s="220"/>
      <c r="P94" s="220"/>
      <c r="Q94" s="220"/>
      <c r="R94" s="220"/>
      <c r="S94" s="220"/>
      <c r="T94" s="220"/>
      <c r="U94" s="220"/>
      <c r="V94" s="220"/>
      <c r="W94" s="220"/>
      <c r="X94" s="220"/>
      <c r="Y94" s="220"/>
      <c r="Z94" s="220"/>
      <c r="AA94" s="220"/>
      <c r="AB94" s="220"/>
      <c r="AC94" s="220"/>
      <c r="AD94" s="220"/>
      <c r="AE94" s="220"/>
      <c r="AF94" s="220"/>
      <c r="AG94" s="220"/>
      <c r="AH94" s="220"/>
      <c r="AI94" s="220"/>
      <c r="AJ94" s="220"/>
      <c r="AK94" s="220"/>
      <c r="AL94" s="220"/>
      <c r="AM94" s="220"/>
      <c r="AN94" s="220"/>
      <c r="AO94" s="220"/>
      <c r="AP94" s="220"/>
      <c r="AQ94" s="220"/>
      <c r="AR94" s="220"/>
      <c r="AS94" s="230"/>
    </row>
    <row r="95" spans="1:45" ht="60" customHeight="1" x14ac:dyDescent="0.35">
      <c r="A95" s="227" t="s">
        <v>4923</v>
      </c>
      <c r="B95" s="214" t="s">
        <v>5015</v>
      </c>
      <c r="C95" s="215" t="s">
        <v>5016</v>
      </c>
      <c r="D95" s="217" t="s">
        <v>5017</v>
      </c>
      <c r="E95" s="219" t="str">
        <f>IF(COUNTIF(F95:AS95,"&lt;&gt;")=0,"",SUMPRODUCT(((Recommendations[ImplStatus]="Implemented")+(Recommendations[ImplStatus]="Compensated"))*ISNUMBER(MATCH(Recommendations[Id],F95:AS95,0)))/COUNTIF(F95:AS95,"&lt;&gt;"))</f>
        <v/>
      </c>
      <c r="F95" s="220"/>
      <c r="G95" s="220"/>
      <c r="H95" s="220"/>
      <c r="I95" s="220"/>
      <c r="J95" s="220"/>
      <c r="K95" s="220"/>
      <c r="L95" s="220"/>
      <c r="M95" s="220"/>
      <c r="N95" s="220"/>
      <c r="O95" s="220"/>
      <c r="P95" s="220"/>
      <c r="Q95" s="220"/>
      <c r="R95" s="220"/>
      <c r="S95" s="220"/>
      <c r="T95" s="220"/>
      <c r="U95" s="220"/>
      <c r="V95" s="220"/>
      <c r="W95" s="220"/>
      <c r="X95" s="220"/>
      <c r="Y95" s="220"/>
      <c r="Z95" s="220"/>
      <c r="AA95" s="220"/>
      <c r="AB95" s="220"/>
      <c r="AC95" s="220"/>
      <c r="AD95" s="220"/>
      <c r="AE95" s="220"/>
      <c r="AF95" s="220"/>
      <c r="AG95" s="220"/>
      <c r="AH95" s="220"/>
      <c r="AI95" s="220"/>
      <c r="AJ95" s="220"/>
      <c r="AK95" s="220"/>
      <c r="AL95" s="220"/>
      <c r="AM95" s="220"/>
      <c r="AN95" s="220"/>
      <c r="AO95" s="220"/>
      <c r="AP95" s="220"/>
      <c r="AQ95" s="220"/>
      <c r="AR95" s="220"/>
      <c r="AS95" s="230"/>
    </row>
    <row r="96" spans="1:45" ht="60" customHeight="1" x14ac:dyDescent="0.35">
      <c r="A96" s="227" t="s">
        <v>4923</v>
      </c>
      <c r="B96" s="214" t="s">
        <v>5018</v>
      </c>
      <c r="C96" s="215" t="s">
        <v>5019</v>
      </c>
      <c r="D96" s="217" t="s">
        <v>5020</v>
      </c>
      <c r="E96" s="219" t="str">
        <f>IF(COUNTIF(F96:AS96,"&lt;&gt;")=0,"",SUMPRODUCT(((Recommendations[ImplStatus]="Implemented")+(Recommendations[ImplStatus]="Compensated"))*ISNUMBER(MATCH(Recommendations[Id],F96:AS96,0)))/COUNTIF(F96:AS96,"&lt;&gt;"))</f>
        <v/>
      </c>
      <c r="F96" s="220"/>
      <c r="G96" s="220"/>
      <c r="H96" s="220"/>
      <c r="I96" s="220"/>
      <c r="J96" s="220"/>
      <c r="K96" s="220"/>
      <c r="L96" s="220"/>
      <c r="M96" s="220"/>
      <c r="N96" s="220"/>
      <c r="O96" s="220"/>
      <c r="P96" s="220"/>
      <c r="Q96" s="220"/>
      <c r="R96" s="220"/>
      <c r="S96" s="220"/>
      <c r="T96" s="220"/>
      <c r="U96" s="220"/>
      <c r="V96" s="220"/>
      <c r="W96" s="220"/>
      <c r="X96" s="220"/>
      <c r="Y96" s="220"/>
      <c r="Z96" s="220"/>
      <c r="AA96" s="220"/>
      <c r="AB96" s="220"/>
      <c r="AC96" s="220"/>
      <c r="AD96" s="220"/>
      <c r="AE96" s="220"/>
      <c r="AF96" s="220"/>
      <c r="AG96" s="220"/>
      <c r="AH96" s="220"/>
      <c r="AI96" s="220"/>
      <c r="AJ96" s="220"/>
      <c r="AK96" s="220"/>
      <c r="AL96" s="220"/>
      <c r="AM96" s="220"/>
      <c r="AN96" s="220"/>
      <c r="AO96" s="220"/>
      <c r="AP96" s="220"/>
      <c r="AQ96" s="220"/>
      <c r="AR96" s="220"/>
      <c r="AS96" s="230"/>
    </row>
    <row r="97" spans="1:45" ht="60" customHeight="1" x14ac:dyDescent="0.35">
      <c r="A97" s="227" t="s">
        <v>4923</v>
      </c>
      <c r="B97" s="214" t="s">
        <v>5021</v>
      </c>
      <c r="C97" s="215" t="s">
        <v>5022</v>
      </c>
      <c r="D97" s="217" t="s">
        <v>5023</v>
      </c>
      <c r="E97" s="219" t="str">
        <f>IF(COUNTIF(F97:AS97,"&lt;&gt;")=0,"",SUMPRODUCT(((Recommendations[ImplStatus]="Implemented")+(Recommendations[ImplStatus]="Compensated"))*ISNUMBER(MATCH(Recommendations[Id],F97:AS97,0)))/COUNTIF(F97:AS97,"&lt;&gt;"))</f>
        <v/>
      </c>
      <c r="F97" s="220"/>
      <c r="G97" s="220"/>
      <c r="H97" s="220"/>
      <c r="I97" s="220"/>
      <c r="J97" s="220"/>
      <c r="K97" s="220"/>
      <c r="L97" s="220"/>
      <c r="M97" s="220"/>
      <c r="N97" s="220"/>
      <c r="O97" s="220"/>
      <c r="P97" s="220"/>
      <c r="Q97" s="220"/>
      <c r="R97" s="220"/>
      <c r="S97" s="220"/>
      <c r="T97" s="220"/>
      <c r="U97" s="220"/>
      <c r="V97" s="220"/>
      <c r="W97" s="220"/>
      <c r="X97" s="220"/>
      <c r="Y97" s="220"/>
      <c r="Z97" s="220"/>
      <c r="AA97" s="220"/>
      <c r="AB97" s="220"/>
      <c r="AC97" s="220"/>
      <c r="AD97" s="220"/>
      <c r="AE97" s="220"/>
      <c r="AF97" s="220"/>
      <c r="AG97" s="220"/>
      <c r="AH97" s="220"/>
      <c r="AI97" s="220"/>
      <c r="AJ97" s="220"/>
      <c r="AK97" s="220"/>
      <c r="AL97" s="220"/>
      <c r="AM97" s="220"/>
      <c r="AN97" s="220"/>
      <c r="AO97" s="220"/>
      <c r="AP97" s="220"/>
      <c r="AQ97" s="220"/>
      <c r="AR97" s="220"/>
      <c r="AS97" s="230"/>
    </row>
    <row r="98" spans="1:45" ht="60" customHeight="1" x14ac:dyDescent="0.35">
      <c r="A98" s="228" t="s">
        <v>4923</v>
      </c>
      <c r="B98" s="221" t="s">
        <v>5024</v>
      </c>
      <c r="C98" s="222" t="s">
        <v>5025</v>
      </c>
      <c r="D98" s="223" t="s">
        <v>5026</v>
      </c>
      <c r="E98" s="224" t="str">
        <f>IF(COUNTIF(F98:AS98,"&lt;&gt;")=0,"",SUMPRODUCT(((Recommendations[ImplStatus]="Implemented")+(Recommendations[ImplStatus]="Compensated"))*ISNUMBER(MATCH(Recommendations[Id],F98:AS98,0)))/COUNTIF(F98:AS98,"&lt;&gt;"))</f>
        <v/>
      </c>
      <c r="F98" s="225"/>
      <c r="G98" s="225"/>
      <c r="H98" s="225"/>
      <c r="I98" s="225"/>
      <c r="J98" s="225"/>
      <c r="K98" s="225"/>
      <c r="L98" s="225"/>
      <c r="M98" s="225"/>
      <c r="N98" s="225"/>
      <c r="O98" s="225"/>
      <c r="P98" s="225"/>
      <c r="Q98" s="225"/>
      <c r="R98" s="225"/>
      <c r="S98" s="225"/>
      <c r="T98" s="225"/>
      <c r="U98" s="225"/>
      <c r="V98" s="225"/>
      <c r="W98" s="225"/>
      <c r="X98" s="225"/>
      <c r="Y98" s="225"/>
      <c r="Z98" s="225"/>
      <c r="AA98" s="225"/>
      <c r="AB98" s="225"/>
      <c r="AC98" s="225"/>
      <c r="AD98" s="225"/>
      <c r="AE98" s="225"/>
      <c r="AF98" s="225"/>
      <c r="AG98" s="225"/>
      <c r="AH98" s="225"/>
      <c r="AI98" s="225"/>
      <c r="AJ98" s="225"/>
      <c r="AK98" s="225"/>
      <c r="AL98" s="225"/>
      <c r="AM98" s="225"/>
      <c r="AN98" s="225"/>
      <c r="AO98" s="225"/>
      <c r="AP98" s="225"/>
      <c r="AQ98" s="225"/>
      <c r="AR98" s="225"/>
      <c r="AS98" s="231"/>
    </row>
    <row r="102" spans="1:45" ht="32" customHeight="1" x14ac:dyDescent="0.35">
      <c r="A102" s="291" t="s">
        <v>1971</v>
      </c>
      <c r="B102" s="291"/>
      <c r="C102" s="291"/>
      <c r="D102" s="291"/>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IFERROR(INDEX('Recommendations'!$H$2:$H$461, MATCH(F2,'Recommendations'!$A$2:$A$461,0))="Implemented", FALSE))</xm:f>
            <x14:dxf>
              <font>
                <color rgb="FF000000"/>
              </font>
              <fill>
                <patternFill>
                  <bgColor rgb="FF3C7D22"/>
                </patternFill>
              </fill>
            </x14:dxf>
          </x14:cfRule>
          <x14:cfRule type="expression" priority="2" id="{00000000-000E-0000-0900-000002000000}">
            <xm:f>AND(F2&lt;&gt;"", IFERROR(INDEX('Recommendations'!$H$2:$H$461, MATCH(F2,'Recommendations'!$A$2:$A$461,0))="Compensated", FALSE))</xm:f>
            <x14:dxf>
              <font>
                <color rgb="FF000000"/>
              </font>
              <fill>
                <patternFill>
                  <bgColor rgb="FFC6E0B4"/>
                </patternFill>
              </fill>
            </x14:dxf>
          </x14:cfRule>
          <x14:cfRule type="expression" priority="3" id="{00000000-000E-0000-0900-000003000000}">
            <xm:f>AND(F2&lt;&gt;"", IFERROR(INDEX('Recommendations'!$H$2:$H$461, MATCH(F2,'Recommendations'!$A$2:$A$461,0))="Testing", FALSE))</xm:f>
            <x14:dxf>
              <font>
                <color rgb="FF000000"/>
              </font>
              <fill>
                <patternFill>
                  <bgColor rgb="FFFFC000"/>
                </patternFill>
              </fill>
            </x14:dxf>
          </x14:cfRule>
          <x14:cfRule type="expression" priority="4" id="{00000000-000E-0000-0900-000004000000}">
            <xm:f>AND(F2&lt;&gt;"", IFERROR(INDEX('Recommendations'!$H$2:$H$461, MATCH(F2,'Recommendations'!$A$2:$A$461,0))="Failed", FALSE))</xm:f>
            <x14:dxf>
              <font>
                <color rgb="FF000000"/>
              </font>
              <fill>
                <patternFill>
                  <bgColor rgb="FFD82891"/>
                </patternFill>
              </fill>
            </x14:dxf>
          </x14:cfRule>
          <x14:cfRule type="expression" priority="5" id="{00000000-000E-0000-0900-000005000000}">
            <xm:f>AND(F2&lt;&gt;"", IFERROR(INDEX('Recommendations'!$H$2:$H$461, MATCH(F2,'Recommendations'!$A$2:$A$461,0))="Risk Accepted", FALSE))</xm:f>
            <x14:dxf>
              <font>
                <color rgb="FF000000"/>
              </font>
              <fill>
                <patternFill>
                  <bgColor rgb="FFD9D9D9"/>
                </patternFill>
              </fill>
            </x14:dxf>
          </x14:cfRule>
          <x14:cfRule type="expression" priority="6" id="{00000000-000E-0000-0900-000006000000}">
            <xm:f>AND(F2&lt;&gt;"", IFERROR(INDEX('Recommendations'!$H$2:$H$461, MATCH(F2,'Recommendations'!$A$2:$A$461,0))="N/A",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5" t="s">
        <v>0</v>
      </c>
      <c r="B1" s="256" t="s">
        <v>5027</v>
      </c>
      <c r="C1" s="256" t="s">
        <v>5028</v>
      </c>
      <c r="D1" s="256" t="s">
        <v>5029</v>
      </c>
      <c r="E1" s="256" t="s">
        <v>5030</v>
      </c>
      <c r="F1" s="256" t="s">
        <v>3856</v>
      </c>
      <c r="G1" s="256" t="s">
        <v>5031</v>
      </c>
      <c r="H1" s="256" t="s">
        <v>5032</v>
      </c>
      <c r="I1" s="256" t="s">
        <v>5033</v>
      </c>
      <c r="J1" s="256" t="s">
        <v>11</v>
      </c>
      <c r="K1" s="256" t="s">
        <v>2222</v>
      </c>
      <c r="L1" s="256" t="s">
        <v>2223</v>
      </c>
      <c r="M1" s="256" t="s">
        <v>2224</v>
      </c>
      <c r="N1" s="256" t="s">
        <v>2225</v>
      </c>
      <c r="O1" s="256" t="s">
        <v>2226</v>
      </c>
      <c r="P1" s="256" t="s">
        <v>2227</v>
      </c>
      <c r="Q1" s="256" t="s">
        <v>2228</v>
      </c>
      <c r="R1" s="256" t="s">
        <v>2229</v>
      </c>
      <c r="S1" s="256" t="s">
        <v>2230</v>
      </c>
      <c r="T1" s="256" t="s">
        <v>2231</v>
      </c>
      <c r="U1" s="256" t="s">
        <v>2232</v>
      </c>
      <c r="V1" s="256" t="s">
        <v>2233</v>
      </c>
      <c r="W1" s="256" t="s">
        <v>2234</v>
      </c>
      <c r="X1" s="256" t="s">
        <v>2235</v>
      </c>
      <c r="Y1" s="256" t="s">
        <v>2236</v>
      </c>
      <c r="Z1" s="256" t="s">
        <v>2237</v>
      </c>
      <c r="AA1" s="256" t="s">
        <v>2238</v>
      </c>
      <c r="AB1" s="256" t="s">
        <v>2239</v>
      </c>
      <c r="AC1" s="256" t="s">
        <v>2240</v>
      </c>
      <c r="AD1" s="256" t="s">
        <v>2241</v>
      </c>
      <c r="AE1" s="256" t="s">
        <v>2242</v>
      </c>
      <c r="AF1" s="256" t="s">
        <v>2243</v>
      </c>
      <c r="AG1" s="256" t="s">
        <v>2244</v>
      </c>
      <c r="AH1" s="256" t="s">
        <v>2245</v>
      </c>
      <c r="AI1" s="256" t="s">
        <v>2246</v>
      </c>
      <c r="AJ1" s="256" t="s">
        <v>2247</v>
      </c>
      <c r="AK1" s="256" t="s">
        <v>2248</v>
      </c>
      <c r="AL1" s="256" t="s">
        <v>2249</v>
      </c>
      <c r="AM1" s="256" t="s">
        <v>2250</v>
      </c>
      <c r="AN1" s="256" t="s">
        <v>2251</v>
      </c>
      <c r="AO1" s="256" t="s">
        <v>2252</v>
      </c>
      <c r="AP1" s="256" t="s">
        <v>2253</v>
      </c>
      <c r="AQ1" s="256" t="s">
        <v>2254</v>
      </c>
      <c r="AR1" s="256" t="s">
        <v>2255</v>
      </c>
      <c r="AS1" s="256" t="s">
        <v>2256</v>
      </c>
      <c r="AT1" s="256" t="s">
        <v>2257</v>
      </c>
      <c r="AU1" s="256" t="s">
        <v>2258</v>
      </c>
      <c r="AV1" s="256" t="s">
        <v>2259</v>
      </c>
      <c r="AW1" s="256" t="s">
        <v>2260</v>
      </c>
      <c r="AX1" s="256" t="s">
        <v>2261</v>
      </c>
      <c r="AY1" s="257" t="s">
        <v>2262</v>
      </c>
    </row>
    <row r="2" spans="1:51" ht="60" customHeight="1" outlineLevel="1" x14ac:dyDescent="0.35">
      <c r="A2" s="247" t="s">
        <v>5034</v>
      </c>
      <c r="B2" s="235" t="s">
        <v>5035</v>
      </c>
      <c r="C2" s="235"/>
      <c r="D2" s="235"/>
      <c r="E2" s="235"/>
      <c r="F2" s="235"/>
      <c r="G2" s="235"/>
      <c r="H2" s="235"/>
      <c r="I2" s="235"/>
      <c r="J2" s="235"/>
      <c r="K2" s="238" t="str">
        <f>IF(COUNTIF(L2:AY2,"&lt;&gt;")=0,"",SUMPRODUCT(((Recommendations[ImplStatus]="Implemented")+(Recommendations[ImplStatus]="Compensated"))*ISNUMBER(MATCH(Recommendations[Id],L2:AY2,0)))/COUNTIF(L2:AY2,"&lt;&gt;"))</f>
        <v/>
      </c>
      <c r="L2" s="241"/>
      <c r="M2" s="241"/>
      <c r="N2" s="241"/>
      <c r="O2" s="241"/>
      <c r="P2" s="241"/>
      <c r="Q2" s="241"/>
      <c r="R2" s="241"/>
      <c r="S2" s="241"/>
      <c r="T2" s="241"/>
      <c r="U2" s="241"/>
      <c r="V2" s="241"/>
      <c r="W2" s="241"/>
      <c r="X2" s="241"/>
      <c r="Y2" s="241"/>
      <c r="Z2" s="241"/>
      <c r="AA2" s="241"/>
      <c r="AB2" s="241"/>
      <c r="AC2" s="241"/>
      <c r="AD2" s="241"/>
      <c r="AE2" s="241"/>
      <c r="AF2" s="241"/>
      <c r="AG2" s="241"/>
      <c r="AH2" s="241"/>
      <c r="AI2" s="241"/>
      <c r="AJ2" s="241"/>
      <c r="AK2" s="241"/>
      <c r="AL2" s="241"/>
      <c r="AM2" s="241"/>
      <c r="AN2" s="241"/>
      <c r="AO2" s="241"/>
      <c r="AP2" s="241"/>
      <c r="AQ2" s="241"/>
      <c r="AR2" s="241"/>
      <c r="AS2" s="241"/>
      <c r="AT2" s="241"/>
      <c r="AU2" s="241"/>
      <c r="AV2" s="241"/>
      <c r="AW2" s="241"/>
      <c r="AX2" s="241"/>
      <c r="AY2" s="251"/>
    </row>
    <row r="3" spans="1:51" ht="60" customHeight="1" outlineLevel="1" x14ac:dyDescent="0.35">
      <c r="A3" s="248" t="s">
        <v>2265</v>
      </c>
      <c r="B3" s="236" t="s">
        <v>5036</v>
      </c>
      <c r="C3" s="236"/>
      <c r="D3" s="236"/>
      <c r="E3" s="236"/>
      <c r="F3" s="236"/>
      <c r="G3" s="236"/>
      <c r="H3" s="236"/>
      <c r="I3" s="236"/>
      <c r="J3" s="236"/>
      <c r="K3" s="239" t="str">
        <f>IF(COUNTIF(L3:AY3,"&lt;&gt;")=0,"",SUMPRODUCT(((Recommendations[ImplStatus]="Implemented")+(Recommendations[ImplStatus]="Compensated"))*ISNUMBER(MATCH(Recommendations[Id],L3:AY3,0)))/COUNTIF(L3:AY3,"&lt;&gt;"))</f>
        <v/>
      </c>
      <c r="L3" s="242"/>
      <c r="M3" s="242"/>
      <c r="N3" s="242"/>
      <c r="O3" s="242"/>
      <c r="P3" s="242"/>
      <c r="Q3" s="242"/>
      <c r="R3" s="242"/>
      <c r="S3" s="242"/>
      <c r="T3" s="242"/>
      <c r="U3" s="242"/>
      <c r="V3" s="242"/>
      <c r="W3" s="242"/>
      <c r="X3" s="242"/>
      <c r="Y3" s="242"/>
      <c r="Z3" s="242"/>
      <c r="AA3" s="242"/>
      <c r="AB3" s="242"/>
      <c r="AC3" s="242"/>
      <c r="AD3" s="242"/>
      <c r="AE3" s="242"/>
      <c r="AF3" s="242"/>
      <c r="AG3" s="242"/>
      <c r="AH3" s="242"/>
      <c r="AI3" s="242"/>
      <c r="AJ3" s="242"/>
      <c r="AK3" s="242"/>
      <c r="AL3" s="242"/>
      <c r="AM3" s="242"/>
      <c r="AN3" s="242"/>
      <c r="AO3" s="242"/>
      <c r="AP3" s="242"/>
      <c r="AQ3" s="242"/>
      <c r="AR3" s="242"/>
      <c r="AS3" s="242"/>
      <c r="AT3" s="242"/>
      <c r="AU3" s="242"/>
      <c r="AV3" s="242"/>
      <c r="AW3" s="242"/>
      <c r="AX3" s="242"/>
      <c r="AY3" s="252"/>
    </row>
    <row r="4" spans="1:51" ht="60" customHeight="1" x14ac:dyDescent="0.35">
      <c r="A4" s="249" t="s">
        <v>5037</v>
      </c>
      <c r="B4" s="237" t="s">
        <v>5038</v>
      </c>
      <c r="C4" s="237" t="s">
        <v>5039</v>
      </c>
      <c r="D4" s="237" t="s">
        <v>5040</v>
      </c>
      <c r="E4" s="237" t="s">
        <v>5041</v>
      </c>
      <c r="F4" s="237" t="s">
        <v>21</v>
      </c>
      <c r="G4" s="237" t="s">
        <v>21</v>
      </c>
      <c r="H4" s="237" t="s">
        <v>5042</v>
      </c>
      <c r="I4" s="237" t="s">
        <v>21</v>
      </c>
      <c r="J4" s="237" t="s">
        <v>5043</v>
      </c>
      <c r="K4" s="240" t="str">
        <f>IF(COUNTIF(L4:AY4,"&lt;&gt;")=0,"",SUMPRODUCT(((Recommendations[ImplStatus]="Implemented")+(Recommendations[ImplStatus]="Compensated"))*ISNUMBER(MATCH(Recommendations[Id],L4:AY4,0)))/COUNTIF(L4:AY4,"&lt;&gt;"))</f>
        <v/>
      </c>
      <c r="L4" s="243"/>
      <c r="M4" s="243"/>
      <c r="N4" s="243"/>
      <c r="O4" s="243"/>
      <c r="P4" s="243"/>
      <c r="Q4" s="243"/>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c r="AY4" s="253"/>
    </row>
    <row r="5" spans="1:51" ht="60" customHeight="1" x14ac:dyDescent="0.35">
      <c r="A5" s="249" t="s">
        <v>5044</v>
      </c>
      <c r="B5" s="237" t="s">
        <v>5045</v>
      </c>
      <c r="C5" s="237" t="s">
        <v>5046</v>
      </c>
      <c r="D5" s="237" t="s">
        <v>5047</v>
      </c>
      <c r="E5" s="237" t="s">
        <v>5048</v>
      </c>
      <c r="F5" s="237" t="s">
        <v>5049</v>
      </c>
      <c r="G5" s="237" t="s">
        <v>21</v>
      </c>
      <c r="H5" s="237" t="s">
        <v>5050</v>
      </c>
      <c r="I5" s="237" t="s">
        <v>21</v>
      </c>
      <c r="J5" s="237" t="s">
        <v>5051</v>
      </c>
      <c r="K5" s="240" t="str">
        <f>IF(COUNTIF(L5:AY5,"&lt;&gt;")=0,"",SUMPRODUCT(((Recommendations[ImplStatus]="Implemented")+(Recommendations[ImplStatus]="Compensated"))*ISNUMBER(MATCH(Recommendations[Id],L5:AY5,0)))/COUNTIF(L5:AY5,"&lt;&gt;"))</f>
        <v/>
      </c>
      <c r="L5" s="243"/>
      <c r="M5" s="243"/>
      <c r="N5" s="243"/>
      <c r="O5" s="243"/>
      <c r="P5" s="243"/>
      <c r="Q5" s="243"/>
      <c r="R5" s="243"/>
      <c r="S5" s="243"/>
      <c r="T5" s="243"/>
      <c r="U5" s="243"/>
      <c r="V5" s="243"/>
      <c r="W5" s="243"/>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43"/>
      <c r="AV5" s="243"/>
      <c r="AW5" s="243"/>
      <c r="AX5" s="243"/>
      <c r="AY5" s="253"/>
    </row>
    <row r="6" spans="1:51" ht="60" customHeight="1" outlineLevel="1" x14ac:dyDescent="0.35">
      <c r="A6" s="248" t="s">
        <v>2271</v>
      </c>
      <c r="B6" s="236" t="s">
        <v>5052</v>
      </c>
      <c r="C6" s="236"/>
      <c r="D6" s="236"/>
      <c r="E6" s="236"/>
      <c r="F6" s="236"/>
      <c r="G6" s="236"/>
      <c r="H6" s="236"/>
      <c r="I6" s="236"/>
      <c r="J6" s="236"/>
      <c r="K6" s="239" t="str">
        <f>IF(COUNTIF(L6:AY6,"&lt;&gt;")=0,"",SUMPRODUCT(((Recommendations[ImplStatus]="Implemented")+(Recommendations[ImplStatus]="Compensated"))*ISNUMBER(MATCH(Recommendations[Id],L6:AY6,0)))/COUNTIF(L6:AY6,"&lt;&gt;"))</f>
        <v/>
      </c>
      <c r="L6" s="242"/>
      <c r="M6" s="242"/>
      <c r="N6" s="242"/>
      <c r="O6" s="242"/>
      <c r="P6" s="242"/>
      <c r="Q6" s="242"/>
      <c r="R6" s="242"/>
      <c r="S6" s="242"/>
      <c r="T6" s="242"/>
      <c r="U6" s="242"/>
      <c r="V6" s="242"/>
      <c r="W6" s="242"/>
      <c r="X6" s="242"/>
      <c r="Y6" s="242"/>
      <c r="Z6" s="242"/>
      <c r="AA6" s="242"/>
      <c r="AB6" s="242"/>
      <c r="AC6" s="242"/>
      <c r="AD6" s="242"/>
      <c r="AE6" s="242"/>
      <c r="AF6" s="242"/>
      <c r="AG6" s="242"/>
      <c r="AH6" s="242"/>
      <c r="AI6" s="242"/>
      <c r="AJ6" s="242"/>
      <c r="AK6" s="242"/>
      <c r="AL6" s="242"/>
      <c r="AM6" s="242"/>
      <c r="AN6" s="242"/>
      <c r="AO6" s="242"/>
      <c r="AP6" s="242"/>
      <c r="AQ6" s="242"/>
      <c r="AR6" s="242"/>
      <c r="AS6" s="242"/>
      <c r="AT6" s="242"/>
      <c r="AU6" s="242"/>
      <c r="AV6" s="242"/>
      <c r="AW6" s="242"/>
      <c r="AX6" s="242"/>
      <c r="AY6" s="252"/>
    </row>
    <row r="7" spans="1:51" ht="60" customHeight="1" x14ac:dyDescent="0.35">
      <c r="A7" s="249" t="s">
        <v>5053</v>
      </c>
      <c r="B7" s="237" t="s">
        <v>5054</v>
      </c>
      <c r="C7" s="237" t="s">
        <v>5055</v>
      </c>
      <c r="D7" s="237" t="s">
        <v>5056</v>
      </c>
      <c r="E7" s="237" t="s">
        <v>5048</v>
      </c>
      <c r="F7" s="237" t="s">
        <v>5057</v>
      </c>
      <c r="G7" s="237" t="s">
        <v>21</v>
      </c>
      <c r="H7" s="237" t="s">
        <v>5058</v>
      </c>
      <c r="I7" s="237" t="s">
        <v>21</v>
      </c>
      <c r="J7" s="237" t="s">
        <v>5059</v>
      </c>
      <c r="K7" s="240" t="str">
        <f>IF(COUNTIF(L7:AY7,"&lt;&gt;")=0,"",SUMPRODUCT(((Recommendations[ImplStatus]="Implemented")+(Recommendations[ImplStatus]="Compensated"))*ISNUMBER(MATCH(Recommendations[Id],L7:AY7,0)))/COUNTIF(L7:AY7,"&lt;&gt;"))</f>
        <v/>
      </c>
      <c r="L7" s="243"/>
      <c r="M7" s="243"/>
      <c r="N7" s="243"/>
      <c r="O7" s="243"/>
      <c r="P7" s="243"/>
      <c r="Q7" s="243"/>
      <c r="R7" s="243"/>
      <c r="S7" s="243"/>
      <c r="T7" s="243"/>
      <c r="U7" s="243"/>
      <c r="V7" s="243"/>
      <c r="W7" s="243"/>
      <c r="X7" s="243"/>
      <c r="Y7" s="243"/>
      <c r="Z7" s="243"/>
      <c r="AA7" s="243"/>
      <c r="AB7" s="243"/>
      <c r="AC7" s="243"/>
      <c r="AD7" s="243"/>
      <c r="AE7" s="243"/>
      <c r="AF7" s="243"/>
      <c r="AG7" s="243"/>
      <c r="AH7" s="243"/>
      <c r="AI7" s="243"/>
      <c r="AJ7" s="243"/>
      <c r="AK7" s="243"/>
      <c r="AL7" s="243"/>
      <c r="AM7" s="243"/>
      <c r="AN7" s="243"/>
      <c r="AO7" s="243"/>
      <c r="AP7" s="243"/>
      <c r="AQ7" s="243"/>
      <c r="AR7" s="243"/>
      <c r="AS7" s="243"/>
      <c r="AT7" s="243"/>
      <c r="AU7" s="243"/>
      <c r="AV7" s="243"/>
      <c r="AW7" s="243"/>
      <c r="AX7" s="243"/>
      <c r="AY7" s="253"/>
    </row>
    <row r="8" spans="1:51" ht="60" customHeight="1" x14ac:dyDescent="0.35">
      <c r="A8" s="249" t="s">
        <v>5060</v>
      </c>
      <c r="B8" s="237" t="s">
        <v>5061</v>
      </c>
      <c r="C8" s="237" t="s">
        <v>5062</v>
      </c>
      <c r="D8" s="237" t="s">
        <v>5063</v>
      </c>
      <c r="E8" s="237" t="s">
        <v>21</v>
      </c>
      <c r="F8" s="237" t="s">
        <v>21</v>
      </c>
      <c r="G8" s="237" t="s">
        <v>21</v>
      </c>
      <c r="H8" s="237" t="s">
        <v>5064</v>
      </c>
      <c r="I8" s="237" t="s">
        <v>5065</v>
      </c>
      <c r="J8" s="237" t="s">
        <v>5066</v>
      </c>
      <c r="K8" s="240" t="str">
        <f>IF(COUNTIF(L8:AY8,"&lt;&gt;")=0,"",SUMPRODUCT(((Recommendations[ImplStatus]="Implemented")+(Recommendations[ImplStatus]="Compensated"))*ISNUMBER(MATCH(Recommendations[Id],L8:AY8,0)))/COUNTIF(L8:AY8,"&lt;&gt;"))</f>
        <v/>
      </c>
      <c r="L8" s="243"/>
      <c r="M8" s="243"/>
      <c r="N8" s="243"/>
      <c r="O8" s="243"/>
      <c r="P8" s="243"/>
      <c r="Q8" s="243"/>
      <c r="R8" s="243"/>
      <c r="S8" s="243"/>
      <c r="T8" s="243"/>
      <c r="U8" s="243"/>
      <c r="V8" s="243"/>
      <c r="W8" s="243"/>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243"/>
      <c r="AV8" s="243"/>
      <c r="AW8" s="243"/>
      <c r="AX8" s="243"/>
      <c r="AY8" s="253"/>
    </row>
    <row r="9" spans="1:51" ht="60" customHeight="1" x14ac:dyDescent="0.35">
      <c r="A9" s="249" t="s">
        <v>5067</v>
      </c>
      <c r="B9" s="237" t="s">
        <v>5068</v>
      </c>
      <c r="C9" s="237" t="s">
        <v>5069</v>
      </c>
      <c r="D9" s="237" t="s">
        <v>5070</v>
      </c>
      <c r="E9" s="237" t="s">
        <v>21</v>
      </c>
      <c r="F9" s="237" t="s">
        <v>21</v>
      </c>
      <c r="G9" s="237" t="s">
        <v>21</v>
      </c>
      <c r="H9" s="237" t="s">
        <v>5071</v>
      </c>
      <c r="I9" s="237" t="s">
        <v>5072</v>
      </c>
      <c r="J9" s="237" t="s">
        <v>5073</v>
      </c>
      <c r="K9" s="240" t="str">
        <f>IF(COUNTIF(L9:AY9,"&lt;&gt;")=0,"",SUMPRODUCT(((Recommendations[ImplStatus]="Implemented")+(Recommendations[ImplStatus]="Compensated"))*ISNUMBER(MATCH(Recommendations[Id],L9:AY9,0)))/COUNTIF(L9:AY9,"&lt;&gt;"))</f>
        <v/>
      </c>
      <c r="L9" s="243"/>
      <c r="M9" s="243"/>
      <c r="N9" s="243"/>
      <c r="O9" s="243"/>
      <c r="P9" s="243"/>
      <c r="Q9" s="243"/>
      <c r="R9" s="243"/>
      <c r="S9" s="243"/>
      <c r="T9" s="243"/>
      <c r="U9" s="243"/>
      <c r="V9" s="243"/>
      <c r="W9" s="243"/>
      <c r="X9" s="243"/>
      <c r="Y9" s="243"/>
      <c r="Z9" s="243"/>
      <c r="AA9" s="243"/>
      <c r="AB9" s="243"/>
      <c r="AC9" s="243"/>
      <c r="AD9" s="243"/>
      <c r="AE9" s="243"/>
      <c r="AF9" s="243"/>
      <c r="AG9" s="243"/>
      <c r="AH9" s="243"/>
      <c r="AI9" s="243"/>
      <c r="AJ9" s="243"/>
      <c r="AK9" s="243"/>
      <c r="AL9" s="243"/>
      <c r="AM9" s="243"/>
      <c r="AN9" s="243"/>
      <c r="AO9" s="243"/>
      <c r="AP9" s="243"/>
      <c r="AQ9" s="243"/>
      <c r="AR9" s="243"/>
      <c r="AS9" s="243"/>
      <c r="AT9" s="243"/>
      <c r="AU9" s="243"/>
      <c r="AV9" s="243"/>
      <c r="AW9" s="243"/>
      <c r="AX9" s="243"/>
      <c r="AY9" s="253"/>
    </row>
    <row r="10" spans="1:51" ht="60" customHeight="1" x14ac:dyDescent="0.35">
      <c r="A10" s="249" t="s">
        <v>5074</v>
      </c>
      <c r="B10" s="237" t="s">
        <v>5075</v>
      </c>
      <c r="C10" s="237" t="s">
        <v>5076</v>
      </c>
      <c r="D10" s="237" t="s">
        <v>5077</v>
      </c>
      <c r="E10" s="237" t="s">
        <v>21</v>
      </c>
      <c r="F10" s="237" t="s">
        <v>21</v>
      </c>
      <c r="G10" s="237" t="s">
        <v>21</v>
      </c>
      <c r="H10" s="237" t="s">
        <v>5078</v>
      </c>
      <c r="I10" s="237" t="s">
        <v>5079</v>
      </c>
      <c r="J10" s="237" t="s">
        <v>5080</v>
      </c>
      <c r="K10" s="240" t="str">
        <f>IF(COUNTIF(L10:AY10,"&lt;&gt;")=0,"",SUMPRODUCT(((Recommendations[ImplStatus]="Implemented")+(Recommendations[ImplStatus]="Compensated"))*ISNUMBER(MATCH(Recommendations[Id],L10:AY10,0)))/COUNTIF(L10:AY10,"&lt;&gt;"))</f>
        <v/>
      </c>
      <c r="L10" s="243"/>
      <c r="M10" s="243"/>
      <c r="N10" s="243"/>
      <c r="O10" s="243"/>
      <c r="P10" s="243"/>
      <c r="Q10" s="243"/>
      <c r="R10" s="243"/>
      <c r="S10" s="243"/>
      <c r="T10" s="243"/>
      <c r="U10" s="243"/>
      <c r="V10" s="243"/>
      <c r="W10" s="243"/>
      <c r="X10" s="243"/>
      <c r="Y10" s="243"/>
      <c r="Z10" s="243"/>
      <c r="AA10" s="243"/>
      <c r="AB10" s="243"/>
      <c r="AC10" s="243"/>
      <c r="AD10" s="243"/>
      <c r="AE10" s="243"/>
      <c r="AF10" s="243"/>
      <c r="AG10" s="243"/>
      <c r="AH10" s="243"/>
      <c r="AI10" s="243"/>
      <c r="AJ10" s="243"/>
      <c r="AK10" s="243"/>
      <c r="AL10" s="243"/>
      <c r="AM10" s="243"/>
      <c r="AN10" s="243"/>
      <c r="AO10" s="243"/>
      <c r="AP10" s="243"/>
      <c r="AQ10" s="243"/>
      <c r="AR10" s="243"/>
      <c r="AS10" s="243"/>
      <c r="AT10" s="243"/>
      <c r="AU10" s="243"/>
      <c r="AV10" s="243"/>
      <c r="AW10" s="243"/>
      <c r="AX10" s="243"/>
      <c r="AY10" s="253"/>
    </row>
    <row r="11" spans="1:51" ht="60" customHeight="1" x14ac:dyDescent="0.35">
      <c r="A11" s="249" t="s">
        <v>5081</v>
      </c>
      <c r="B11" s="237" t="s">
        <v>5082</v>
      </c>
      <c r="C11" s="237" t="s">
        <v>5083</v>
      </c>
      <c r="D11" s="237" t="s">
        <v>5084</v>
      </c>
      <c r="E11" s="237" t="s">
        <v>21</v>
      </c>
      <c r="F11" s="237" t="s">
        <v>21</v>
      </c>
      <c r="G11" s="237" t="s">
        <v>21</v>
      </c>
      <c r="H11" s="237" t="s">
        <v>5085</v>
      </c>
      <c r="I11" s="237" t="s">
        <v>21</v>
      </c>
      <c r="J11" s="237" t="s">
        <v>5086</v>
      </c>
      <c r="K11" s="240" t="str">
        <f>IF(COUNTIF(L11:AY11,"&lt;&gt;")=0,"",SUMPRODUCT(((Recommendations[ImplStatus]="Implemented")+(Recommendations[ImplStatus]="Compensated"))*ISNUMBER(MATCH(Recommendations[Id],L11:AY11,0)))/COUNTIF(L11:AY11,"&lt;&gt;"))</f>
        <v/>
      </c>
      <c r="L11" s="243"/>
      <c r="M11" s="243"/>
      <c r="N11" s="243"/>
      <c r="O11" s="243"/>
      <c r="P11" s="243"/>
      <c r="Q11" s="243"/>
      <c r="R11" s="243"/>
      <c r="S11" s="243"/>
      <c r="T11" s="243"/>
      <c r="U11" s="243"/>
      <c r="V11" s="243"/>
      <c r="W11" s="243"/>
      <c r="X11" s="243"/>
      <c r="Y11" s="243"/>
      <c r="Z11" s="243"/>
      <c r="AA11" s="243"/>
      <c r="AB11" s="243"/>
      <c r="AC11" s="243"/>
      <c r="AD11" s="243"/>
      <c r="AE11" s="243"/>
      <c r="AF11" s="243"/>
      <c r="AG11" s="243"/>
      <c r="AH11" s="243"/>
      <c r="AI11" s="243"/>
      <c r="AJ11" s="243"/>
      <c r="AK11" s="243"/>
      <c r="AL11" s="243"/>
      <c r="AM11" s="243"/>
      <c r="AN11" s="243"/>
      <c r="AO11" s="243"/>
      <c r="AP11" s="243"/>
      <c r="AQ11" s="243"/>
      <c r="AR11" s="243"/>
      <c r="AS11" s="243"/>
      <c r="AT11" s="243"/>
      <c r="AU11" s="243"/>
      <c r="AV11" s="243"/>
      <c r="AW11" s="243"/>
      <c r="AX11" s="243"/>
      <c r="AY11" s="253"/>
    </row>
    <row r="12" spans="1:51" ht="60" customHeight="1" x14ac:dyDescent="0.35">
      <c r="A12" s="249" t="s">
        <v>5087</v>
      </c>
      <c r="B12" s="237" t="s">
        <v>5088</v>
      </c>
      <c r="C12" s="237" t="s">
        <v>5089</v>
      </c>
      <c r="D12" s="237" t="s">
        <v>5090</v>
      </c>
      <c r="E12" s="237" t="s">
        <v>21</v>
      </c>
      <c r="F12" s="237" t="s">
        <v>21</v>
      </c>
      <c r="G12" s="237" t="s">
        <v>5091</v>
      </c>
      <c r="H12" s="237" t="s">
        <v>5092</v>
      </c>
      <c r="I12" s="237" t="s">
        <v>21</v>
      </c>
      <c r="J12" s="237" t="s">
        <v>5093</v>
      </c>
      <c r="K12" s="240" t="str">
        <f>IF(COUNTIF(L12:AY12,"&lt;&gt;")=0,"",SUMPRODUCT(((Recommendations[ImplStatus]="Implemented")+(Recommendations[ImplStatus]="Compensated"))*ISNUMBER(MATCH(Recommendations[Id],L12:AY12,0)))/COUNTIF(L12:AY12,"&lt;&gt;"))</f>
        <v/>
      </c>
      <c r="L12" s="243"/>
      <c r="M12" s="243"/>
      <c r="N12" s="243"/>
      <c r="O12" s="243"/>
      <c r="P12" s="243"/>
      <c r="Q12" s="243"/>
      <c r="R12" s="243"/>
      <c r="S12" s="243"/>
      <c r="T12" s="243"/>
      <c r="U12" s="243"/>
      <c r="V12" s="243"/>
      <c r="W12" s="243"/>
      <c r="X12" s="243"/>
      <c r="Y12" s="243"/>
      <c r="Z12" s="243"/>
      <c r="AA12" s="243"/>
      <c r="AB12" s="243"/>
      <c r="AC12" s="243"/>
      <c r="AD12" s="243"/>
      <c r="AE12" s="243"/>
      <c r="AF12" s="243"/>
      <c r="AG12" s="243"/>
      <c r="AH12" s="243"/>
      <c r="AI12" s="243"/>
      <c r="AJ12" s="243"/>
      <c r="AK12" s="243"/>
      <c r="AL12" s="243"/>
      <c r="AM12" s="243"/>
      <c r="AN12" s="243"/>
      <c r="AO12" s="243"/>
      <c r="AP12" s="243"/>
      <c r="AQ12" s="243"/>
      <c r="AR12" s="243"/>
      <c r="AS12" s="243"/>
      <c r="AT12" s="243"/>
      <c r="AU12" s="243"/>
      <c r="AV12" s="243"/>
      <c r="AW12" s="243"/>
      <c r="AX12" s="243"/>
      <c r="AY12" s="253"/>
    </row>
    <row r="13" spans="1:51" ht="60" customHeight="1" x14ac:dyDescent="0.35">
      <c r="A13" s="249" t="s">
        <v>5094</v>
      </c>
      <c r="B13" s="237" t="s">
        <v>5095</v>
      </c>
      <c r="C13" s="237" t="s">
        <v>5096</v>
      </c>
      <c r="D13" s="237" t="s">
        <v>5097</v>
      </c>
      <c r="E13" s="237" t="s">
        <v>21</v>
      </c>
      <c r="F13" s="237" t="s">
        <v>21</v>
      </c>
      <c r="G13" s="237" t="s">
        <v>21</v>
      </c>
      <c r="H13" s="237" t="s">
        <v>5098</v>
      </c>
      <c r="I13" s="237" t="s">
        <v>21</v>
      </c>
      <c r="J13" s="237" t="s">
        <v>5099</v>
      </c>
      <c r="K13" s="240" t="str">
        <f>IF(COUNTIF(L13:AY13,"&lt;&gt;")=0,"",SUMPRODUCT(((Recommendations[ImplStatus]="Implemented")+(Recommendations[ImplStatus]="Compensated"))*ISNUMBER(MATCH(Recommendations[Id],L13:AY13,0)))/COUNTIF(L13:AY13,"&lt;&gt;"))</f>
        <v/>
      </c>
      <c r="L13" s="243"/>
      <c r="M13" s="243"/>
      <c r="N13" s="243"/>
      <c r="O13" s="243"/>
      <c r="P13" s="243"/>
      <c r="Q13" s="243"/>
      <c r="R13" s="243"/>
      <c r="S13" s="243"/>
      <c r="T13" s="243"/>
      <c r="U13" s="243"/>
      <c r="V13" s="243"/>
      <c r="W13" s="243"/>
      <c r="X13" s="243"/>
      <c r="Y13" s="243"/>
      <c r="Z13" s="243"/>
      <c r="AA13" s="243"/>
      <c r="AB13" s="243"/>
      <c r="AC13" s="243"/>
      <c r="AD13" s="243"/>
      <c r="AE13" s="243"/>
      <c r="AF13" s="243"/>
      <c r="AG13" s="243"/>
      <c r="AH13" s="243"/>
      <c r="AI13" s="243"/>
      <c r="AJ13" s="243"/>
      <c r="AK13" s="243"/>
      <c r="AL13" s="243"/>
      <c r="AM13" s="243"/>
      <c r="AN13" s="243"/>
      <c r="AO13" s="243"/>
      <c r="AP13" s="243"/>
      <c r="AQ13" s="243"/>
      <c r="AR13" s="243"/>
      <c r="AS13" s="243"/>
      <c r="AT13" s="243"/>
      <c r="AU13" s="243"/>
      <c r="AV13" s="243"/>
      <c r="AW13" s="243"/>
      <c r="AX13" s="243"/>
      <c r="AY13" s="253"/>
    </row>
    <row r="14" spans="1:51" ht="60" customHeight="1" x14ac:dyDescent="0.35">
      <c r="A14" s="249" t="s">
        <v>5100</v>
      </c>
      <c r="B14" s="237" t="s">
        <v>5101</v>
      </c>
      <c r="C14" s="237" t="s">
        <v>5102</v>
      </c>
      <c r="D14" s="237" t="s">
        <v>5103</v>
      </c>
      <c r="E14" s="237" t="s">
        <v>21</v>
      </c>
      <c r="F14" s="237" t="s">
        <v>5104</v>
      </c>
      <c r="G14" s="237" t="s">
        <v>21</v>
      </c>
      <c r="H14" s="237" t="s">
        <v>5105</v>
      </c>
      <c r="I14" s="237" t="s">
        <v>5106</v>
      </c>
      <c r="J14" s="237" t="s">
        <v>5107</v>
      </c>
      <c r="K14" s="240" t="str">
        <f>IF(COUNTIF(L14:AY14,"&lt;&gt;")=0,"",SUMPRODUCT(((Recommendations[ImplStatus]="Implemented")+(Recommendations[ImplStatus]="Compensated"))*ISNUMBER(MATCH(Recommendations[Id],L14:AY14,0)))/COUNTIF(L14:AY14,"&lt;&gt;"))</f>
        <v/>
      </c>
      <c r="L14" s="243"/>
      <c r="M14" s="243"/>
      <c r="N14" s="243"/>
      <c r="O14" s="243"/>
      <c r="P14" s="243"/>
      <c r="Q14" s="243"/>
      <c r="R14" s="243"/>
      <c r="S14" s="243"/>
      <c r="T14" s="243"/>
      <c r="U14" s="243"/>
      <c r="V14" s="243"/>
      <c r="W14" s="243"/>
      <c r="X14" s="243"/>
      <c r="Y14" s="243"/>
      <c r="Z14" s="243"/>
      <c r="AA14" s="243"/>
      <c r="AB14" s="243"/>
      <c r="AC14" s="243"/>
      <c r="AD14" s="243"/>
      <c r="AE14" s="243"/>
      <c r="AF14" s="243"/>
      <c r="AG14" s="243"/>
      <c r="AH14" s="243"/>
      <c r="AI14" s="243"/>
      <c r="AJ14" s="243"/>
      <c r="AK14" s="243"/>
      <c r="AL14" s="243"/>
      <c r="AM14" s="243"/>
      <c r="AN14" s="243"/>
      <c r="AO14" s="243"/>
      <c r="AP14" s="243"/>
      <c r="AQ14" s="243"/>
      <c r="AR14" s="243"/>
      <c r="AS14" s="243"/>
      <c r="AT14" s="243"/>
      <c r="AU14" s="243"/>
      <c r="AV14" s="243"/>
      <c r="AW14" s="243"/>
      <c r="AX14" s="243"/>
      <c r="AY14" s="253"/>
    </row>
    <row r="15" spans="1:51" ht="60" customHeight="1" outlineLevel="1" x14ac:dyDescent="0.35">
      <c r="A15" s="248" t="s">
        <v>2276</v>
      </c>
      <c r="B15" s="236" t="s">
        <v>5108</v>
      </c>
      <c r="C15" s="236"/>
      <c r="D15" s="236"/>
      <c r="E15" s="236"/>
      <c r="F15" s="236"/>
      <c r="G15" s="236"/>
      <c r="H15" s="236"/>
      <c r="I15" s="236"/>
      <c r="J15" s="236"/>
      <c r="K15" s="239" t="str">
        <f>IF(COUNTIF(L15:AY15,"&lt;&gt;")=0,"",SUMPRODUCT(((Recommendations[ImplStatus]="Implemented")+(Recommendations[ImplStatus]="Compensated"))*ISNUMBER(MATCH(Recommendations[Id],L15:AY15,0)))/COUNTIF(L15:AY15,"&lt;&gt;"))</f>
        <v/>
      </c>
      <c r="L15" s="242"/>
      <c r="M15" s="242"/>
      <c r="N15" s="242"/>
      <c r="O15" s="242"/>
      <c r="P15" s="242"/>
      <c r="Q15" s="242"/>
      <c r="R15" s="242"/>
      <c r="S15" s="242"/>
      <c r="T15" s="242"/>
      <c r="U15" s="242"/>
      <c r="V15" s="242"/>
      <c r="W15" s="242"/>
      <c r="X15" s="242"/>
      <c r="Y15" s="242"/>
      <c r="Z15" s="242"/>
      <c r="AA15" s="242"/>
      <c r="AB15" s="242"/>
      <c r="AC15" s="242"/>
      <c r="AD15" s="242"/>
      <c r="AE15" s="242"/>
      <c r="AF15" s="242"/>
      <c r="AG15" s="242"/>
      <c r="AH15" s="242"/>
      <c r="AI15" s="242"/>
      <c r="AJ15" s="242"/>
      <c r="AK15" s="242"/>
      <c r="AL15" s="242"/>
      <c r="AM15" s="242"/>
      <c r="AN15" s="242"/>
      <c r="AO15" s="242"/>
      <c r="AP15" s="242"/>
      <c r="AQ15" s="242"/>
      <c r="AR15" s="242"/>
      <c r="AS15" s="242"/>
      <c r="AT15" s="242"/>
      <c r="AU15" s="242"/>
      <c r="AV15" s="242"/>
      <c r="AW15" s="242"/>
      <c r="AX15" s="242"/>
      <c r="AY15" s="252"/>
    </row>
    <row r="16" spans="1:51" ht="60" customHeight="1" x14ac:dyDescent="0.35">
      <c r="A16" s="249" t="s">
        <v>5109</v>
      </c>
      <c r="B16" s="237" t="s">
        <v>5110</v>
      </c>
      <c r="C16" s="237" t="s">
        <v>5111</v>
      </c>
      <c r="D16" s="237" t="s">
        <v>5103</v>
      </c>
      <c r="E16" s="237" t="s">
        <v>21</v>
      </c>
      <c r="F16" s="237" t="s">
        <v>5112</v>
      </c>
      <c r="G16" s="237" t="s">
        <v>21</v>
      </c>
      <c r="H16" s="237" t="s">
        <v>5113</v>
      </c>
      <c r="I16" s="237" t="s">
        <v>21</v>
      </c>
      <c r="J16" s="237" t="s">
        <v>5114</v>
      </c>
      <c r="K16" s="240" t="str">
        <f>IF(COUNTIF(L16:AY16,"&lt;&gt;")=0,"",SUMPRODUCT(((Recommendations[ImplStatus]="Implemented")+(Recommendations[ImplStatus]="Compensated"))*ISNUMBER(MATCH(Recommendations[Id],L16:AY16,0)))/COUNTIF(L16:AY16,"&lt;&gt;"))</f>
        <v/>
      </c>
      <c r="L16" s="243"/>
      <c r="M16" s="243"/>
      <c r="N16" s="243"/>
      <c r="O16" s="243"/>
      <c r="P16" s="243"/>
      <c r="Q16" s="243"/>
      <c r="R16" s="243"/>
      <c r="S16" s="243"/>
      <c r="T16" s="243"/>
      <c r="U16" s="243"/>
      <c r="V16" s="243"/>
      <c r="W16" s="243"/>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43"/>
      <c r="AV16" s="243"/>
      <c r="AW16" s="243"/>
      <c r="AX16" s="243"/>
      <c r="AY16" s="253"/>
    </row>
    <row r="17" spans="1:51" ht="60" customHeight="1" x14ac:dyDescent="0.35">
      <c r="A17" s="249" t="s">
        <v>5115</v>
      </c>
      <c r="B17" s="237" t="s">
        <v>5116</v>
      </c>
      <c r="C17" s="237" t="s">
        <v>5117</v>
      </c>
      <c r="D17" s="237" t="s">
        <v>5118</v>
      </c>
      <c r="E17" s="237" t="s">
        <v>21</v>
      </c>
      <c r="F17" s="237" t="s">
        <v>5112</v>
      </c>
      <c r="G17" s="237" t="s">
        <v>21</v>
      </c>
      <c r="H17" s="237" t="s">
        <v>5119</v>
      </c>
      <c r="I17" s="237" t="s">
        <v>21</v>
      </c>
      <c r="J17" s="237" t="s">
        <v>5120</v>
      </c>
      <c r="K17" s="240" t="str">
        <f>IF(COUNTIF(L17:AY17,"&lt;&gt;")=0,"",SUMPRODUCT(((Recommendations[ImplStatus]="Implemented")+(Recommendations[ImplStatus]="Compensated"))*ISNUMBER(MATCH(Recommendations[Id],L17:AY17,0)))/COUNTIF(L17:AY17,"&lt;&gt;"))</f>
        <v/>
      </c>
      <c r="L17" s="243"/>
      <c r="M17" s="243"/>
      <c r="N17" s="243"/>
      <c r="O17" s="243"/>
      <c r="P17" s="243"/>
      <c r="Q17" s="243"/>
      <c r="R17" s="243"/>
      <c r="S17" s="243"/>
      <c r="T17" s="243"/>
      <c r="U17" s="243"/>
      <c r="V17" s="243"/>
      <c r="W17" s="243"/>
      <c r="X17" s="243"/>
      <c r="Y17" s="243"/>
      <c r="Z17" s="243"/>
      <c r="AA17" s="243"/>
      <c r="AB17" s="243"/>
      <c r="AC17" s="243"/>
      <c r="AD17" s="243"/>
      <c r="AE17" s="243"/>
      <c r="AF17" s="243"/>
      <c r="AG17" s="243"/>
      <c r="AH17" s="243"/>
      <c r="AI17" s="243"/>
      <c r="AJ17" s="243"/>
      <c r="AK17" s="243"/>
      <c r="AL17" s="243"/>
      <c r="AM17" s="243"/>
      <c r="AN17" s="243"/>
      <c r="AO17" s="243"/>
      <c r="AP17" s="243"/>
      <c r="AQ17" s="243"/>
      <c r="AR17" s="243"/>
      <c r="AS17" s="243"/>
      <c r="AT17" s="243"/>
      <c r="AU17" s="243"/>
      <c r="AV17" s="243"/>
      <c r="AW17" s="243"/>
      <c r="AX17" s="243"/>
      <c r="AY17" s="253"/>
    </row>
    <row r="18" spans="1:51" ht="60" customHeight="1" x14ac:dyDescent="0.35">
      <c r="A18" s="249" t="s">
        <v>5121</v>
      </c>
      <c r="B18" s="237" t="s">
        <v>5122</v>
      </c>
      <c r="C18" s="237" t="s">
        <v>5123</v>
      </c>
      <c r="D18" s="237" t="s">
        <v>21</v>
      </c>
      <c r="E18" s="237" t="s">
        <v>21</v>
      </c>
      <c r="F18" s="237" t="s">
        <v>21</v>
      </c>
      <c r="G18" s="237" t="s">
        <v>21</v>
      </c>
      <c r="H18" s="237" t="s">
        <v>5124</v>
      </c>
      <c r="I18" s="237" t="s">
        <v>21</v>
      </c>
      <c r="J18" s="237" t="s">
        <v>5125</v>
      </c>
      <c r="K18" s="240" t="str">
        <f>IF(COUNTIF(L18:AY18,"&lt;&gt;")=0,"",SUMPRODUCT(((Recommendations[ImplStatus]="Implemented")+(Recommendations[ImplStatus]="Compensated"))*ISNUMBER(MATCH(Recommendations[Id],L18:AY18,0)))/COUNTIF(L18:AY18,"&lt;&gt;"))</f>
        <v/>
      </c>
      <c r="L18" s="243"/>
      <c r="M18" s="243"/>
      <c r="N18" s="243"/>
      <c r="O18" s="243"/>
      <c r="P18" s="243"/>
      <c r="Q18" s="243"/>
      <c r="R18" s="243"/>
      <c r="S18" s="243"/>
      <c r="T18" s="243"/>
      <c r="U18" s="243"/>
      <c r="V18" s="243"/>
      <c r="W18" s="243"/>
      <c r="X18" s="243"/>
      <c r="Y18" s="243"/>
      <c r="Z18" s="243"/>
      <c r="AA18" s="243"/>
      <c r="AB18" s="243"/>
      <c r="AC18" s="243"/>
      <c r="AD18" s="243"/>
      <c r="AE18" s="243"/>
      <c r="AF18" s="243"/>
      <c r="AG18" s="243"/>
      <c r="AH18" s="243"/>
      <c r="AI18" s="243"/>
      <c r="AJ18" s="243"/>
      <c r="AK18" s="243"/>
      <c r="AL18" s="243"/>
      <c r="AM18" s="243"/>
      <c r="AN18" s="243"/>
      <c r="AO18" s="243"/>
      <c r="AP18" s="243"/>
      <c r="AQ18" s="243"/>
      <c r="AR18" s="243"/>
      <c r="AS18" s="243"/>
      <c r="AT18" s="243"/>
      <c r="AU18" s="243"/>
      <c r="AV18" s="243"/>
      <c r="AW18" s="243"/>
      <c r="AX18" s="243"/>
      <c r="AY18" s="253"/>
    </row>
    <row r="19" spans="1:51" ht="60" customHeight="1" outlineLevel="1" x14ac:dyDescent="0.35">
      <c r="A19" s="248" t="s">
        <v>2281</v>
      </c>
      <c r="B19" s="236" t="s">
        <v>5126</v>
      </c>
      <c r="C19" s="236"/>
      <c r="D19" s="236"/>
      <c r="E19" s="236"/>
      <c r="F19" s="236"/>
      <c r="G19" s="236"/>
      <c r="H19" s="236"/>
      <c r="I19" s="236"/>
      <c r="J19" s="236"/>
      <c r="K19" s="239" t="str">
        <f>IF(COUNTIF(L19:AY19,"&lt;&gt;")=0,"",SUMPRODUCT(((Recommendations[ImplStatus]="Implemented")+(Recommendations[ImplStatus]="Compensated"))*ISNUMBER(MATCH(Recommendations[Id],L19:AY19,0)))/COUNTIF(L19:AY19,"&lt;&gt;"))</f>
        <v/>
      </c>
      <c r="L19" s="242"/>
      <c r="M19" s="242"/>
      <c r="N19" s="242"/>
      <c r="O19" s="242"/>
      <c r="P19" s="242"/>
      <c r="Q19" s="242"/>
      <c r="R19" s="242"/>
      <c r="S19" s="242"/>
      <c r="T19" s="242"/>
      <c r="U19" s="242"/>
      <c r="V19" s="242"/>
      <c r="W19" s="242"/>
      <c r="X19" s="242"/>
      <c r="Y19" s="242"/>
      <c r="Z19" s="242"/>
      <c r="AA19" s="242"/>
      <c r="AB19" s="242"/>
      <c r="AC19" s="242"/>
      <c r="AD19" s="242"/>
      <c r="AE19" s="242"/>
      <c r="AF19" s="242"/>
      <c r="AG19" s="242"/>
      <c r="AH19" s="242"/>
      <c r="AI19" s="242"/>
      <c r="AJ19" s="242"/>
      <c r="AK19" s="242"/>
      <c r="AL19" s="242"/>
      <c r="AM19" s="242"/>
      <c r="AN19" s="242"/>
      <c r="AO19" s="242"/>
      <c r="AP19" s="242"/>
      <c r="AQ19" s="242"/>
      <c r="AR19" s="242"/>
      <c r="AS19" s="242"/>
      <c r="AT19" s="242"/>
      <c r="AU19" s="242"/>
      <c r="AV19" s="242"/>
      <c r="AW19" s="242"/>
      <c r="AX19" s="242"/>
      <c r="AY19" s="252"/>
    </row>
    <row r="20" spans="1:51" ht="60" customHeight="1" x14ac:dyDescent="0.35">
      <c r="A20" s="249" t="s">
        <v>5127</v>
      </c>
      <c r="B20" s="237" t="s">
        <v>5128</v>
      </c>
      <c r="C20" s="237" t="s">
        <v>5129</v>
      </c>
      <c r="D20" s="237" t="s">
        <v>5130</v>
      </c>
      <c r="E20" s="237" t="s">
        <v>21</v>
      </c>
      <c r="F20" s="237" t="s">
        <v>5131</v>
      </c>
      <c r="G20" s="237" t="s">
        <v>21</v>
      </c>
      <c r="H20" s="237" t="s">
        <v>5132</v>
      </c>
      <c r="I20" s="237" t="s">
        <v>21</v>
      </c>
      <c r="J20" s="237" t="s">
        <v>5133</v>
      </c>
      <c r="K20" s="240" t="str">
        <f>IF(COUNTIF(L20:AY20,"&lt;&gt;")=0,"",SUMPRODUCT(((Recommendations[ImplStatus]="Implemented")+(Recommendations[ImplStatus]="Compensated"))*ISNUMBER(MATCH(Recommendations[Id],L20:AY20,0)))/COUNTIF(L20:AY20,"&lt;&gt;"))</f>
        <v/>
      </c>
      <c r="L20" s="243"/>
      <c r="M20" s="243"/>
      <c r="N20" s="243"/>
      <c r="O20" s="243"/>
      <c r="P20" s="243"/>
      <c r="Q20" s="243"/>
      <c r="R20" s="243"/>
      <c r="S20" s="243"/>
      <c r="T20" s="243"/>
      <c r="U20" s="243"/>
      <c r="V20" s="243"/>
      <c r="W20" s="243"/>
      <c r="X20" s="243"/>
      <c r="Y20" s="243"/>
      <c r="Z20" s="243"/>
      <c r="AA20" s="243"/>
      <c r="AB20" s="243"/>
      <c r="AC20" s="243"/>
      <c r="AD20" s="243"/>
      <c r="AE20" s="243"/>
      <c r="AF20" s="243"/>
      <c r="AG20" s="243"/>
      <c r="AH20" s="243"/>
      <c r="AI20" s="243"/>
      <c r="AJ20" s="243"/>
      <c r="AK20" s="243"/>
      <c r="AL20" s="243"/>
      <c r="AM20" s="243"/>
      <c r="AN20" s="243"/>
      <c r="AO20" s="243"/>
      <c r="AP20" s="243"/>
      <c r="AQ20" s="243"/>
      <c r="AR20" s="243"/>
      <c r="AS20" s="243"/>
      <c r="AT20" s="243"/>
      <c r="AU20" s="243"/>
      <c r="AV20" s="243"/>
      <c r="AW20" s="243"/>
      <c r="AX20" s="243"/>
      <c r="AY20" s="253"/>
    </row>
    <row r="21" spans="1:51" ht="60" customHeight="1" x14ac:dyDescent="0.35">
      <c r="A21" s="249" t="s">
        <v>5134</v>
      </c>
      <c r="B21" s="237" t="s">
        <v>5135</v>
      </c>
      <c r="C21" s="237" t="s">
        <v>5136</v>
      </c>
      <c r="D21" s="237" t="s">
        <v>5137</v>
      </c>
      <c r="E21" s="237" t="s">
        <v>5138</v>
      </c>
      <c r="F21" s="237" t="s">
        <v>21</v>
      </c>
      <c r="G21" s="237" t="s">
        <v>21</v>
      </c>
      <c r="H21" s="237" t="s">
        <v>5139</v>
      </c>
      <c r="I21" s="237" t="s">
        <v>5140</v>
      </c>
      <c r="J21" s="237" t="s">
        <v>5141</v>
      </c>
      <c r="K21" s="240" t="str">
        <f>IF(COUNTIF(L21:AY21,"&lt;&gt;")=0,"",SUMPRODUCT(((Recommendations[ImplStatus]="Implemented")+(Recommendations[ImplStatus]="Compensated"))*ISNUMBER(MATCH(Recommendations[Id],L21:AY21,0)))/COUNTIF(L21:AY21,"&lt;&gt;"))</f>
        <v/>
      </c>
      <c r="L21" s="243"/>
      <c r="M21" s="243"/>
      <c r="N21" s="243"/>
      <c r="O21" s="243"/>
      <c r="P21" s="243"/>
      <c r="Q21" s="243"/>
      <c r="R21" s="243"/>
      <c r="S21" s="243"/>
      <c r="T21" s="243"/>
      <c r="U21" s="243"/>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43"/>
      <c r="AV21" s="243"/>
      <c r="AW21" s="243"/>
      <c r="AX21" s="243"/>
      <c r="AY21" s="253"/>
    </row>
    <row r="22" spans="1:51" ht="60" customHeight="1" x14ac:dyDescent="0.35">
      <c r="A22" s="249" t="s">
        <v>5142</v>
      </c>
      <c r="B22" s="237" t="s">
        <v>5143</v>
      </c>
      <c r="C22" s="237" t="s">
        <v>5144</v>
      </c>
      <c r="D22" s="237" t="s">
        <v>5145</v>
      </c>
      <c r="E22" s="237" t="s">
        <v>21</v>
      </c>
      <c r="F22" s="237" t="s">
        <v>5146</v>
      </c>
      <c r="G22" s="237" t="s">
        <v>21</v>
      </c>
      <c r="H22" s="237" t="s">
        <v>5147</v>
      </c>
      <c r="I22" s="237" t="s">
        <v>21</v>
      </c>
      <c r="J22" s="237" t="s">
        <v>5148</v>
      </c>
      <c r="K22" s="240" t="str">
        <f>IF(COUNTIF(L22:AY22,"&lt;&gt;")=0,"",SUMPRODUCT(((Recommendations[ImplStatus]="Implemented")+(Recommendations[ImplStatus]="Compensated"))*ISNUMBER(MATCH(Recommendations[Id],L22:AY22,0)))/COUNTIF(L22:AY22,"&lt;&gt;"))</f>
        <v/>
      </c>
      <c r="L22" s="243"/>
      <c r="M22" s="243"/>
      <c r="N22" s="243"/>
      <c r="O22" s="243"/>
      <c r="P22" s="243"/>
      <c r="Q22" s="243"/>
      <c r="R22" s="243"/>
      <c r="S22" s="243"/>
      <c r="T22" s="243"/>
      <c r="U22" s="243"/>
      <c r="V22" s="243"/>
      <c r="W22" s="243"/>
      <c r="X22" s="243"/>
      <c r="Y22" s="243"/>
      <c r="Z22" s="243"/>
      <c r="AA22" s="243"/>
      <c r="AB22" s="243"/>
      <c r="AC22" s="243"/>
      <c r="AD22" s="243"/>
      <c r="AE22" s="243"/>
      <c r="AF22" s="243"/>
      <c r="AG22" s="243"/>
      <c r="AH22" s="243"/>
      <c r="AI22" s="243"/>
      <c r="AJ22" s="243"/>
      <c r="AK22" s="243"/>
      <c r="AL22" s="243"/>
      <c r="AM22" s="243"/>
      <c r="AN22" s="243"/>
      <c r="AO22" s="243"/>
      <c r="AP22" s="243"/>
      <c r="AQ22" s="243"/>
      <c r="AR22" s="243"/>
      <c r="AS22" s="243"/>
      <c r="AT22" s="243"/>
      <c r="AU22" s="243"/>
      <c r="AV22" s="243"/>
      <c r="AW22" s="243"/>
      <c r="AX22" s="243"/>
      <c r="AY22" s="253"/>
    </row>
    <row r="23" spans="1:51" ht="60" customHeight="1" x14ac:dyDescent="0.35">
      <c r="A23" s="249" t="s">
        <v>5149</v>
      </c>
      <c r="B23" s="237" t="s">
        <v>5150</v>
      </c>
      <c r="C23" s="237" t="s">
        <v>5151</v>
      </c>
      <c r="D23" s="237" t="s">
        <v>5152</v>
      </c>
      <c r="E23" s="237" t="s">
        <v>21</v>
      </c>
      <c r="F23" s="237" t="s">
        <v>21</v>
      </c>
      <c r="G23" s="237" t="s">
        <v>21</v>
      </c>
      <c r="H23" s="237" t="s">
        <v>5153</v>
      </c>
      <c r="I23" s="237" t="s">
        <v>5154</v>
      </c>
      <c r="J23" s="237" t="s">
        <v>5155</v>
      </c>
      <c r="K23" s="240" t="str">
        <f>IF(COUNTIF(L23:AY23,"&lt;&gt;")=0,"",SUMPRODUCT(((Recommendations[ImplStatus]="Implemented")+(Recommendations[ImplStatus]="Compensated"))*ISNUMBER(MATCH(Recommendations[Id],L23:AY23,0)))/COUNTIF(L23:AY23,"&lt;&gt;"))</f>
        <v/>
      </c>
      <c r="L23" s="243"/>
      <c r="M23" s="243"/>
      <c r="N23" s="243"/>
      <c r="O23" s="243"/>
      <c r="P23" s="243"/>
      <c r="Q23" s="243"/>
      <c r="R23" s="243"/>
      <c r="S23" s="243"/>
      <c r="T23" s="243"/>
      <c r="U23" s="243"/>
      <c r="V23" s="243"/>
      <c r="W23" s="243"/>
      <c r="X23" s="243"/>
      <c r="Y23" s="243"/>
      <c r="Z23" s="243"/>
      <c r="AA23" s="243"/>
      <c r="AB23" s="243"/>
      <c r="AC23" s="243"/>
      <c r="AD23" s="243"/>
      <c r="AE23" s="243"/>
      <c r="AF23" s="243"/>
      <c r="AG23" s="243"/>
      <c r="AH23" s="243"/>
      <c r="AI23" s="243"/>
      <c r="AJ23" s="243"/>
      <c r="AK23" s="243"/>
      <c r="AL23" s="243"/>
      <c r="AM23" s="243"/>
      <c r="AN23" s="243"/>
      <c r="AO23" s="243"/>
      <c r="AP23" s="243"/>
      <c r="AQ23" s="243"/>
      <c r="AR23" s="243"/>
      <c r="AS23" s="243"/>
      <c r="AT23" s="243"/>
      <c r="AU23" s="243"/>
      <c r="AV23" s="243"/>
      <c r="AW23" s="243"/>
      <c r="AX23" s="243"/>
      <c r="AY23" s="253"/>
    </row>
    <row r="24" spans="1:51" ht="60" customHeight="1" x14ac:dyDescent="0.35">
      <c r="A24" s="249" t="s">
        <v>5156</v>
      </c>
      <c r="B24" s="237" t="s">
        <v>5157</v>
      </c>
      <c r="C24" s="237" t="s">
        <v>5158</v>
      </c>
      <c r="D24" s="237" t="s">
        <v>5152</v>
      </c>
      <c r="E24" s="237" t="s">
        <v>21</v>
      </c>
      <c r="F24" s="237" t="s">
        <v>5159</v>
      </c>
      <c r="G24" s="237" t="s">
        <v>21</v>
      </c>
      <c r="H24" s="237" t="s">
        <v>5160</v>
      </c>
      <c r="I24" s="237" t="s">
        <v>21</v>
      </c>
      <c r="J24" s="237" t="s">
        <v>5161</v>
      </c>
      <c r="K24" s="240" t="str">
        <f>IF(COUNTIF(L24:AY24,"&lt;&gt;")=0,"",SUMPRODUCT(((Recommendations[ImplStatus]="Implemented")+(Recommendations[ImplStatus]="Compensated"))*ISNUMBER(MATCH(Recommendations[Id],L24:AY24,0)))/COUNTIF(L24:AY24,"&lt;&gt;"))</f>
        <v/>
      </c>
      <c r="L24" s="243"/>
      <c r="M24" s="243"/>
      <c r="N24" s="243"/>
      <c r="O24" s="243"/>
      <c r="P24" s="243"/>
      <c r="Q24" s="243"/>
      <c r="R24" s="243"/>
      <c r="S24" s="243"/>
      <c r="T24" s="243"/>
      <c r="U24" s="243"/>
      <c r="V24" s="243"/>
      <c r="W24" s="243"/>
      <c r="X24" s="243"/>
      <c r="Y24" s="243"/>
      <c r="Z24" s="243"/>
      <c r="AA24" s="243"/>
      <c r="AB24" s="243"/>
      <c r="AC24" s="243"/>
      <c r="AD24" s="243"/>
      <c r="AE24" s="243"/>
      <c r="AF24" s="243"/>
      <c r="AG24" s="243"/>
      <c r="AH24" s="243"/>
      <c r="AI24" s="243"/>
      <c r="AJ24" s="243"/>
      <c r="AK24" s="243"/>
      <c r="AL24" s="243"/>
      <c r="AM24" s="243"/>
      <c r="AN24" s="243"/>
      <c r="AO24" s="243"/>
      <c r="AP24" s="243"/>
      <c r="AQ24" s="243"/>
      <c r="AR24" s="243"/>
      <c r="AS24" s="243"/>
      <c r="AT24" s="243"/>
      <c r="AU24" s="243"/>
      <c r="AV24" s="243"/>
      <c r="AW24" s="243"/>
      <c r="AX24" s="243"/>
      <c r="AY24" s="253"/>
    </row>
    <row r="25" spans="1:51" ht="60" customHeight="1" outlineLevel="1" x14ac:dyDescent="0.35">
      <c r="A25" s="248" t="s">
        <v>2285</v>
      </c>
      <c r="B25" s="236" t="s">
        <v>5162</v>
      </c>
      <c r="C25" s="236"/>
      <c r="D25" s="236"/>
      <c r="E25" s="236"/>
      <c r="F25" s="236"/>
      <c r="G25" s="236"/>
      <c r="H25" s="236"/>
      <c r="I25" s="236"/>
      <c r="J25" s="236"/>
      <c r="K25" s="239" t="str">
        <f>IF(COUNTIF(L25:AY25,"&lt;&gt;")=0,"",SUMPRODUCT(((Recommendations[ImplStatus]="Implemented")+(Recommendations[ImplStatus]="Compensated"))*ISNUMBER(MATCH(Recommendations[Id],L25:AY25,0)))/COUNTIF(L25:AY25,"&lt;&gt;"))</f>
        <v/>
      </c>
      <c r="L25" s="242"/>
      <c r="M25" s="242"/>
      <c r="N25" s="242"/>
      <c r="O25" s="242"/>
      <c r="P25" s="242"/>
      <c r="Q25" s="242"/>
      <c r="R25" s="242"/>
      <c r="S25" s="242"/>
      <c r="T25" s="242"/>
      <c r="U25" s="242"/>
      <c r="V25" s="242"/>
      <c r="W25" s="242"/>
      <c r="X25" s="242"/>
      <c r="Y25" s="242"/>
      <c r="Z25" s="242"/>
      <c r="AA25" s="242"/>
      <c r="AB25" s="242"/>
      <c r="AC25" s="242"/>
      <c r="AD25" s="242"/>
      <c r="AE25" s="242"/>
      <c r="AF25" s="242"/>
      <c r="AG25" s="242"/>
      <c r="AH25" s="242"/>
      <c r="AI25" s="242"/>
      <c r="AJ25" s="242"/>
      <c r="AK25" s="242"/>
      <c r="AL25" s="242"/>
      <c r="AM25" s="242"/>
      <c r="AN25" s="242"/>
      <c r="AO25" s="242"/>
      <c r="AP25" s="242"/>
      <c r="AQ25" s="242"/>
      <c r="AR25" s="242"/>
      <c r="AS25" s="242"/>
      <c r="AT25" s="242"/>
      <c r="AU25" s="242"/>
      <c r="AV25" s="242"/>
      <c r="AW25" s="242"/>
      <c r="AX25" s="242"/>
      <c r="AY25" s="252"/>
    </row>
    <row r="26" spans="1:51" ht="60" customHeight="1" x14ac:dyDescent="0.35">
      <c r="A26" s="249" t="s">
        <v>5163</v>
      </c>
      <c r="B26" s="237" t="s">
        <v>5164</v>
      </c>
      <c r="C26" s="237" t="s">
        <v>5165</v>
      </c>
      <c r="D26" s="237" t="s">
        <v>5166</v>
      </c>
      <c r="E26" s="237" t="s">
        <v>21</v>
      </c>
      <c r="F26" s="237" t="s">
        <v>5167</v>
      </c>
      <c r="G26" s="237" t="s">
        <v>21</v>
      </c>
      <c r="H26" s="237" t="s">
        <v>5168</v>
      </c>
      <c r="I26" s="237" t="s">
        <v>21</v>
      </c>
      <c r="J26" s="237" t="s">
        <v>5169</v>
      </c>
      <c r="K26" s="240" t="str">
        <f>IF(COUNTIF(L26:AY26,"&lt;&gt;")=0,"",SUMPRODUCT(((Recommendations[ImplStatus]="Implemented")+(Recommendations[ImplStatus]="Compensated"))*ISNUMBER(MATCH(Recommendations[Id],L26:AY26,0)))/COUNTIF(L26:AY26,"&lt;&gt;"))</f>
        <v/>
      </c>
      <c r="L26" s="243"/>
      <c r="M26" s="243"/>
      <c r="N26" s="243"/>
      <c r="O26" s="243"/>
      <c r="P26" s="243"/>
      <c r="Q26" s="243"/>
      <c r="R26" s="243"/>
      <c r="S26" s="243"/>
      <c r="T26" s="243"/>
      <c r="U26" s="243"/>
      <c r="V26" s="243"/>
      <c r="W26" s="243"/>
      <c r="X26" s="243"/>
      <c r="Y26" s="243"/>
      <c r="Z26" s="243"/>
      <c r="AA26" s="243"/>
      <c r="AB26" s="243"/>
      <c r="AC26" s="243"/>
      <c r="AD26" s="243"/>
      <c r="AE26" s="243"/>
      <c r="AF26" s="243"/>
      <c r="AG26" s="243"/>
      <c r="AH26" s="243"/>
      <c r="AI26" s="243"/>
      <c r="AJ26" s="243"/>
      <c r="AK26" s="243"/>
      <c r="AL26" s="243"/>
      <c r="AM26" s="243"/>
      <c r="AN26" s="243"/>
      <c r="AO26" s="243"/>
      <c r="AP26" s="243"/>
      <c r="AQ26" s="243"/>
      <c r="AR26" s="243"/>
      <c r="AS26" s="243"/>
      <c r="AT26" s="243"/>
      <c r="AU26" s="243"/>
      <c r="AV26" s="243"/>
      <c r="AW26" s="243"/>
      <c r="AX26" s="243"/>
      <c r="AY26" s="253"/>
    </row>
    <row r="27" spans="1:51" ht="60" customHeight="1" outlineLevel="1" x14ac:dyDescent="0.35">
      <c r="A27" s="247" t="s">
        <v>5170</v>
      </c>
      <c r="B27" s="235" t="s">
        <v>5171</v>
      </c>
      <c r="C27" s="235"/>
      <c r="D27" s="235"/>
      <c r="E27" s="235"/>
      <c r="F27" s="235"/>
      <c r="G27" s="235"/>
      <c r="H27" s="235"/>
      <c r="I27" s="235"/>
      <c r="J27" s="235"/>
      <c r="K27" s="238" t="str">
        <f>IF(COUNTIF(L27:AY27,"&lt;&gt;")=0,"",SUMPRODUCT(((Recommendations[ImplStatus]="Implemented")+(Recommendations[ImplStatus]="Compensated"))*ISNUMBER(MATCH(Recommendations[Id],L27:AY27,0)))/COUNTIF(L27:AY27,"&lt;&gt;"))</f>
        <v/>
      </c>
      <c r="L27" s="241"/>
      <c r="M27" s="241"/>
      <c r="N27" s="241"/>
      <c r="O27" s="241"/>
      <c r="P27" s="241"/>
      <c r="Q27" s="241"/>
      <c r="R27" s="241"/>
      <c r="S27" s="241"/>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51"/>
    </row>
    <row r="28" spans="1:51" ht="60" customHeight="1" outlineLevel="1" x14ac:dyDescent="0.35">
      <c r="A28" s="248" t="s">
        <v>2291</v>
      </c>
      <c r="B28" s="236" t="s">
        <v>5172</v>
      </c>
      <c r="C28" s="236"/>
      <c r="D28" s="236"/>
      <c r="E28" s="236"/>
      <c r="F28" s="236"/>
      <c r="G28" s="236"/>
      <c r="H28" s="236"/>
      <c r="I28" s="236"/>
      <c r="J28" s="236"/>
      <c r="K28" s="239" t="str">
        <f>IF(COUNTIF(L28:AY28,"&lt;&gt;")=0,"",SUMPRODUCT(((Recommendations[ImplStatus]="Implemented")+(Recommendations[ImplStatus]="Compensated"))*ISNUMBER(MATCH(Recommendations[Id],L28:AY28,0)))/COUNTIF(L28:AY28,"&lt;&gt;"))</f>
        <v/>
      </c>
      <c r="L28" s="242"/>
      <c r="M28" s="242"/>
      <c r="N28" s="242"/>
      <c r="O28" s="242"/>
      <c r="P28" s="242"/>
      <c r="Q28" s="242"/>
      <c r="R28" s="242"/>
      <c r="S28" s="242"/>
      <c r="T28" s="242"/>
      <c r="U28" s="242"/>
      <c r="V28" s="242"/>
      <c r="W28" s="242"/>
      <c r="X28" s="242"/>
      <c r="Y28" s="242"/>
      <c r="Z28" s="242"/>
      <c r="AA28" s="242"/>
      <c r="AB28" s="242"/>
      <c r="AC28" s="242"/>
      <c r="AD28" s="242"/>
      <c r="AE28" s="242"/>
      <c r="AF28" s="242"/>
      <c r="AG28" s="242"/>
      <c r="AH28" s="242"/>
      <c r="AI28" s="242"/>
      <c r="AJ28" s="242"/>
      <c r="AK28" s="242"/>
      <c r="AL28" s="242"/>
      <c r="AM28" s="242"/>
      <c r="AN28" s="242"/>
      <c r="AO28" s="242"/>
      <c r="AP28" s="242"/>
      <c r="AQ28" s="242"/>
      <c r="AR28" s="242"/>
      <c r="AS28" s="242"/>
      <c r="AT28" s="242"/>
      <c r="AU28" s="242"/>
      <c r="AV28" s="242"/>
      <c r="AW28" s="242"/>
      <c r="AX28" s="242"/>
      <c r="AY28" s="252"/>
    </row>
    <row r="29" spans="1:51" ht="60" customHeight="1" x14ac:dyDescent="0.35">
      <c r="A29" s="249" t="s">
        <v>5173</v>
      </c>
      <c r="B29" s="237" t="s">
        <v>5174</v>
      </c>
      <c r="C29" s="237" t="s">
        <v>5175</v>
      </c>
      <c r="D29" s="237" t="s">
        <v>5176</v>
      </c>
      <c r="E29" s="237" t="s">
        <v>5177</v>
      </c>
      <c r="F29" s="237" t="s">
        <v>21</v>
      </c>
      <c r="G29" s="237" t="s">
        <v>21</v>
      </c>
      <c r="H29" s="237" t="s">
        <v>5178</v>
      </c>
      <c r="I29" s="237" t="s">
        <v>21</v>
      </c>
      <c r="J29" s="237" t="s">
        <v>5179</v>
      </c>
      <c r="K29" s="240" t="str">
        <f>IF(COUNTIF(L29:AY29,"&lt;&gt;")=0,"",SUMPRODUCT(((Recommendations[ImplStatus]="Implemented")+(Recommendations[ImplStatus]="Compensated"))*ISNUMBER(MATCH(Recommendations[Id],L29:AY29,0)))/COUNTIF(L29:AY29,"&lt;&gt;"))</f>
        <v/>
      </c>
      <c r="L29" s="243"/>
      <c r="M29" s="243"/>
      <c r="N29" s="243"/>
      <c r="O29" s="243"/>
      <c r="P29" s="243"/>
      <c r="Q29" s="243"/>
      <c r="R29" s="243"/>
      <c r="S29" s="243"/>
      <c r="T29" s="243"/>
      <c r="U29" s="243"/>
      <c r="V29" s="243"/>
      <c r="W29" s="243"/>
      <c r="X29" s="243"/>
      <c r="Y29" s="243"/>
      <c r="Z29" s="243"/>
      <c r="AA29" s="243"/>
      <c r="AB29" s="243"/>
      <c r="AC29" s="243"/>
      <c r="AD29" s="243"/>
      <c r="AE29" s="243"/>
      <c r="AF29" s="243"/>
      <c r="AG29" s="243"/>
      <c r="AH29" s="243"/>
      <c r="AI29" s="243"/>
      <c r="AJ29" s="243"/>
      <c r="AK29" s="243"/>
      <c r="AL29" s="243"/>
      <c r="AM29" s="243"/>
      <c r="AN29" s="243"/>
      <c r="AO29" s="243"/>
      <c r="AP29" s="243"/>
      <c r="AQ29" s="243"/>
      <c r="AR29" s="243"/>
      <c r="AS29" s="243"/>
      <c r="AT29" s="243"/>
      <c r="AU29" s="243"/>
      <c r="AV29" s="243"/>
      <c r="AW29" s="243"/>
      <c r="AX29" s="243"/>
      <c r="AY29" s="253"/>
    </row>
    <row r="30" spans="1:51" ht="60" customHeight="1" x14ac:dyDescent="0.35">
      <c r="A30" s="249" t="s">
        <v>5180</v>
      </c>
      <c r="B30" s="237" t="s">
        <v>5181</v>
      </c>
      <c r="C30" s="237" t="s">
        <v>5046</v>
      </c>
      <c r="D30" s="237" t="s">
        <v>5047</v>
      </c>
      <c r="E30" s="237" t="s">
        <v>21</v>
      </c>
      <c r="F30" s="237" t="s">
        <v>5049</v>
      </c>
      <c r="G30" s="237" t="s">
        <v>21</v>
      </c>
      <c r="H30" s="237" t="s">
        <v>5182</v>
      </c>
      <c r="I30" s="237" t="s">
        <v>21</v>
      </c>
      <c r="J30" s="237" t="s">
        <v>5183</v>
      </c>
      <c r="K30" s="240" t="str">
        <f>IF(COUNTIF(L30:AY30,"&lt;&gt;")=0,"",SUMPRODUCT(((Recommendations[ImplStatus]="Implemented")+(Recommendations[ImplStatus]="Compensated"))*ISNUMBER(MATCH(Recommendations[Id],L30:AY30,0)))/COUNTIF(L30:AY30,"&lt;&gt;"))</f>
        <v/>
      </c>
      <c r="L30" s="243"/>
      <c r="M30" s="243"/>
      <c r="N30" s="243"/>
      <c r="O30" s="243"/>
      <c r="P30" s="243"/>
      <c r="Q30" s="243"/>
      <c r="R30" s="243"/>
      <c r="S30" s="243"/>
      <c r="T30" s="243"/>
      <c r="U30" s="243"/>
      <c r="V30" s="243"/>
      <c r="W30" s="243"/>
      <c r="X30" s="243"/>
      <c r="Y30" s="243"/>
      <c r="Z30" s="243"/>
      <c r="AA30" s="243"/>
      <c r="AB30" s="243"/>
      <c r="AC30" s="243"/>
      <c r="AD30" s="243"/>
      <c r="AE30" s="243"/>
      <c r="AF30" s="243"/>
      <c r="AG30" s="243"/>
      <c r="AH30" s="243"/>
      <c r="AI30" s="243"/>
      <c r="AJ30" s="243"/>
      <c r="AK30" s="243"/>
      <c r="AL30" s="243"/>
      <c r="AM30" s="243"/>
      <c r="AN30" s="243"/>
      <c r="AO30" s="243"/>
      <c r="AP30" s="243"/>
      <c r="AQ30" s="243"/>
      <c r="AR30" s="243"/>
      <c r="AS30" s="243"/>
      <c r="AT30" s="243"/>
      <c r="AU30" s="243"/>
      <c r="AV30" s="243"/>
      <c r="AW30" s="243"/>
      <c r="AX30" s="243"/>
      <c r="AY30" s="253"/>
    </row>
    <row r="31" spans="1:51" ht="60" customHeight="1" outlineLevel="1" x14ac:dyDescent="0.35">
      <c r="A31" s="248" t="s">
        <v>2296</v>
      </c>
      <c r="B31" s="236" t="s">
        <v>5184</v>
      </c>
      <c r="C31" s="236"/>
      <c r="D31" s="236"/>
      <c r="E31" s="236"/>
      <c r="F31" s="236"/>
      <c r="G31" s="236"/>
      <c r="H31" s="236"/>
      <c r="I31" s="236"/>
      <c r="J31" s="236"/>
      <c r="K31" s="239" t="str">
        <f>IF(COUNTIF(L31:AY31,"&lt;&gt;")=0,"",SUMPRODUCT(((Recommendations[ImplStatus]="Implemented")+(Recommendations[ImplStatus]="Compensated"))*ISNUMBER(MATCH(Recommendations[Id],L31:AY31,0)))/COUNTIF(L31:AY31,"&lt;&gt;"))</f>
        <v/>
      </c>
      <c r="L31" s="242"/>
      <c r="M31" s="242"/>
      <c r="N31" s="242"/>
      <c r="O31" s="242"/>
      <c r="P31" s="242"/>
      <c r="Q31" s="242"/>
      <c r="R31" s="242"/>
      <c r="S31" s="242"/>
      <c r="T31" s="242"/>
      <c r="U31" s="242"/>
      <c r="V31" s="242"/>
      <c r="W31" s="242"/>
      <c r="X31" s="242"/>
      <c r="Y31" s="242"/>
      <c r="Z31" s="242"/>
      <c r="AA31" s="242"/>
      <c r="AB31" s="242"/>
      <c r="AC31" s="242"/>
      <c r="AD31" s="242"/>
      <c r="AE31" s="242"/>
      <c r="AF31" s="242"/>
      <c r="AG31" s="242"/>
      <c r="AH31" s="242"/>
      <c r="AI31" s="242"/>
      <c r="AJ31" s="242"/>
      <c r="AK31" s="242"/>
      <c r="AL31" s="242"/>
      <c r="AM31" s="242"/>
      <c r="AN31" s="242"/>
      <c r="AO31" s="242"/>
      <c r="AP31" s="242"/>
      <c r="AQ31" s="242"/>
      <c r="AR31" s="242"/>
      <c r="AS31" s="242"/>
      <c r="AT31" s="242"/>
      <c r="AU31" s="242"/>
      <c r="AV31" s="242"/>
      <c r="AW31" s="242"/>
      <c r="AX31" s="242"/>
      <c r="AY31" s="252"/>
    </row>
    <row r="32" spans="1:51" ht="60" customHeight="1" x14ac:dyDescent="0.35">
      <c r="A32" s="249" t="s">
        <v>5185</v>
      </c>
      <c r="B32" s="237" t="s">
        <v>5186</v>
      </c>
      <c r="C32" s="237" t="s">
        <v>5187</v>
      </c>
      <c r="D32" s="237" t="s">
        <v>5188</v>
      </c>
      <c r="E32" s="237" t="s">
        <v>21</v>
      </c>
      <c r="F32" s="237" t="s">
        <v>21</v>
      </c>
      <c r="G32" s="237" t="s">
        <v>5189</v>
      </c>
      <c r="H32" s="237" t="s">
        <v>5190</v>
      </c>
      <c r="I32" s="237" t="s">
        <v>21</v>
      </c>
      <c r="J32" s="237" t="s">
        <v>5191</v>
      </c>
      <c r="K32" s="240" t="str">
        <f>IF(COUNTIF(L32:AY32,"&lt;&gt;")=0,"",SUMPRODUCT(((Recommendations[ImplStatus]="Implemented")+(Recommendations[ImplStatus]="Compensated"))*ISNUMBER(MATCH(Recommendations[Id],L32:AY32,0)))/COUNTIF(L32:AY32,"&lt;&gt;"))</f>
        <v/>
      </c>
      <c r="L32" s="243"/>
      <c r="M32" s="243"/>
      <c r="N32" s="243"/>
      <c r="O32" s="243"/>
      <c r="P32" s="243"/>
      <c r="Q32" s="243"/>
      <c r="R32" s="243"/>
      <c r="S32" s="243"/>
      <c r="T32" s="243"/>
      <c r="U32" s="243"/>
      <c r="V32" s="243"/>
      <c r="W32" s="243"/>
      <c r="X32" s="24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43"/>
      <c r="AV32" s="243"/>
      <c r="AW32" s="243"/>
      <c r="AX32" s="243"/>
      <c r="AY32" s="253"/>
    </row>
    <row r="33" spans="1:51" ht="60" customHeight="1" x14ac:dyDescent="0.35">
      <c r="A33" s="249" t="s">
        <v>5192</v>
      </c>
      <c r="B33" s="237" t="s">
        <v>5193</v>
      </c>
      <c r="C33" s="237" t="s">
        <v>5194</v>
      </c>
      <c r="D33" s="237" t="s">
        <v>5195</v>
      </c>
      <c r="E33" s="237" t="s">
        <v>21</v>
      </c>
      <c r="F33" s="237" t="s">
        <v>5196</v>
      </c>
      <c r="G33" s="237" t="s">
        <v>21</v>
      </c>
      <c r="H33" s="237" t="s">
        <v>5197</v>
      </c>
      <c r="I33" s="237" t="s">
        <v>5198</v>
      </c>
      <c r="J33" s="237" t="s">
        <v>5199</v>
      </c>
      <c r="K33" s="240" t="str">
        <f>IF(COUNTIF(L33:AY33,"&lt;&gt;")=0,"",SUMPRODUCT(((Recommendations[ImplStatus]="Implemented")+(Recommendations[ImplStatus]="Compensated"))*ISNUMBER(MATCH(Recommendations[Id],L33:AY33,0)))/COUNTIF(L33:AY33,"&lt;&gt;"))</f>
        <v/>
      </c>
      <c r="L33" s="243"/>
      <c r="M33" s="243"/>
      <c r="N33" s="243"/>
      <c r="O33" s="243"/>
      <c r="P33" s="243"/>
      <c r="Q33" s="243"/>
      <c r="R33" s="243"/>
      <c r="S33" s="243"/>
      <c r="T33" s="243"/>
      <c r="U33" s="243"/>
      <c r="V33" s="243"/>
      <c r="W33" s="243"/>
      <c r="X33" s="24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c r="AU33" s="243"/>
      <c r="AV33" s="243"/>
      <c r="AW33" s="243"/>
      <c r="AX33" s="243"/>
      <c r="AY33" s="253"/>
    </row>
    <row r="34" spans="1:51" ht="60" customHeight="1" x14ac:dyDescent="0.35">
      <c r="A34" s="249" t="s">
        <v>5200</v>
      </c>
      <c r="B34" s="237" t="s">
        <v>5201</v>
      </c>
      <c r="C34" s="237" t="s">
        <v>5202</v>
      </c>
      <c r="D34" s="237" t="s">
        <v>5203</v>
      </c>
      <c r="E34" s="237" t="s">
        <v>21</v>
      </c>
      <c r="F34" s="237" t="s">
        <v>21</v>
      </c>
      <c r="G34" s="237" t="s">
        <v>21</v>
      </c>
      <c r="H34" s="237" t="s">
        <v>5204</v>
      </c>
      <c r="I34" s="237" t="s">
        <v>21</v>
      </c>
      <c r="J34" s="237" t="s">
        <v>5205</v>
      </c>
      <c r="K34" s="240" t="str">
        <f>IF(COUNTIF(L34:AY34,"&lt;&gt;")=0,"",SUMPRODUCT(((Recommendations[ImplStatus]="Implemented")+(Recommendations[ImplStatus]="Compensated"))*ISNUMBER(MATCH(Recommendations[Id],L34:AY34,0)))/COUNTIF(L34:AY34,"&lt;&gt;"))</f>
        <v/>
      </c>
      <c r="L34" s="243"/>
      <c r="M34" s="243"/>
      <c r="N34" s="243"/>
      <c r="O34" s="243"/>
      <c r="P34" s="243"/>
      <c r="Q34" s="243"/>
      <c r="R34" s="243"/>
      <c r="S34" s="243"/>
      <c r="T34" s="243"/>
      <c r="U34" s="243"/>
      <c r="V34" s="243"/>
      <c r="W34" s="243"/>
      <c r="X34" s="243"/>
      <c r="Y34" s="243"/>
      <c r="Z34" s="243"/>
      <c r="AA34" s="243"/>
      <c r="AB34" s="243"/>
      <c r="AC34" s="243"/>
      <c r="AD34" s="243"/>
      <c r="AE34" s="243"/>
      <c r="AF34" s="243"/>
      <c r="AG34" s="243"/>
      <c r="AH34" s="243"/>
      <c r="AI34" s="243"/>
      <c r="AJ34" s="243"/>
      <c r="AK34" s="243"/>
      <c r="AL34" s="243"/>
      <c r="AM34" s="243"/>
      <c r="AN34" s="243"/>
      <c r="AO34" s="243"/>
      <c r="AP34" s="243"/>
      <c r="AQ34" s="243"/>
      <c r="AR34" s="243"/>
      <c r="AS34" s="243"/>
      <c r="AT34" s="243"/>
      <c r="AU34" s="243"/>
      <c r="AV34" s="243"/>
      <c r="AW34" s="243"/>
      <c r="AX34" s="243"/>
      <c r="AY34" s="253"/>
    </row>
    <row r="35" spans="1:51" ht="60" customHeight="1" x14ac:dyDescent="0.35">
      <c r="A35" s="249" t="s">
        <v>5206</v>
      </c>
      <c r="B35" s="237" t="s">
        <v>5207</v>
      </c>
      <c r="C35" s="237" t="s">
        <v>5208</v>
      </c>
      <c r="D35" s="237" t="s">
        <v>5209</v>
      </c>
      <c r="E35" s="237" t="s">
        <v>21</v>
      </c>
      <c r="F35" s="237" t="s">
        <v>5210</v>
      </c>
      <c r="G35" s="237" t="s">
        <v>21</v>
      </c>
      <c r="H35" s="237" t="s">
        <v>5211</v>
      </c>
      <c r="I35" s="237" t="s">
        <v>21</v>
      </c>
      <c r="J35" s="237" t="s">
        <v>5212</v>
      </c>
      <c r="K35" s="240">
        <f>IF(COUNTIF(L35:AY35,"&lt;&gt;")=0,"",SUMPRODUCT(((Recommendations[ImplStatus]="Implemented")+(Recommendations[ImplStatus]="Compensated"))*ISNUMBER(MATCH(Recommendations[Id],L35:AY35,0)))/COUNTIF(L35:AY35,"&lt;&gt;"))</f>
        <v>0</v>
      </c>
      <c r="L35" s="243" t="s">
        <v>635</v>
      </c>
      <c r="M35" s="243" t="s">
        <v>640</v>
      </c>
      <c r="N35" s="243" t="s">
        <v>645</v>
      </c>
      <c r="O35" s="243" t="s">
        <v>650</v>
      </c>
      <c r="P35" s="243" t="s">
        <v>675</v>
      </c>
      <c r="Q35" s="243" t="s">
        <v>1502</v>
      </c>
      <c r="R35" s="243" t="s">
        <v>1507</v>
      </c>
      <c r="S35" s="243" t="s">
        <v>1512</v>
      </c>
      <c r="T35" s="243" t="s">
        <v>1517</v>
      </c>
      <c r="U35" s="243" t="s">
        <v>1522</v>
      </c>
      <c r="V35" s="243" t="s">
        <v>1541</v>
      </c>
      <c r="W35" s="243" t="s">
        <v>1729</v>
      </c>
      <c r="X35" s="243" t="s">
        <v>1734</v>
      </c>
      <c r="Y35" s="243" t="s">
        <v>1738</v>
      </c>
      <c r="Z35" s="243" t="s">
        <v>1742</v>
      </c>
      <c r="AA35" s="243" t="s">
        <v>1747</v>
      </c>
      <c r="AB35" s="243" t="s">
        <v>1751</v>
      </c>
      <c r="AC35" s="243" t="s">
        <v>1865</v>
      </c>
      <c r="AD35" s="243" t="s">
        <v>1870</v>
      </c>
      <c r="AE35" s="243" t="s">
        <v>1874</v>
      </c>
      <c r="AF35" s="243"/>
      <c r="AG35" s="243"/>
      <c r="AH35" s="243"/>
      <c r="AI35" s="243"/>
      <c r="AJ35" s="243"/>
      <c r="AK35" s="243"/>
      <c r="AL35" s="243"/>
      <c r="AM35" s="243"/>
      <c r="AN35" s="243"/>
      <c r="AO35" s="243"/>
      <c r="AP35" s="243"/>
      <c r="AQ35" s="243"/>
      <c r="AR35" s="243"/>
      <c r="AS35" s="243"/>
      <c r="AT35" s="243"/>
      <c r="AU35" s="243"/>
      <c r="AV35" s="243"/>
      <c r="AW35" s="243"/>
      <c r="AX35" s="243"/>
      <c r="AY35" s="253"/>
    </row>
    <row r="36" spans="1:51" ht="60" customHeight="1" x14ac:dyDescent="0.35">
      <c r="A36" s="249" t="s">
        <v>5213</v>
      </c>
      <c r="B36" s="237" t="s">
        <v>5214</v>
      </c>
      <c r="C36" s="237" t="s">
        <v>5215</v>
      </c>
      <c r="D36" s="237" t="s">
        <v>5216</v>
      </c>
      <c r="E36" s="237" t="s">
        <v>21</v>
      </c>
      <c r="F36" s="237" t="s">
        <v>21</v>
      </c>
      <c r="G36" s="237" t="s">
        <v>5217</v>
      </c>
      <c r="H36" s="237" t="s">
        <v>5218</v>
      </c>
      <c r="I36" s="237" t="s">
        <v>21</v>
      </c>
      <c r="J36" s="237" t="s">
        <v>5219</v>
      </c>
      <c r="K36" s="240" t="str">
        <f>IF(COUNTIF(L36:AY36,"&lt;&gt;")=0,"",SUMPRODUCT(((Recommendations[ImplStatus]="Implemented")+(Recommendations[ImplStatus]="Compensated"))*ISNUMBER(MATCH(Recommendations[Id],L36:AY36,0)))/COUNTIF(L36:AY36,"&lt;&gt;"))</f>
        <v/>
      </c>
      <c r="L36" s="243"/>
      <c r="M36" s="243"/>
      <c r="N36" s="243"/>
      <c r="O36" s="243"/>
      <c r="P36" s="243"/>
      <c r="Q36" s="243"/>
      <c r="R36" s="243"/>
      <c r="S36" s="243"/>
      <c r="T36" s="243"/>
      <c r="U36" s="243"/>
      <c r="V36" s="243"/>
      <c r="W36" s="243"/>
      <c r="X36" s="243"/>
      <c r="Y36" s="243"/>
      <c r="Z36" s="243"/>
      <c r="AA36" s="243"/>
      <c r="AB36" s="243"/>
      <c r="AC36" s="243"/>
      <c r="AD36" s="243"/>
      <c r="AE36" s="243"/>
      <c r="AF36" s="243"/>
      <c r="AG36" s="243"/>
      <c r="AH36" s="243"/>
      <c r="AI36" s="243"/>
      <c r="AJ36" s="243"/>
      <c r="AK36" s="243"/>
      <c r="AL36" s="243"/>
      <c r="AM36" s="243"/>
      <c r="AN36" s="243"/>
      <c r="AO36" s="243"/>
      <c r="AP36" s="243"/>
      <c r="AQ36" s="243"/>
      <c r="AR36" s="243"/>
      <c r="AS36" s="243"/>
      <c r="AT36" s="243"/>
      <c r="AU36" s="243"/>
      <c r="AV36" s="243"/>
      <c r="AW36" s="243"/>
      <c r="AX36" s="243"/>
      <c r="AY36" s="253"/>
    </row>
    <row r="37" spans="1:51" ht="60" customHeight="1" x14ac:dyDescent="0.35">
      <c r="A37" s="249" t="s">
        <v>5220</v>
      </c>
      <c r="B37" s="237" t="s">
        <v>5221</v>
      </c>
      <c r="C37" s="237" t="s">
        <v>5222</v>
      </c>
      <c r="D37" s="237" t="s">
        <v>5223</v>
      </c>
      <c r="E37" s="237" t="s">
        <v>21</v>
      </c>
      <c r="F37" s="237" t="s">
        <v>5224</v>
      </c>
      <c r="G37" s="237" t="s">
        <v>5225</v>
      </c>
      <c r="H37" s="237" t="s">
        <v>5226</v>
      </c>
      <c r="I37" s="237" t="s">
        <v>21</v>
      </c>
      <c r="J37" s="237" t="s">
        <v>5227</v>
      </c>
      <c r="K37" s="240" t="str">
        <f>IF(COUNTIF(L37:AY37,"&lt;&gt;")=0,"",SUMPRODUCT(((Recommendations[ImplStatus]="Implemented")+(Recommendations[ImplStatus]="Compensated"))*ISNUMBER(MATCH(Recommendations[Id],L37:AY37,0)))/COUNTIF(L37:AY37,"&lt;&gt;"))</f>
        <v/>
      </c>
      <c r="L37" s="243"/>
      <c r="M37" s="243"/>
      <c r="N37" s="243"/>
      <c r="O37" s="243"/>
      <c r="P37" s="243"/>
      <c r="Q37" s="243"/>
      <c r="R37" s="243"/>
      <c r="S37" s="243"/>
      <c r="T37" s="243"/>
      <c r="U37" s="243"/>
      <c r="V37" s="243"/>
      <c r="W37" s="243"/>
      <c r="X37" s="243"/>
      <c r="Y37" s="243"/>
      <c r="Z37" s="243"/>
      <c r="AA37" s="243"/>
      <c r="AB37" s="243"/>
      <c r="AC37" s="243"/>
      <c r="AD37" s="243"/>
      <c r="AE37" s="243"/>
      <c r="AF37" s="243"/>
      <c r="AG37" s="243"/>
      <c r="AH37" s="243"/>
      <c r="AI37" s="243"/>
      <c r="AJ37" s="243"/>
      <c r="AK37" s="243"/>
      <c r="AL37" s="243"/>
      <c r="AM37" s="243"/>
      <c r="AN37" s="243"/>
      <c r="AO37" s="243"/>
      <c r="AP37" s="243"/>
      <c r="AQ37" s="243"/>
      <c r="AR37" s="243"/>
      <c r="AS37" s="243"/>
      <c r="AT37" s="243"/>
      <c r="AU37" s="243"/>
      <c r="AV37" s="243"/>
      <c r="AW37" s="243"/>
      <c r="AX37" s="243"/>
      <c r="AY37" s="253"/>
    </row>
    <row r="38" spans="1:51" ht="60" customHeight="1" x14ac:dyDescent="0.35">
      <c r="A38" s="249" t="s">
        <v>5228</v>
      </c>
      <c r="B38" s="237" t="s">
        <v>5229</v>
      </c>
      <c r="C38" s="237" t="s">
        <v>5230</v>
      </c>
      <c r="D38" s="237" t="s">
        <v>5231</v>
      </c>
      <c r="E38" s="237" t="s">
        <v>21</v>
      </c>
      <c r="F38" s="237" t="s">
        <v>5224</v>
      </c>
      <c r="G38" s="237" t="s">
        <v>5232</v>
      </c>
      <c r="H38" s="237" t="s">
        <v>5233</v>
      </c>
      <c r="I38" s="237" t="s">
        <v>5234</v>
      </c>
      <c r="J38" s="237" t="s">
        <v>5235</v>
      </c>
      <c r="K38" s="240" t="str">
        <f>IF(COUNTIF(L38:AY38,"&lt;&gt;")=0,"",SUMPRODUCT(((Recommendations[ImplStatus]="Implemented")+(Recommendations[ImplStatus]="Compensated"))*ISNUMBER(MATCH(Recommendations[Id],L38:AY38,0)))/COUNTIF(L38:AY38,"&lt;&gt;"))</f>
        <v/>
      </c>
      <c r="L38" s="243"/>
      <c r="M38" s="243"/>
      <c r="N38" s="243"/>
      <c r="O38" s="243"/>
      <c r="P38" s="243"/>
      <c r="Q38" s="243"/>
      <c r="R38" s="243"/>
      <c r="S38" s="243"/>
      <c r="T38" s="243"/>
      <c r="U38" s="243"/>
      <c r="V38" s="243"/>
      <c r="W38" s="243"/>
      <c r="X38" s="243"/>
      <c r="Y38" s="243"/>
      <c r="Z38" s="243"/>
      <c r="AA38" s="243"/>
      <c r="AB38" s="243"/>
      <c r="AC38" s="243"/>
      <c r="AD38" s="243"/>
      <c r="AE38" s="243"/>
      <c r="AF38" s="243"/>
      <c r="AG38" s="243"/>
      <c r="AH38" s="243"/>
      <c r="AI38" s="243"/>
      <c r="AJ38" s="243"/>
      <c r="AK38" s="243"/>
      <c r="AL38" s="243"/>
      <c r="AM38" s="243"/>
      <c r="AN38" s="243"/>
      <c r="AO38" s="243"/>
      <c r="AP38" s="243"/>
      <c r="AQ38" s="243"/>
      <c r="AR38" s="243"/>
      <c r="AS38" s="243"/>
      <c r="AT38" s="243"/>
      <c r="AU38" s="243"/>
      <c r="AV38" s="243"/>
      <c r="AW38" s="243"/>
      <c r="AX38" s="243"/>
      <c r="AY38" s="253"/>
    </row>
    <row r="39" spans="1:51" ht="60" customHeight="1" outlineLevel="1" x14ac:dyDescent="0.35">
      <c r="A39" s="248" t="s">
        <v>2300</v>
      </c>
      <c r="B39" s="236" t="s">
        <v>5236</v>
      </c>
      <c r="C39" s="236"/>
      <c r="D39" s="236"/>
      <c r="E39" s="236"/>
      <c r="F39" s="236"/>
      <c r="G39" s="236"/>
      <c r="H39" s="236"/>
      <c r="I39" s="236"/>
      <c r="J39" s="236"/>
      <c r="K39" s="239" t="str">
        <f>IF(COUNTIF(L39:AY39,"&lt;&gt;")=0,"",SUMPRODUCT(((Recommendations[ImplStatus]="Implemented")+(Recommendations[ImplStatus]="Compensated"))*ISNUMBER(MATCH(Recommendations[Id],L39:AY39,0)))/COUNTIF(L39:AY39,"&lt;&gt;"))</f>
        <v/>
      </c>
      <c r="L39" s="242"/>
      <c r="M39" s="242"/>
      <c r="N39" s="242"/>
      <c r="O39" s="242"/>
      <c r="P39" s="242"/>
      <c r="Q39" s="242"/>
      <c r="R39" s="242"/>
      <c r="S39" s="242"/>
      <c r="T39" s="242"/>
      <c r="U39" s="242"/>
      <c r="V39" s="242"/>
      <c r="W39" s="242"/>
      <c r="X39" s="242"/>
      <c r="Y39" s="242"/>
      <c r="Z39" s="242"/>
      <c r="AA39" s="242"/>
      <c r="AB39" s="242"/>
      <c r="AC39" s="242"/>
      <c r="AD39" s="242"/>
      <c r="AE39" s="242"/>
      <c r="AF39" s="242"/>
      <c r="AG39" s="242"/>
      <c r="AH39" s="242"/>
      <c r="AI39" s="242"/>
      <c r="AJ39" s="242"/>
      <c r="AK39" s="242"/>
      <c r="AL39" s="242"/>
      <c r="AM39" s="242"/>
      <c r="AN39" s="242"/>
      <c r="AO39" s="242"/>
      <c r="AP39" s="242"/>
      <c r="AQ39" s="242"/>
      <c r="AR39" s="242"/>
      <c r="AS39" s="242"/>
      <c r="AT39" s="242"/>
      <c r="AU39" s="242"/>
      <c r="AV39" s="242"/>
      <c r="AW39" s="242"/>
      <c r="AX39" s="242"/>
      <c r="AY39" s="252"/>
    </row>
    <row r="40" spans="1:51" ht="60" customHeight="1" x14ac:dyDescent="0.35">
      <c r="A40" s="249" t="s">
        <v>5237</v>
      </c>
      <c r="B40" s="237" t="s">
        <v>5238</v>
      </c>
      <c r="C40" s="237" t="s">
        <v>5239</v>
      </c>
      <c r="D40" s="237" t="s">
        <v>5240</v>
      </c>
      <c r="E40" s="237" t="s">
        <v>21</v>
      </c>
      <c r="F40" s="237" t="s">
        <v>21</v>
      </c>
      <c r="G40" s="237" t="s">
        <v>21</v>
      </c>
      <c r="H40" s="237" t="s">
        <v>5241</v>
      </c>
      <c r="I40" s="237" t="s">
        <v>5242</v>
      </c>
      <c r="J40" s="237" t="s">
        <v>5243</v>
      </c>
      <c r="K40" s="240" t="str">
        <f>IF(COUNTIF(L40:AY40,"&lt;&gt;")=0,"",SUMPRODUCT(((Recommendations[ImplStatus]="Implemented")+(Recommendations[ImplStatus]="Compensated"))*ISNUMBER(MATCH(Recommendations[Id],L40:AY40,0)))/COUNTIF(L40:AY40,"&lt;&gt;"))</f>
        <v/>
      </c>
      <c r="L40" s="243"/>
      <c r="M40" s="243"/>
      <c r="N40" s="243"/>
      <c r="O40" s="243"/>
      <c r="P40" s="243"/>
      <c r="Q40" s="243"/>
      <c r="R40" s="243"/>
      <c r="S40" s="243"/>
      <c r="T40" s="243"/>
      <c r="U40" s="243"/>
      <c r="V40" s="243"/>
      <c r="W40" s="243"/>
      <c r="X40" s="243"/>
      <c r="Y40" s="243"/>
      <c r="Z40" s="243"/>
      <c r="AA40" s="243"/>
      <c r="AB40" s="243"/>
      <c r="AC40" s="243"/>
      <c r="AD40" s="243"/>
      <c r="AE40" s="243"/>
      <c r="AF40" s="243"/>
      <c r="AG40" s="243"/>
      <c r="AH40" s="243"/>
      <c r="AI40" s="243"/>
      <c r="AJ40" s="243"/>
      <c r="AK40" s="243"/>
      <c r="AL40" s="243"/>
      <c r="AM40" s="243"/>
      <c r="AN40" s="243"/>
      <c r="AO40" s="243"/>
      <c r="AP40" s="243"/>
      <c r="AQ40" s="243"/>
      <c r="AR40" s="243"/>
      <c r="AS40" s="243"/>
      <c r="AT40" s="243"/>
      <c r="AU40" s="243"/>
      <c r="AV40" s="243"/>
      <c r="AW40" s="243"/>
      <c r="AX40" s="243"/>
      <c r="AY40" s="253"/>
    </row>
    <row r="41" spans="1:51" ht="60" customHeight="1" x14ac:dyDescent="0.35">
      <c r="A41" s="249" t="s">
        <v>5244</v>
      </c>
      <c r="B41" s="237" t="s">
        <v>5245</v>
      </c>
      <c r="C41" s="237" t="s">
        <v>5246</v>
      </c>
      <c r="D41" s="237" t="s">
        <v>21</v>
      </c>
      <c r="E41" s="237" t="s">
        <v>21</v>
      </c>
      <c r="F41" s="237" t="s">
        <v>21</v>
      </c>
      <c r="G41" s="237" t="s">
        <v>21</v>
      </c>
      <c r="H41" s="237" t="s">
        <v>5247</v>
      </c>
      <c r="I41" s="237" t="s">
        <v>21</v>
      </c>
      <c r="J41" s="237" t="s">
        <v>5248</v>
      </c>
      <c r="K41" s="240" t="str">
        <f>IF(COUNTIF(L41:AY41,"&lt;&gt;")=0,"",SUMPRODUCT(((Recommendations[ImplStatus]="Implemented")+(Recommendations[ImplStatus]="Compensated"))*ISNUMBER(MATCH(Recommendations[Id],L41:AY41,0)))/COUNTIF(L41:AY41,"&lt;&gt;"))</f>
        <v/>
      </c>
      <c r="L41" s="243"/>
      <c r="M41" s="243"/>
      <c r="N41" s="243"/>
      <c r="O41" s="243"/>
      <c r="P41" s="243"/>
      <c r="Q41" s="243"/>
      <c r="R41" s="243"/>
      <c r="S41" s="243"/>
      <c r="T41" s="243"/>
      <c r="U41" s="243"/>
      <c r="V41" s="243"/>
      <c r="W41" s="243"/>
      <c r="X41" s="243"/>
      <c r="Y41" s="243"/>
      <c r="Z41" s="243"/>
      <c r="AA41" s="243"/>
      <c r="AB41" s="243"/>
      <c r="AC41" s="243"/>
      <c r="AD41" s="243"/>
      <c r="AE41" s="243"/>
      <c r="AF41" s="243"/>
      <c r="AG41" s="243"/>
      <c r="AH41" s="243"/>
      <c r="AI41" s="243"/>
      <c r="AJ41" s="243"/>
      <c r="AK41" s="243"/>
      <c r="AL41" s="243"/>
      <c r="AM41" s="243"/>
      <c r="AN41" s="243"/>
      <c r="AO41" s="243"/>
      <c r="AP41" s="243"/>
      <c r="AQ41" s="243"/>
      <c r="AR41" s="243"/>
      <c r="AS41" s="243"/>
      <c r="AT41" s="243"/>
      <c r="AU41" s="243"/>
      <c r="AV41" s="243"/>
      <c r="AW41" s="243"/>
      <c r="AX41" s="243"/>
      <c r="AY41" s="253"/>
    </row>
    <row r="42" spans="1:51" ht="60" customHeight="1" outlineLevel="1" x14ac:dyDescent="0.35">
      <c r="A42" s="247" t="s">
        <v>5249</v>
      </c>
      <c r="B42" s="235" t="s">
        <v>5250</v>
      </c>
      <c r="C42" s="235"/>
      <c r="D42" s="235"/>
      <c r="E42" s="235"/>
      <c r="F42" s="235"/>
      <c r="G42" s="235"/>
      <c r="H42" s="235"/>
      <c r="I42" s="235"/>
      <c r="J42" s="235"/>
      <c r="K42" s="238" t="str">
        <f>IF(COUNTIF(L42:AY42,"&lt;&gt;")=0,"",SUMPRODUCT(((Recommendations[ImplStatus]="Implemented")+(Recommendations[ImplStatus]="Compensated"))*ISNUMBER(MATCH(Recommendations[Id],L42:AY42,0)))/COUNTIF(L42:AY42,"&lt;&gt;"))</f>
        <v/>
      </c>
      <c r="L42" s="241"/>
      <c r="M42" s="241"/>
      <c r="N42" s="241"/>
      <c r="O42" s="241"/>
      <c r="P42" s="241"/>
      <c r="Q42" s="241"/>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51"/>
    </row>
    <row r="43" spans="1:51" ht="60" customHeight="1" outlineLevel="1" x14ac:dyDescent="0.35">
      <c r="A43" s="248" t="s">
        <v>2323</v>
      </c>
      <c r="B43" s="236" t="s">
        <v>5251</v>
      </c>
      <c r="C43" s="236"/>
      <c r="D43" s="236"/>
      <c r="E43" s="236"/>
      <c r="F43" s="236"/>
      <c r="G43" s="236"/>
      <c r="H43" s="236"/>
      <c r="I43" s="236"/>
      <c r="J43" s="236"/>
      <c r="K43" s="239" t="str">
        <f>IF(COUNTIF(L43:AY43,"&lt;&gt;")=0,"",SUMPRODUCT(((Recommendations[ImplStatus]="Implemented")+(Recommendations[ImplStatus]="Compensated"))*ISNUMBER(MATCH(Recommendations[Id],L43:AY43,0)))/COUNTIF(L43:AY43,"&lt;&gt;"))</f>
        <v/>
      </c>
      <c r="L43" s="242"/>
      <c r="M43" s="242"/>
      <c r="N43" s="242"/>
      <c r="O43" s="242"/>
      <c r="P43" s="242"/>
      <c r="Q43" s="242"/>
      <c r="R43" s="242"/>
      <c r="S43" s="242"/>
      <c r="T43" s="242"/>
      <c r="U43" s="242"/>
      <c r="V43" s="242"/>
      <c r="W43" s="242"/>
      <c r="X43" s="242"/>
      <c r="Y43" s="242"/>
      <c r="Z43" s="242"/>
      <c r="AA43" s="242"/>
      <c r="AB43" s="242"/>
      <c r="AC43" s="242"/>
      <c r="AD43" s="242"/>
      <c r="AE43" s="242"/>
      <c r="AF43" s="242"/>
      <c r="AG43" s="242"/>
      <c r="AH43" s="242"/>
      <c r="AI43" s="242"/>
      <c r="AJ43" s="242"/>
      <c r="AK43" s="242"/>
      <c r="AL43" s="242"/>
      <c r="AM43" s="242"/>
      <c r="AN43" s="242"/>
      <c r="AO43" s="242"/>
      <c r="AP43" s="242"/>
      <c r="AQ43" s="242"/>
      <c r="AR43" s="242"/>
      <c r="AS43" s="242"/>
      <c r="AT43" s="242"/>
      <c r="AU43" s="242"/>
      <c r="AV43" s="242"/>
      <c r="AW43" s="242"/>
      <c r="AX43" s="242"/>
      <c r="AY43" s="252"/>
    </row>
    <row r="44" spans="1:51" ht="60" customHeight="1" x14ac:dyDescent="0.35">
      <c r="A44" s="249" t="s">
        <v>5252</v>
      </c>
      <c r="B44" s="237" t="s">
        <v>5253</v>
      </c>
      <c r="C44" s="237" t="s">
        <v>5254</v>
      </c>
      <c r="D44" s="237" t="s">
        <v>5255</v>
      </c>
      <c r="E44" s="237" t="s">
        <v>5041</v>
      </c>
      <c r="F44" s="237" t="s">
        <v>21</v>
      </c>
      <c r="G44" s="237" t="s">
        <v>21</v>
      </c>
      <c r="H44" s="237" t="s">
        <v>5256</v>
      </c>
      <c r="I44" s="237" t="s">
        <v>21</v>
      </c>
      <c r="J44" s="237" t="s">
        <v>5257</v>
      </c>
      <c r="K44" s="240" t="str">
        <f>IF(COUNTIF(L44:AY44,"&lt;&gt;")=0,"",SUMPRODUCT(((Recommendations[ImplStatus]="Implemented")+(Recommendations[ImplStatus]="Compensated"))*ISNUMBER(MATCH(Recommendations[Id],L44:AY44,0)))/COUNTIF(L44:AY44,"&lt;&gt;"))</f>
        <v/>
      </c>
      <c r="L44" s="243"/>
      <c r="M44" s="243"/>
      <c r="N44" s="243"/>
      <c r="O44" s="243"/>
      <c r="P44" s="243"/>
      <c r="Q44" s="243"/>
      <c r="R44" s="243"/>
      <c r="S44" s="243"/>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c r="AW44" s="243"/>
      <c r="AX44" s="243"/>
      <c r="AY44" s="253"/>
    </row>
    <row r="45" spans="1:51" ht="60" customHeight="1" x14ac:dyDescent="0.35">
      <c r="A45" s="249" t="s">
        <v>5258</v>
      </c>
      <c r="B45" s="237" t="s">
        <v>5259</v>
      </c>
      <c r="C45" s="237" t="s">
        <v>5260</v>
      </c>
      <c r="D45" s="237" t="s">
        <v>5047</v>
      </c>
      <c r="E45" s="237" t="s">
        <v>21</v>
      </c>
      <c r="F45" s="237" t="s">
        <v>5049</v>
      </c>
      <c r="G45" s="237" t="s">
        <v>21</v>
      </c>
      <c r="H45" s="237" t="s">
        <v>5261</v>
      </c>
      <c r="I45" s="237" t="s">
        <v>21</v>
      </c>
      <c r="J45" s="237" t="s">
        <v>5262</v>
      </c>
      <c r="K45" s="240" t="str">
        <f>IF(COUNTIF(L45:AY45,"&lt;&gt;")=0,"",SUMPRODUCT(((Recommendations[ImplStatus]="Implemented")+(Recommendations[ImplStatus]="Compensated"))*ISNUMBER(MATCH(Recommendations[Id],L45:AY45,0)))/COUNTIF(L45:AY45,"&lt;&gt;"))</f>
        <v/>
      </c>
      <c r="L45" s="243"/>
      <c r="M45" s="243"/>
      <c r="N45" s="243"/>
      <c r="O45" s="243"/>
      <c r="P45" s="243"/>
      <c r="Q45" s="243"/>
      <c r="R45" s="243"/>
      <c r="S45" s="243"/>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c r="AW45" s="243"/>
      <c r="AX45" s="243"/>
      <c r="AY45" s="253"/>
    </row>
    <row r="46" spans="1:51" ht="60" customHeight="1" outlineLevel="1" x14ac:dyDescent="0.35">
      <c r="A46" s="248" t="s">
        <v>2329</v>
      </c>
      <c r="B46" s="236" t="s">
        <v>5263</v>
      </c>
      <c r="C46" s="236"/>
      <c r="D46" s="236"/>
      <c r="E46" s="236"/>
      <c r="F46" s="236"/>
      <c r="G46" s="236"/>
      <c r="H46" s="236"/>
      <c r="I46" s="236"/>
      <c r="J46" s="236"/>
      <c r="K46" s="239" t="str">
        <f>IF(COUNTIF(L46:AY46,"&lt;&gt;")=0,"",SUMPRODUCT(((Recommendations[ImplStatus]="Implemented")+(Recommendations[ImplStatus]="Compensated"))*ISNUMBER(MATCH(Recommendations[Id],L46:AY46,0)))/COUNTIF(L46:AY46,"&lt;&gt;"))</f>
        <v/>
      </c>
      <c r="L46" s="242"/>
      <c r="M46" s="242"/>
      <c r="N46" s="242"/>
      <c r="O46" s="242"/>
      <c r="P46" s="242"/>
      <c r="Q46" s="242"/>
      <c r="R46" s="242"/>
      <c r="S46" s="242"/>
      <c r="T46" s="242"/>
      <c r="U46" s="242"/>
      <c r="V46" s="242"/>
      <c r="W46" s="242"/>
      <c r="X46" s="242"/>
      <c r="Y46" s="242"/>
      <c r="Z46" s="242"/>
      <c r="AA46" s="242"/>
      <c r="AB46" s="242"/>
      <c r="AC46" s="242"/>
      <c r="AD46" s="242"/>
      <c r="AE46" s="242"/>
      <c r="AF46" s="242"/>
      <c r="AG46" s="242"/>
      <c r="AH46" s="242"/>
      <c r="AI46" s="242"/>
      <c r="AJ46" s="242"/>
      <c r="AK46" s="242"/>
      <c r="AL46" s="242"/>
      <c r="AM46" s="242"/>
      <c r="AN46" s="242"/>
      <c r="AO46" s="242"/>
      <c r="AP46" s="242"/>
      <c r="AQ46" s="242"/>
      <c r="AR46" s="242"/>
      <c r="AS46" s="242"/>
      <c r="AT46" s="242"/>
      <c r="AU46" s="242"/>
      <c r="AV46" s="242"/>
      <c r="AW46" s="242"/>
      <c r="AX46" s="242"/>
      <c r="AY46" s="252"/>
    </row>
    <row r="47" spans="1:51" ht="60" customHeight="1" x14ac:dyDescent="0.35">
      <c r="A47" s="249" t="s">
        <v>5264</v>
      </c>
      <c r="B47" s="237" t="s">
        <v>5265</v>
      </c>
      <c r="C47" s="237" t="s">
        <v>5266</v>
      </c>
      <c r="D47" s="237" t="s">
        <v>5267</v>
      </c>
      <c r="E47" s="237" t="s">
        <v>21</v>
      </c>
      <c r="F47" s="237" t="s">
        <v>5268</v>
      </c>
      <c r="G47" s="237" t="s">
        <v>5269</v>
      </c>
      <c r="H47" s="237" t="s">
        <v>5270</v>
      </c>
      <c r="I47" s="237" t="s">
        <v>5271</v>
      </c>
      <c r="J47" s="237" t="s">
        <v>5272</v>
      </c>
      <c r="K47" s="240" t="str">
        <f>IF(COUNTIF(L47:AY47,"&lt;&gt;")=0,"",SUMPRODUCT(((Recommendations[ImplStatus]="Implemented")+(Recommendations[ImplStatus]="Compensated"))*ISNUMBER(MATCH(Recommendations[Id],L47:AY47,0)))/COUNTIF(L47:AY47,"&lt;&gt;"))</f>
        <v/>
      </c>
      <c r="L47" s="243"/>
      <c r="M47" s="243"/>
      <c r="N47" s="243"/>
      <c r="O47" s="243"/>
      <c r="P47" s="243"/>
      <c r="Q47" s="243"/>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53"/>
    </row>
    <row r="48" spans="1:51" ht="60" customHeight="1" outlineLevel="1" x14ac:dyDescent="0.35">
      <c r="A48" s="248" t="s">
        <v>2333</v>
      </c>
      <c r="B48" s="236" t="s">
        <v>5273</v>
      </c>
      <c r="C48" s="236"/>
      <c r="D48" s="236"/>
      <c r="E48" s="236"/>
      <c r="F48" s="236"/>
      <c r="G48" s="236"/>
      <c r="H48" s="236"/>
      <c r="I48" s="236"/>
      <c r="J48" s="236"/>
      <c r="K48" s="239" t="str">
        <f>IF(COUNTIF(L48:AY48,"&lt;&gt;")=0,"",SUMPRODUCT(((Recommendations[ImplStatus]="Implemented")+(Recommendations[ImplStatus]="Compensated"))*ISNUMBER(MATCH(Recommendations[Id],L48:AY48,0)))/COUNTIF(L48:AY48,"&lt;&gt;"))</f>
        <v/>
      </c>
      <c r="L48" s="242"/>
      <c r="M48" s="242"/>
      <c r="N48" s="242"/>
      <c r="O48" s="242"/>
      <c r="P48" s="242"/>
      <c r="Q48" s="242"/>
      <c r="R48" s="242"/>
      <c r="S48" s="242"/>
      <c r="T48" s="242"/>
      <c r="U48" s="242"/>
      <c r="V48" s="242"/>
      <c r="W48" s="242"/>
      <c r="X48" s="242"/>
      <c r="Y48" s="242"/>
      <c r="Z48" s="242"/>
      <c r="AA48" s="242"/>
      <c r="AB48" s="242"/>
      <c r="AC48" s="242"/>
      <c r="AD48" s="242"/>
      <c r="AE48" s="242"/>
      <c r="AF48" s="242"/>
      <c r="AG48" s="242"/>
      <c r="AH48" s="242"/>
      <c r="AI48" s="242"/>
      <c r="AJ48" s="242"/>
      <c r="AK48" s="242"/>
      <c r="AL48" s="242"/>
      <c r="AM48" s="242"/>
      <c r="AN48" s="242"/>
      <c r="AO48" s="242"/>
      <c r="AP48" s="242"/>
      <c r="AQ48" s="242"/>
      <c r="AR48" s="242"/>
      <c r="AS48" s="242"/>
      <c r="AT48" s="242"/>
      <c r="AU48" s="242"/>
      <c r="AV48" s="242"/>
      <c r="AW48" s="242"/>
      <c r="AX48" s="242"/>
      <c r="AY48" s="252"/>
    </row>
    <row r="49" spans="1:51" ht="60" customHeight="1" x14ac:dyDescent="0.35">
      <c r="A49" s="249" t="s">
        <v>5274</v>
      </c>
      <c r="B49" s="237" t="s">
        <v>5275</v>
      </c>
      <c r="C49" s="237" t="s">
        <v>5276</v>
      </c>
      <c r="D49" s="237" t="s">
        <v>5277</v>
      </c>
      <c r="E49" s="237" t="s">
        <v>5278</v>
      </c>
      <c r="F49" s="237" t="s">
        <v>21</v>
      </c>
      <c r="G49" s="237" t="s">
        <v>21</v>
      </c>
      <c r="H49" s="237" t="s">
        <v>5279</v>
      </c>
      <c r="I49" s="237" t="s">
        <v>5280</v>
      </c>
      <c r="J49" s="237" t="s">
        <v>5281</v>
      </c>
      <c r="K49" s="240" t="str">
        <f>IF(COUNTIF(L49:AY49,"&lt;&gt;")=0,"",SUMPRODUCT(((Recommendations[ImplStatus]="Implemented")+(Recommendations[ImplStatus]="Compensated"))*ISNUMBER(MATCH(Recommendations[Id],L49:AY49,0)))/COUNTIF(L49:AY49,"&lt;&gt;"))</f>
        <v/>
      </c>
      <c r="L49" s="243"/>
      <c r="M49" s="243"/>
      <c r="N49" s="243"/>
      <c r="O49" s="243"/>
      <c r="P49" s="243"/>
      <c r="Q49" s="243"/>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53"/>
    </row>
    <row r="50" spans="1:51" ht="60" customHeight="1" x14ac:dyDescent="0.35">
      <c r="A50" s="249" t="s">
        <v>5282</v>
      </c>
      <c r="B50" s="237" t="s">
        <v>5283</v>
      </c>
      <c r="C50" s="237" t="s">
        <v>5284</v>
      </c>
      <c r="D50" s="237" t="s">
        <v>21</v>
      </c>
      <c r="E50" s="237" t="s">
        <v>5285</v>
      </c>
      <c r="F50" s="237" t="s">
        <v>5286</v>
      </c>
      <c r="G50" s="237" t="s">
        <v>21</v>
      </c>
      <c r="H50" s="237" t="s">
        <v>5279</v>
      </c>
      <c r="I50" s="237" t="s">
        <v>5287</v>
      </c>
      <c r="J50" s="237" t="s">
        <v>5288</v>
      </c>
      <c r="K50" s="240" t="str">
        <f>IF(COUNTIF(L50:AY50,"&lt;&gt;")=0,"",SUMPRODUCT(((Recommendations[ImplStatus]="Implemented")+(Recommendations[ImplStatus]="Compensated"))*ISNUMBER(MATCH(Recommendations[Id],L50:AY50,0)))/COUNTIF(L50:AY50,"&lt;&gt;"))</f>
        <v/>
      </c>
      <c r="L50" s="243"/>
      <c r="M50" s="243"/>
      <c r="N50" s="243"/>
      <c r="O50" s="243"/>
      <c r="P50" s="243"/>
      <c r="Q50" s="243"/>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53"/>
    </row>
    <row r="51" spans="1:51" ht="60" customHeight="1" x14ac:dyDescent="0.35">
      <c r="A51" s="249" t="s">
        <v>5289</v>
      </c>
      <c r="B51" s="237" t="s">
        <v>5290</v>
      </c>
      <c r="C51" s="237" t="s">
        <v>5291</v>
      </c>
      <c r="D51" s="237" t="s">
        <v>21</v>
      </c>
      <c r="E51" s="237" t="s">
        <v>21</v>
      </c>
      <c r="F51" s="237" t="s">
        <v>5292</v>
      </c>
      <c r="G51" s="237" t="s">
        <v>21</v>
      </c>
      <c r="H51" s="237" t="s">
        <v>5279</v>
      </c>
      <c r="I51" s="237" t="s">
        <v>5293</v>
      </c>
      <c r="J51" s="237" t="s">
        <v>5294</v>
      </c>
      <c r="K51" s="240" t="str">
        <f>IF(COUNTIF(L51:AY51,"&lt;&gt;")=0,"",SUMPRODUCT(((Recommendations[ImplStatus]="Implemented")+(Recommendations[ImplStatus]="Compensated"))*ISNUMBER(MATCH(Recommendations[Id],L51:AY51,0)))/COUNTIF(L51:AY51,"&lt;&gt;"))</f>
        <v/>
      </c>
      <c r="L51" s="243"/>
      <c r="M51" s="243"/>
      <c r="N51" s="243"/>
      <c r="O51" s="243"/>
      <c r="P51" s="243"/>
      <c r="Q51" s="243"/>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53"/>
    </row>
    <row r="52" spans="1:51" ht="60" customHeight="1" x14ac:dyDescent="0.35">
      <c r="A52" s="249" t="s">
        <v>5295</v>
      </c>
      <c r="B52" s="237" t="s">
        <v>5296</v>
      </c>
      <c r="C52" s="237" t="s">
        <v>5297</v>
      </c>
      <c r="D52" s="237" t="s">
        <v>21</v>
      </c>
      <c r="E52" s="237" t="s">
        <v>21</v>
      </c>
      <c r="F52" s="237" t="s">
        <v>5298</v>
      </c>
      <c r="G52" s="237" t="s">
        <v>21</v>
      </c>
      <c r="H52" s="237" t="s">
        <v>5279</v>
      </c>
      <c r="I52" s="237" t="s">
        <v>5299</v>
      </c>
      <c r="J52" s="237" t="s">
        <v>5300</v>
      </c>
      <c r="K52" s="240" t="str">
        <f>IF(COUNTIF(L52:AY52,"&lt;&gt;")=0,"",SUMPRODUCT(((Recommendations[ImplStatus]="Implemented")+(Recommendations[ImplStatus]="Compensated"))*ISNUMBER(MATCH(Recommendations[Id],L52:AY52,0)))/COUNTIF(L52:AY52,"&lt;&gt;"))</f>
        <v/>
      </c>
      <c r="L52" s="243"/>
      <c r="M52" s="243"/>
      <c r="N52" s="243"/>
      <c r="O52" s="243"/>
      <c r="P52" s="243"/>
      <c r="Q52" s="243"/>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53"/>
    </row>
    <row r="53" spans="1:51" ht="60" customHeight="1" x14ac:dyDescent="0.35">
      <c r="A53" s="249" t="s">
        <v>5301</v>
      </c>
      <c r="B53" s="237" t="s">
        <v>5302</v>
      </c>
      <c r="C53" s="237" t="s">
        <v>5303</v>
      </c>
      <c r="D53" s="237" t="s">
        <v>5304</v>
      </c>
      <c r="E53" s="237" t="s">
        <v>5305</v>
      </c>
      <c r="F53" s="237" t="s">
        <v>21</v>
      </c>
      <c r="G53" s="237" t="s">
        <v>21</v>
      </c>
      <c r="H53" s="237" t="s">
        <v>5306</v>
      </c>
      <c r="I53" s="237" t="s">
        <v>21</v>
      </c>
      <c r="J53" s="237" t="s">
        <v>5307</v>
      </c>
      <c r="K53" s="240" t="str">
        <f>IF(COUNTIF(L53:AY53,"&lt;&gt;")=0,"",SUMPRODUCT(((Recommendations[ImplStatus]="Implemented")+(Recommendations[ImplStatus]="Compensated"))*ISNUMBER(MATCH(Recommendations[Id],L53:AY53,0)))/COUNTIF(L53:AY53,"&lt;&gt;"))</f>
        <v/>
      </c>
      <c r="L53" s="243"/>
      <c r="M53" s="243"/>
      <c r="N53" s="243"/>
      <c r="O53" s="243"/>
      <c r="P53" s="243"/>
      <c r="Q53" s="243"/>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53"/>
    </row>
    <row r="54" spans="1:51" ht="60" customHeight="1" x14ac:dyDescent="0.35">
      <c r="A54" s="249" t="s">
        <v>5308</v>
      </c>
      <c r="B54" s="237" t="s">
        <v>5309</v>
      </c>
      <c r="C54" s="237" t="s">
        <v>5303</v>
      </c>
      <c r="D54" s="237" t="s">
        <v>5304</v>
      </c>
      <c r="E54" s="237" t="s">
        <v>21</v>
      </c>
      <c r="F54" s="237" t="s">
        <v>21</v>
      </c>
      <c r="G54" s="237" t="s">
        <v>21</v>
      </c>
      <c r="H54" s="237" t="s">
        <v>5310</v>
      </c>
      <c r="I54" s="237" t="s">
        <v>5311</v>
      </c>
      <c r="J54" s="237" t="s">
        <v>5312</v>
      </c>
      <c r="K54" s="240" t="str">
        <f>IF(COUNTIF(L54:AY54,"&lt;&gt;")=0,"",SUMPRODUCT(((Recommendations[ImplStatus]="Implemented")+(Recommendations[ImplStatus]="Compensated"))*ISNUMBER(MATCH(Recommendations[Id],L54:AY54,0)))/COUNTIF(L54:AY54,"&lt;&gt;"))</f>
        <v/>
      </c>
      <c r="L54" s="243"/>
      <c r="M54" s="243"/>
      <c r="N54" s="243"/>
      <c r="O54" s="243"/>
      <c r="P54" s="243"/>
      <c r="Q54" s="243"/>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53"/>
    </row>
    <row r="55" spans="1:51" ht="60" customHeight="1" outlineLevel="1" x14ac:dyDescent="0.35">
      <c r="A55" s="248" t="s">
        <v>2337</v>
      </c>
      <c r="B55" s="236" t="s">
        <v>5313</v>
      </c>
      <c r="C55" s="236"/>
      <c r="D55" s="236"/>
      <c r="E55" s="236"/>
      <c r="F55" s="236"/>
      <c r="G55" s="236"/>
      <c r="H55" s="236"/>
      <c r="I55" s="236"/>
      <c r="J55" s="236"/>
      <c r="K55" s="239" t="str">
        <f>IF(COUNTIF(L55:AY55,"&lt;&gt;")=0,"",SUMPRODUCT(((Recommendations[ImplStatus]="Implemented")+(Recommendations[ImplStatus]="Compensated"))*ISNUMBER(MATCH(Recommendations[Id],L55:AY55,0)))/COUNTIF(L55:AY55,"&lt;&gt;"))</f>
        <v/>
      </c>
      <c r="L55" s="242"/>
      <c r="M55" s="242"/>
      <c r="N55" s="242"/>
      <c r="O55" s="242"/>
      <c r="P55" s="242"/>
      <c r="Q55" s="242"/>
      <c r="R55" s="242"/>
      <c r="S55" s="242"/>
      <c r="T55" s="242"/>
      <c r="U55" s="242"/>
      <c r="V55" s="242"/>
      <c r="W55" s="242"/>
      <c r="X55" s="242"/>
      <c r="Y55" s="242"/>
      <c r="Z55" s="242"/>
      <c r="AA55" s="242"/>
      <c r="AB55" s="242"/>
      <c r="AC55" s="242"/>
      <c r="AD55" s="242"/>
      <c r="AE55" s="242"/>
      <c r="AF55" s="242"/>
      <c r="AG55" s="242"/>
      <c r="AH55" s="242"/>
      <c r="AI55" s="242"/>
      <c r="AJ55" s="242"/>
      <c r="AK55" s="242"/>
      <c r="AL55" s="242"/>
      <c r="AM55" s="242"/>
      <c r="AN55" s="242"/>
      <c r="AO55" s="242"/>
      <c r="AP55" s="242"/>
      <c r="AQ55" s="242"/>
      <c r="AR55" s="242"/>
      <c r="AS55" s="242"/>
      <c r="AT55" s="242"/>
      <c r="AU55" s="242"/>
      <c r="AV55" s="242"/>
      <c r="AW55" s="242"/>
      <c r="AX55" s="242"/>
      <c r="AY55" s="252"/>
    </row>
    <row r="56" spans="1:51" ht="60" customHeight="1" x14ac:dyDescent="0.35">
      <c r="A56" s="249" t="s">
        <v>5314</v>
      </c>
      <c r="B56" s="237" t="s">
        <v>5315</v>
      </c>
      <c r="C56" s="237" t="s">
        <v>5316</v>
      </c>
      <c r="D56" s="237" t="s">
        <v>5317</v>
      </c>
      <c r="E56" s="237" t="s">
        <v>5318</v>
      </c>
      <c r="F56" s="237" t="s">
        <v>21</v>
      </c>
      <c r="G56" s="237" t="s">
        <v>5319</v>
      </c>
      <c r="H56" s="237" t="s">
        <v>21</v>
      </c>
      <c r="I56" s="237" t="s">
        <v>21</v>
      </c>
      <c r="J56" s="237" t="s">
        <v>5320</v>
      </c>
      <c r="K56" s="240" t="str">
        <f>IF(COUNTIF(L56:AY56,"&lt;&gt;")=0,"",SUMPRODUCT(((Recommendations[ImplStatus]="Implemented")+(Recommendations[ImplStatus]="Compensated"))*ISNUMBER(MATCH(Recommendations[Id],L56:AY56,0)))/COUNTIF(L56:AY56,"&lt;&gt;"))</f>
        <v/>
      </c>
      <c r="L56" s="243"/>
      <c r="M56" s="243"/>
      <c r="N56" s="243"/>
      <c r="O56" s="243"/>
      <c r="P56" s="243"/>
      <c r="Q56" s="243"/>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53"/>
    </row>
    <row r="57" spans="1:51" ht="60" customHeight="1" x14ac:dyDescent="0.35">
      <c r="A57" s="249" t="s">
        <v>5321</v>
      </c>
      <c r="B57" s="237" t="s">
        <v>5322</v>
      </c>
      <c r="C57" s="237" t="s">
        <v>5323</v>
      </c>
      <c r="D57" s="237" t="s">
        <v>5324</v>
      </c>
      <c r="E57" s="237" t="s">
        <v>5325</v>
      </c>
      <c r="F57" s="237" t="s">
        <v>21</v>
      </c>
      <c r="G57" s="237" t="s">
        <v>5326</v>
      </c>
      <c r="H57" s="237" t="s">
        <v>5327</v>
      </c>
      <c r="I57" s="237" t="s">
        <v>21</v>
      </c>
      <c r="J57" s="237" t="s">
        <v>5328</v>
      </c>
      <c r="K57" s="240" t="str">
        <f>IF(COUNTIF(L57:AY57,"&lt;&gt;")=0,"",SUMPRODUCT(((Recommendations[ImplStatus]="Implemented")+(Recommendations[ImplStatus]="Compensated"))*ISNUMBER(MATCH(Recommendations[Id],L57:AY57,0)))/COUNTIF(L57:AY57,"&lt;&gt;"))</f>
        <v/>
      </c>
      <c r="L57" s="243"/>
      <c r="M57" s="243"/>
      <c r="N57" s="243"/>
      <c r="O57" s="243"/>
      <c r="P57" s="243"/>
      <c r="Q57" s="243"/>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53"/>
    </row>
    <row r="58" spans="1:51" ht="60" customHeight="1" outlineLevel="1" x14ac:dyDescent="0.35">
      <c r="A58" s="248" t="s">
        <v>2341</v>
      </c>
      <c r="B58" s="236" t="s">
        <v>5329</v>
      </c>
      <c r="C58" s="236"/>
      <c r="D58" s="236"/>
      <c r="E58" s="236"/>
      <c r="F58" s="236"/>
      <c r="G58" s="236"/>
      <c r="H58" s="236"/>
      <c r="I58" s="236"/>
      <c r="J58" s="236"/>
      <c r="K58" s="239" t="str">
        <f>IF(COUNTIF(L58:AY58,"&lt;&gt;")=0,"",SUMPRODUCT(((Recommendations[ImplStatus]="Implemented")+(Recommendations[ImplStatus]="Compensated"))*ISNUMBER(MATCH(Recommendations[Id],L58:AY58,0)))/COUNTIF(L58:AY58,"&lt;&gt;"))</f>
        <v/>
      </c>
      <c r="L58" s="242"/>
      <c r="M58" s="242"/>
      <c r="N58" s="242"/>
      <c r="O58" s="242"/>
      <c r="P58" s="242"/>
      <c r="Q58" s="242"/>
      <c r="R58" s="242"/>
      <c r="S58" s="242"/>
      <c r="T58" s="242"/>
      <c r="U58" s="242"/>
      <c r="V58" s="242"/>
      <c r="W58" s="242"/>
      <c r="X58" s="242"/>
      <c r="Y58" s="242"/>
      <c r="Z58" s="242"/>
      <c r="AA58" s="242"/>
      <c r="AB58" s="242"/>
      <c r="AC58" s="242"/>
      <c r="AD58" s="242"/>
      <c r="AE58" s="242"/>
      <c r="AF58" s="242"/>
      <c r="AG58" s="242"/>
      <c r="AH58" s="242"/>
      <c r="AI58" s="242"/>
      <c r="AJ58" s="242"/>
      <c r="AK58" s="242"/>
      <c r="AL58" s="242"/>
      <c r="AM58" s="242"/>
      <c r="AN58" s="242"/>
      <c r="AO58" s="242"/>
      <c r="AP58" s="242"/>
      <c r="AQ58" s="242"/>
      <c r="AR58" s="242"/>
      <c r="AS58" s="242"/>
      <c r="AT58" s="242"/>
      <c r="AU58" s="242"/>
      <c r="AV58" s="242"/>
      <c r="AW58" s="242"/>
      <c r="AX58" s="242"/>
      <c r="AY58" s="252"/>
    </row>
    <row r="59" spans="1:51" ht="60" customHeight="1" x14ac:dyDescent="0.35">
      <c r="A59" s="249" t="s">
        <v>5330</v>
      </c>
      <c r="B59" s="237" t="s">
        <v>5331</v>
      </c>
      <c r="C59" s="237" t="s">
        <v>5332</v>
      </c>
      <c r="D59" s="237" t="s">
        <v>5333</v>
      </c>
      <c r="E59" s="237" t="s">
        <v>21</v>
      </c>
      <c r="F59" s="237" t="s">
        <v>21</v>
      </c>
      <c r="G59" s="237" t="s">
        <v>5334</v>
      </c>
      <c r="H59" s="237" t="s">
        <v>5335</v>
      </c>
      <c r="I59" s="237" t="s">
        <v>5336</v>
      </c>
      <c r="J59" s="237" t="s">
        <v>5337</v>
      </c>
      <c r="K59" s="240" t="str">
        <f>IF(COUNTIF(L59:AY59,"&lt;&gt;")=0,"",SUMPRODUCT(((Recommendations[ImplStatus]="Implemented")+(Recommendations[ImplStatus]="Compensated"))*ISNUMBER(MATCH(Recommendations[Id],L59:AY59,0)))/COUNTIF(L59:AY59,"&lt;&gt;"))</f>
        <v/>
      </c>
      <c r="L59" s="243"/>
      <c r="M59" s="243"/>
      <c r="N59" s="243"/>
      <c r="O59" s="243"/>
      <c r="P59" s="243"/>
      <c r="Q59" s="243"/>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53"/>
    </row>
    <row r="60" spans="1:51" ht="60" customHeight="1" x14ac:dyDescent="0.35">
      <c r="A60" s="249" t="s">
        <v>5338</v>
      </c>
      <c r="B60" s="237" t="s">
        <v>5339</v>
      </c>
      <c r="C60" s="237" t="s">
        <v>5340</v>
      </c>
      <c r="D60" s="237" t="s">
        <v>21</v>
      </c>
      <c r="E60" s="237" t="s">
        <v>5341</v>
      </c>
      <c r="F60" s="237" t="s">
        <v>5342</v>
      </c>
      <c r="G60" s="237" t="s">
        <v>21</v>
      </c>
      <c r="H60" s="237" t="s">
        <v>5343</v>
      </c>
      <c r="I60" s="237" t="s">
        <v>5344</v>
      </c>
      <c r="J60" s="237" t="s">
        <v>5345</v>
      </c>
      <c r="K60" s="240" t="str">
        <f>IF(COUNTIF(L60:AY60,"&lt;&gt;")=0,"",SUMPRODUCT(((Recommendations[ImplStatus]="Implemented")+(Recommendations[ImplStatus]="Compensated"))*ISNUMBER(MATCH(Recommendations[Id],L60:AY60,0)))/COUNTIF(L60:AY60,"&lt;&gt;"))</f>
        <v/>
      </c>
      <c r="L60" s="243"/>
      <c r="M60" s="243"/>
      <c r="N60" s="243"/>
      <c r="O60" s="243"/>
      <c r="P60" s="243"/>
      <c r="Q60" s="243"/>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53"/>
    </row>
    <row r="61" spans="1:51" ht="60" customHeight="1" x14ac:dyDescent="0.35">
      <c r="A61" s="249" t="s">
        <v>5346</v>
      </c>
      <c r="B61" s="237" t="s">
        <v>5347</v>
      </c>
      <c r="C61" s="237" t="s">
        <v>5348</v>
      </c>
      <c r="D61" s="237" t="s">
        <v>21</v>
      </c>
      <c r="E61" s="237" t="s">
        <v>21</v>
      </c>
      <c r="F61" s="237" t="s">
        <v>21</v>
      </c>
      <c r="G61" s="237" t="s">
        <v>5349</v>
      </c>
      <c r="H61" s="237" t="s">
        <v>5350</v>
      </c>
      <c r="I61" s="237" t="s">
        <v>5351</v>
      </c>
      <c r="J61" s="237" t="s">
        <v>5352</v>
      </c>
      <c r="K61" s="240" t="str">
        <f>IF(COUNTIF(L61:AY61,"&lt;&gt;")=0,"",SUMPRODUCT(((Recommendations[ImplStatus]="Implemented")+(Recommendations[ImplStatus]="Compensated"))*ISNUMBER(MATCH(Recommendations[Id],L61:AY61,0)))/COUNTIF(L61:AY61,"&lt;&gt;"))</f>
        <v/>
      </c>
      <c r="L61" s="243"/>
      <c r="M61" s="243"/>
      <c r="N61" s="243"/>
      <c r="O61" s="243"/>
      <c r="P61" s="243"/>
      <c r="Q61" s="243"/>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53"/>
    </row>
    <row r="62" spans="1:51" ht="60" customHeight="1" x14ac:dyDescent="0.35">
      <c r="A62" s="249" t="s">
        <v>5353</v>
      </c>
      <c r="B62" s="237" t="s">
        <v>5354</v>
      </c>
      <c r="C62" s="237" t="s">
        <v>5355</v>
      </c>
      <c r="D62" s="237" t="s">
        <v>5356</v>
      </c>
      <c r="E62" s="237" t="s">
        <v>21</v>
      </c>
      <c r="F62" s="237" t="s">
        <v>21</v>
      </c>
      <c r="G62" s="237" t="s">
        <v>21</v>
      </c>
      <c r="H62" s="237" t="s">
        <v>5357</v>
      </c>
      <c r="I62" s="237" t="s">
        <v>5358</v>
      </c>
      <c r="J62" s="237" t="s">
        <v>5359</v>
      </c>
      <c r="K62" s="240" t="str">
        <f>IF(COUNTIF(L62:AY62,"&lt;&gt;")=0,"",SUMPRODUCT(((Recommendations[ImplStatus]="Implemented")+(Recommendations[ImplStatus]="Compensated"))*ISNUMBER(MATCH(Recommendations[Id],L62:AY62,0)))/COUNTIF(L62:AY62,"&lt;&gt;"))</f>
        <v/>
      </c>
      <c r="L62" s="243"/>
      <c r="M62" s="243"/>
      <c r="N62" s="243"/>
      <c r="O62" s="243"/>
      <c r="P62" s="243"/>
      <c r="Q62" s="243"/>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53"/>
    </row>
    <row r="63" spans="1:51" ht="60" customHeight="1" outlineLevel="1" x14ac:dyDescent="0.35">
      <c r="A63" s="248" t="s">
        <v>2345</v>
      </c>
      <c r="B63" s="236" t="s">
        <v>5360</v>
      </c>
      <c r="C63" s="236"/>
      <c r="D63" s="236"/>
      <c r="E63" s="236"/>
      <c r="F63" s="236"/>
      <c r="G63" s="236"/>
      <c r="H63" s="236"/>
      <c r="I63" s="236"/>
      <c r="J63" s="236"/>
      <c r="K63" s="239" t="str">
        <f>IF(COUNTIF(L63:AY63,"&lt;&gt;")=0,"",SUMPRODUCT(((Recommendations[ImplStatus]="Implemented")+(Recommendations[ImplStatus]="Compensated"))*ISNUMBER(MATCH(Recommendations[Id],L63:AY63,0)))/COUNTIF(L63:AY63,"&lt;&gt;"))</f>
        <v/>
      </c>
      <c r="L63" s="242"/>
      <c r="M63" s="242"/>
      <c r="N63" s="242"/>
      <c r="O63" s="242"/>
      <c r="P63" s="242"/>
      <c r="Q63" s="242"/>
      <c r="R63" s="242"/>
      <c r="S63" s="242"/>
      <c r="T63" s="242"/>
      <c r="U63" s="242"/>
      <c r="V63" s="242"/>
      <c r="W63" s="242"/>
      <c r="X63" s="242"/>
      <c r="Y63" s="242"/>
      <c r="Z63" s="242"/>
      <c r="AA63" s="242"/>
      <c r="AB63" s="242"/>
      <c r="AC63" s="242"/>
      <c r="AD63" s="242"/>
      <c r="AE63" s="242"/>
      <c r="AF63" s="242"/>
      <c r="AG63" s="242"/>
      <c r="AH63" s="242"/>
      <c r="AI63" s="242"/>
      <c r="AJ63" s="242"/>
      <c r="AK63" s="242"/>
      <c r="AL63" s="242"/>
      <c r="AM63" s="242"/>
      <c r="AN63" s="242"/>
      <c r="AO63" s="242"/>
      <c r="AP63" s="242"/>
      <c r="AQ63" s="242"/>
      <c r="AR63" s="242"/>
      <c r="AS63" s="242"/>
      <c r="AT63" s="242"/>
      <c r="AU63" s="242"/>
      <c r="AV63" s="242"/>
      <c r="AW63" s="242"/>
      <c r="AX63" s="242"/>
      <c r="AY63" s="252"/>
    </row>
    <row r="64" spans="1:51" ht="60" customHeight="1" x14ac:dyDescent="0.35">
      <c r="A64" s="249" t="s">
        <v>5361</v>
      </c>
      <c r="B64" s="237" t="s">
        <v>5362</v>
      </c>
      <c r="C64" s="237" t="s">
        <v>5363</v>
      </c>
      <c r="D64" s="237" t="s">
        <v>5364</v>
      </c>
      <c r="E64" s="237" t="s">
        <v>21</v>
      </c>
      <c r="F64" s="237" t="s">
        <v>21</v>
      </c>
      <c r="G64" s="237" t="s">
        <v>5365</v>
      </c>
      <c r="H64" s="237" t="s">
        <v>5366</v>
      </c>
      <c r="I64" s="237" t="s">
        <v>5367</v>
      </c>
      <c r="J64" s="237" t="s">
        <v>5368</v>
      </c>
      <c r="K64" s="240" t="str">
        <f>IF(COUNTIF(L64:AY64,"&lt;&gt;")=0,"",SUMPRODUCT(((Recommendations[ImplStatus]="Implemented")+(Recommendations[ImplStatus]="Compensated"))*ISNUMBER(MATCH(Recommendations[Id],L64:AY64,0)))/COUNTIF(L64:AY64,"&lt;&gt;"))</f>
        <v/>
      </c>
      <c r="L64" s="243"/>
      <c r="M64" s="243"/>
      <c r="N64" s="243"/>
      <c r="O64" s="243"/>
      <c r="P64" s="243"/>
      <c r="Q64" s="243"/>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53"/>
    </row>
    <row r="65" spans="1:51" ht="60" customHeight="1" x14ac:dyDescent="0.35">
      <c r="A65" s="249" t="s">
        <v>5369</v>
      </c>
      <c r="B65" s="237" t="s">
        <v>5370</v>
      </c>
      <c r="C65" s="237" t="s">
        <v>5371</v>
      </c>
      <c r="D65" s="237" t="s">
        <v>5372</v>
      </c>
      <c r="E65" s="237" t="s">
        <v>21</v>
      </c>
      <c r="F65" s="237" t="s">
        <v>21</v>
      </c>
      <c r="G65" s="237" t="s">
        <v>21</v>
      </c>
      <c r="H65" s="237" t="s">
        <v>5373</v>
      </c>
      <c r="I65" s="237" t="s">
        <v>5374</v>
      </c>
      <c r="J65" s="237" t="s">
        <v>5375</v>
      </c>
      <c r="K65" s="240" t="str">
        <f>IF(COUNTIF(L65:AY65,"&lt;&gt;")=0,"",SUMPRODUCT(((Recommendations[ImplStatus]="Implemented")+(Recommendations[ImplStatus]="Compensated"))*ISNUMBER(MATCH(Recommendations[Id],L65:AY65,0)))/COUNTIF(L65:AY65,"&lt;&gt;"))</f>
        <v/>
      </c>
      <c r="L65" s="243"/>
      <c r="M65" s="243"/>
      <c r="N65" s="243"/>
      <c r="O65" s="243"/>
      <c r="P65" s="243"/>
      <c r="Q65" s="243"/>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53"/>
    </row>
    <row r="66" spans="1:51" ht="60" customHeight="1" x14ac:dyDescent="0.35">
      <c r="A66" s="249" t="s">
        <v>5376</v>
      </c>
      <c r="B66" s="237" t="s">
        <v>5377</v>
      </c>
      <c r="C66" s="237" t="s">
        <v>5378</v>
      </c>
      <c r="D66" s="237" t="s">
        <v>5379</v>
      </c>
      <c r="E66" s="237" t="s">
        <v>21</v>
      </c>
      <c r="F66" s="237" t="s">
        <v>21</v>
      </c>
      <c r="G66" s="237" t="s">
        <v>21</v>
      </c>
      <c r="H66" s="237" t="s">
        <v>5380</v>
      </c>
      <c r="I66" s="237" t="s">
        <v>5381</v>
      </c>
      <c r="J66" s="237" t="s">
        <v>5382</v>
      </c>
      <c r="K66" s="240" t="str">
        <f>IF(COUNTIF(L66:AY66,"&lt;&gt;")=0,"",SUMPRODUCT(((Recommendations[ImplStatus]="Implemented")+(Recommendations[ImplStatus]="Compensated"))*ISNUMBER(MATCH(Recommendations[Id],L66:AY66,0)))/COUNTIF(L66:AY66,"&lt;&gt;"))</f>
        <v/>
      </c>
      <c r="L66" s="243"/>
      <c r="M66" s="243"/>
      <c r="N66" s="243"/>
      <c r="O66" s="243"/>
      <c r="P66" s="243"/>
      <c r="Q66" s="243"/>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53"/>
    </row>
    <row r="67" spans="1:51" ht="60" customHeight="1" x14ac:dyDescent="0.35">
      <c r="A67" s="249" t="s">
        <v>5383</v>
      </c>
      <c r="B67" s="237" t="s">
        <v>5384</v>
      </c>
      <c r="C67" s="237" t="s">
        <v>5385</v>
      </c>
      <c r="D67" s="237" t="s">
        <v>5386</v>
      </c>
      <c r="E67" s="237" t="s">
        <v>21</v>
      </c>
      <c r="F67" s="237" t="s">
        <v>21</v>
      </c>
      <c r="G67" s="237" t="s">
        <v>21</v>
      </c>
      <c r="H67" s="237" t="s">
        <v>5387</v>
      </c>
      <c r="I67" s="237" t="s">
        <v>21</v>
      </c>
      <c r="J67" s="237" t="s">
        <v>5388</v>
      </c>
      <c r="K67" s="240" t="str">
        <f>IF(COUNTIF(L67:AY67,"&lt;&gt;")=0,"",SUMPRODUCT(((Recommendations[ImplStatus]="Implemented")+(Recommendations[ImplStatus]="Compensated"))*ISNUMBER(MATCH(Recommendations[Id],L67:AY67,0)))/COUNTIF(L67:AY67,"&lt;&gt;"))</f>
        <v/>
      </c>
      <c r="L67" s="243"/>
      <c r="M67" s="243"/>
      <c r="N67" s="243"/>
      <c r="O67" s="243"/>
      <c r="P67" s="243"/>
      <c r="Q67" s="243"/>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53"/>
    </row>
    <row r="68" spans="1:51" ht="60" customHeight="1" x14ac:dyDescent="0.35">
      <c r="A68" s="249" t="s">
        <v>5389</v>
      </c>
      <c r="B68" s="237" t="s">
        <v>5390</v>
      </c>
      <c r="C68" s="237" t="s">
        <v>5391</v>
      </c>
      <c r="D68" s="237" t="s">
        <v>21</v>
      </c>
      <c r="E68" s="237" t="s">
        <v>21</v>
      </c>
      <c r="F68" s="237" t="s">
        <v>21</v>
      </c>
      <c r="G68" s="237" t="s">
        <v>21</v>
      </c>
      <c r="H68" s="237" t="s">
        <v>5392</v>
      </c>
      <c r="I68" s="237" t="s">
        <v>21</v>
      </c>
      <c r="J68" s="237" t="s">
        <v>5393</v>
      </c>
      <c r="K68" s="240" t="str">
        <f>IF(COUNTIF(L68:AY68,"&lt;&gt;")=0,"",SUMPRODUCT(((Recommendations[ImplStatus]="Implemented")+(Recommendations[ImplStatus]="Compensated"))*ISNUMBER(MATCH(Recommendations[Id],L68:AY68,0)))/COUNTIF(L68:AY68,"&lt;&gt;"))</f>
        <v/>
      </c>
      <c r="L68" s="243"/>
      <c r="M68" s="243"/>
      <c r="N68" s="243"/>
      <c r="O68" s="243"/>
      <c r="P68" s="243"/>
      <c r="Q68" s="243"/>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c r="AQ68" s="243"/>
      <c r="AR68" s="243"/>
      <c r="AS68" s="243"/>
      <c r="AT68" s="243"/>
      <c r="AU68" s="243"/>
      <c r="AV68" s="243"/>
      <c r="AW68" s="243"/>
      <c r="AX68" s="243"/>
      <c r="AY68" s="253"/>
    </row>
    <row r="69" spans="1:51" ht="60" customHeight="1" outlineLevel="1" x14ac:dyDescent="0.35">
      <c r="A69" s="248" t="s">
        <v>2349</v>
      </c>
      <c r="B69" s="236" t="s">
        <v>5394</v>
      </c>
      <c r="C69" s="236"/>
      <c r="D69" s="236"/>
      <c r="E69" s="236"/>
      <c r="F69" s="236"/>
      <c r="G69" s="236"/>
      <c r="H69" s="236"/>
      <c r="I69" s="236"/>
      <c r="J69" s="236"/>
      <c r="K69" s="239" t="str">
        <f>IF(COUNTIF(L69:AY69,"&lt;&gt;")=0,"",SUMPRODUCT(((Recommendations[ImplStatus]="Implemented")+(Recommendations[ImplStatus]="Compensated"))*ISNUMBER(MATCH(Recommendations[Id],L69:AY69,0)))/COUNTIF(L69:AY69,"&lt;&gt;"))</f>
        <v/>
      </c>
      <c r="L69" s="242"/>
      <c r="M69" s="242"/>
      <c r="N69" s="242"/>
      <c r="O69" s="242"/>
      <c r="P69" s="242"/>
      <c r="Q69" s="242"/>
      <c r="R69" s="242"/>
      <c r="S69" s="242"/>
      <c r="T69" s="242"/>
      <c r="U69" s="242"/>
      <c r="V69" s="242"/>
      <c r="W69" s="242"/>
      <c r="X69" s="242"/>
      <c r="Y69" s="242"/>
      <c r="Z69" s="242"/>
      <c r="AA69" s="242"/>
      <c r="AB69" s="242"/>
      <c r="AC69" s="242"/>
      <c r="AD69" s="242"/>
      <c r="AE69" s="242"/>
      <c r="AF69" s="242"/>
      <c r="AG69" s="242"/>
      <c r="AH69" s="242"/>
      <c r="AI69" s="242"/>
      <c r="AJ69" s="242"/>
      <c r="AK69" s="242"/>
      <c r="AL69" s="242"/>
      <c r="AM69" s="242"/>
      <c r="AN69" s="242"/>
      <c r="AO69" s="242"/>
      <c r="AP69" s="242"/>
      <c r="AQ69" s="242"/>
      <c r="AR69" s="242"/>
      <c r="AS69" s="242"/>
      <c r="AT69" s="242"/>
      <c r="AU69" s="242"/>
      <c r="AV69" s="242"/>
      <c r="AW69" s="242"/>
      <c r="AX69" s="242"/>
      <c r="AY69" s="252"/>
    </row>
    <row r="70" spans="1:51" ht="60" customHeight="1" x14ac:dyDescent="0.35">
      <c r="A70" s="249" t="s">
        <v>5395</v>
      </c>
      <c r="B70" s="237" t="s">
        <v>5396</v>
      </c>
      <c r="C70" s="237" t="s">
        <v>5397</v>
      </c>
      <c r="D70" s="237" t="s">
        <v>21</v>
      </c>
      <c r="E70" s="237" t="s">
        <v>21</v>
      </c>
      <c r="F70" s="237" t="s">
        <v>21</v>
      </c>
      <c r="G70" s="237" t="s">
        <v>5398</v>
      </c>
      <c r="H70" s="237" t="s">
        <v>5399</v>
      </c>
      <c r="I70" s="237" t="s">
        <v>21</v>
      </c>
      <c r="J70" s="237" t="s">
        <v>5400</v>
      </c>
      <c r="K70" s="240" t="str">
        <f>IF(COUNTIF(L70:AY70,"&lt;&gt;")=0,"",SUMPRODUCT(((Recommendations[ImplStatus]="Implemented")+(Recommendations[ImplStatus]="Compensated"))*ISNUMBER(MATCH(Recommendations[Id],L70:AY70,0)))/COUNTIF(L70:AY70,"&lt;&gt;"))</f>
        <v/>
      </c>
      <c r="L70" s="243"/>
      <c r="M70" s="243"/>
      <c r="N70" s="243"/>
      <c r="O70" s="243"/>
      <c r="P70" s="243"/>
      <c r="Q70" s="243"/>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53"/>
    </row>
    <row r="71" spans="1:51" ht="60" customHeight="1" x14ac:dyDescent="0.35">
      <c r="A71" s="249" t="s">
        <v>5401</v>
      </c>
      <c r="B71" s="237" t="s">
        <v>5402</v>
      </c>
      <c r="C71" s="237" t="s">
        <v>5403</v>
      </c>
      <c r="D71" s="237" t="s">
        <v>21</v>
      </c>
      <c r="E71" s="237" t="s">
        <v>21</v>
      </c>
      <c r="F71" s="237" t="s">
        <v>21</v>
      </c>
      <c r="G71" s="237" t="s">
        <v>21</v>
      </c>
      <c r="H71" s="237" t="s">
        <v>5404</v>
      </c>
      <c r="I71" s="237" t="s">
        <v>21</v>
      </c>
      <c r="J71" s="237" t="s">
        <v>5405</v>
      </c>
      <c r="K71" s="240" t="str">
        <f>IF(COUNTIF(L71:AY71,"&lt;&gt;")=0,"",SUMPRODUCT(((Recommendations[ImplStatus]="Implemented")+(Recommendations[ImplStatus]="Compensated"))*ISNUMBER(MATCH(Recommendations[Id],L71:AY71,0)))/COUNTIF(L71:AY71,"&lt;&gt;"))</f>
        <v/>
      </c>
      <c r="L71" s="243"/>
      <c r="M71" s="243"/>
      <c r="N71" s="243"/>
      <c r="O71" s="243"/>
      <c r="P71" s="243"/>
      <c r="Q71" s="243"/>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53"/>
    </row>
    <row r="72" spans="1:51" ht="60" customHeight="1" x14ac:dyDescent="0.35">
      <c r="A72" s="249" t="s">
        <v>5406</v>
      </c>
      <c r="B72" s="237" t="s">
        <v>5407</v>
      </c>
      <c r="C72" s="237" t="s">
        <v>5408</v>
      </c>
      <c r="D72" s="237" t="s">
        <v>5409</v>
      </c>
      <c r="E72" s="237" t="s">
        <v>5410</v>
      </c>
      <c r="F72" s="237" t="s">
        <v>21</v>
      </c>
      <c r="G72" s="237" t="s">
        <v>21</v>
      </c>
      <c r="H72" s="237" t="s">
        <v>5411</v>
      </c>
      <c r="I72" s="237" t="s">
        <v>21</v>
      </c>
      <c r="J72" s="237" t="s">
        <v>5412</v>
      </c>
      <c r="K72" s="240" t="str">
        <f>IF(COUNTIF(L72:AY72,"&lt;&gt;")=0,"",SUMPRODUCT(((Recommendations[ImplStatus]="Implemented")+(Recommendations[ImplStatus]="Compensated"))*ISNUMBER(MATCH(Recommendations[Id],L72:AY72,0)))/COUNTIF(L72:AY72,"&lt;&gt;"))</f>
        <v/>
      </c>
      <c r="L72" s="243"/>
      <c r="M72" s="243"/>
      <c r="N72" s="243"/>
      <c r="O72" s="243"/>
      <c r="P72" s="243"/>
      <c r="Q72" s="243"/>
      <c r="R72" s="243"/>
      <c r="S72" s="243"/>
      <c r="T72" s="243"/>
      <c r="U72" s="243"/>
      <c r="V72" s="243"/>
      <c r="W72" s="243"/>
      <c r="X72" s="243"/>
      <c r="Y72" s="243"/>
      <c r="Z72" s="243"/>
      <c r="AA72" s="243"/>
      <c r="AB72" s="243"/>
      <c r="AC72" s="243"/>
      <c r="AD72" s="243"/>
      <c r="AE72" s="243"/>
      <c r="AF72" s="243"/>
      <c r="AG72" s="243"/>
      <c r="AH72" s="243"/>
      <c r="AI72" s="243"/>
      <c r="AJ72" s="243"/>
      <c r="AK72" s="243"/>
      <c r="AL72" s="243"/>
      <c r="AM72" s="243"/>
      <c r="AN72" s="243"/>
      <c r="AO72" s="243"/>
      <c r="AP72" s="243"/>
      <c r="AQ72" s="243"/>
      <c r="AR72" s="243"/>
      <c r="AS72" s="243"/>
      <c r="AT72" s="243"/>
      <c r="AU72" s="243"/>
      <c r="AV72" s="243"/>
      <c r="AW72" s="243"/>
      <c r="AX72" s="243"/>
      <c r="AY72" s="253"/>
    </row>
    <row r="73" spans="1:51" ht="60" customHeight="1" x14ac:dyDescent="0.35">
      <c r="A73" s="249" t="s">
        <v>5413</v>
      </c>
      <c r="B73" s="237" t="s">
        <v>5414</v>
      </c>
      <c r="C73" s="237" t="s">
        <v>5415</v>
      </c>
      <c r="D73" s="237" t="s">
        <v>5416</v>
      </c>
      <c r="E73" s="237" t="s">
        <v>5410</v>
      </c>
      <c r="F73" s="237" t="s">
        <v>21</v>
      </c>
      <c r="G73" s="237" t="s">
        <v>5417</v>
      </c>
      <c r="H73" s="237" t="s">
        <v>5418</v>
      </c>
      <c r="I73" s="237" t="s">
        <v>21</v>
      </c>
      <c r="J73" s="237" t="s">
        <v>5419</v>
      </c>
      <c r="K73" s="240" t="str">
        <f>IF(COUNTIF(L73:AY73,"&lt;&gt;")=0,"",SUMPRODUCT(((Recommendations[ImplStatus]="Implemented")+(Recommendations[ImplStatus]="Compensated"))*ISNUMBER(MATCH(Recommendations[Id],L73:AY73,0)))/COUNTIF(L73:AY73,"&lt;&gt;"))</f>
        <v/>
      </c>
      <c r="L73" s="243"/>
      <c r="M73" s="243"/>
      <c r="N73" s="243"/>
      <c r="O73" s="243"/>
      <c r="P73" s="243"/>
      <c r="Q73" s="243"/>
      <c r="R73" s="243"/>
      <c r="S73" s="243"/>
      <c r="T73" s="243"/>
      <c r="U73" s="243"/>
      <c r="V73" s="243"/>
      <c r="W73" s="243"/>
      <c r="X73" s="243"/>
      <c r="Y73" s="243"/>
      <c r="Z73" s="243"/>
      <c r="AA73" s="243"/>
      <c r="AB73" s="243"/>
      <c r="AC73" s="243"/>
      <c r="AD73" s="243"/>
      <c r="AE73" s="243"/>
      <c r="AF73" s="243"/>
      <c r="AG73" s="243"/>
      <c r="AH73" s="243"/>
      <c r="AI73" s="243"/>
      <c r="AJ73" s="243"/>
      <c r="AK73" s="243"/>
      <c r="AL73" s="243"/>
      <c r="AM73" s="243"/>
      <c r="AN73" s="243"/>
      <c r="AO73" s="243"/>
      <c r="AP73" s="243"/>
      <c r="AQ73" s="243"/>
      <c r="AR73" s="243"/>
      <c r="AS73" s="243"/>
      <c r="AT73" s="243"/>
      <c r="AU73" s="243"/>
      <c r="AV73" s="243"/>
      <c r="AW73" s="243"/>
      <c r="AX73" s="243"/>
      <c r="AY73" s="253"/>
    </row>
    <row r="74" spans="1:51" ht="60" customHeight="1" x14ac:dyDescent="0.35">
      <c r="A74" s="249" t="s">
        <v>5420</v>
      </c>
      <c r="B74" s="237" t="s">
        <v>5421</v>
      </c>
      <c r="C74" s="237" t="s">
        <v>5422</v>
      </c>
      <c r="D74" s="237" t="s">
        <v>5416</v>
      </c>
      <c r="E74" s="237" t="s">
        <v>5423</v>
      </c>
      <c r="F74" s="237" t="s">
        <v>21</v>
      </c>
      <c r="G74" s="237" t="s">
        <v>5424</v>
      </c>
      <c r="H74" s="237" t="s">
        <v>5425</v>
      </c>
      <c r="I74" s="237" t="s">
        <v>5426</v>
      </c>
      <c r="J74" s="237" t="s">
        <v>5427</v>
      </c>
      <c r="K74" s="240" t="str">
        <f>IF(COUNTIF(L74:AY74,"&lt;&gt;")=0,"",SUMPRODUCT(((Recommendations[ImplStatus]="Implemented")+(Recommendations[ImplStatus]="Compensated"))*ISNUMBER(MATCH(Recommendations[Id],L74:AY74,0)))/COUNTIF(L74:AY74,"&lt;&gt;"))</f>
        <v/>
      </c>
      <c r="L74" s="243"/>
      <c r="M74" s="243"/>
      <c r="N74" s="243"/>
      <c r="O74" s="243"/>
      <c r="P74" s="243"/>
      <c r="Q74" s="243"/>
      <c r="R74" s="243"/>
      <c r="S74" s="243"/>
      <c r="T74" s="243"/>
      <c r="U74" s="243"/>
      <c r="V74" s="243"/>
      <c r="W74" s="243"/>
      <c r="X74" s="243"/>
      <c r="Y74" s="243"/>
      <c r="Z74" s="243"/>
      <c r="AA74" s="243"/>
      <c r="AB74" s="243"/>
      <c r="AC74" s="243"/>
      <c r="AD74" s="243"/>
      <c r="AE74" s="243"/>
      <c r="AF74" s="243"/>
      <c r="AG74" s="243"/>
      <c r="AH74" s="243"/>
      <c r="AI74" s="243"/>
      <c r="AJ74" s="243"/>
      <c r="AK74" s="243"/>
      <c r="AL74" s="243"/>
      <c r="AM74" s="243"/>
      <c r="AN74" s="243"/>
      <c r="AO74" s="243"/>
      <c r="AP74" s="243"/>
      <c r="AQ74" s="243"/>
      <c r="AR74" s="243"/>
      <c r="AS74" s="243"/>
      <c r="AT74" s="243"/>
      <c r="AU74" s="243"/>
      <c r="AV74" s="243"/>
      <c r="AW74" s="243"/>
      <c r="AX74" s="243"/>
      <c r="AY74" s="253"/>
    </row>
    <row r="75" spans="1:51" ht="60" customHeight="1" x14ac:dyDescent="0.35">
      <c r="A75" s="249" t="s">
        <v>5428</v>
      </c>
      <c r="B75" s="237" t="s">
        <v>5429</v>
      </c>
      <c r="C75" s="237" t="s">
        <v>5430</v>
      </c>
      <c r="D75" s="237" t="s">
        <v>5431</v>
      </c>
      <c r="E75" s="237" t="s">
        <v>5423</v>
      </c>
      <c r="F75" s="237" t="s">
        <v>5432</v>
      </c>
      <c r="G75" s="237" t="s">
        <v>5433</v>
      </c>
      <c r="H75" s="237" t="s">
        <v>5434</v>
      </c>
      <c r="I75" s="237" t="s">
        <v>5435</v>
      </c>
      <c r="J75" s="237" t="s">
        <v>5436</v>
      </c>
      <c r="K75" s="240" t="str">
        <f>IF(COUNTIF(L75:AY75,"&lt;&gt;")=0,"",SUMPRODUCT(((Recommendations[ImplStatus]="Implemented")+(Recommendations[ImplStatus]="Compensated"))*ISNUMBER(MATCH(Recommendations[Id],L75:AY75,0)))/COUNTIF(L75:AY75,"&lt;&gt;"))</f>
        <v/>
      </c>
      <c r="L75" s="243"/>
      <c r="M75" s="243"/>
      <c r="N75" s="243"/>
      <c r="O75" s="243"/>
      <c r="P75" s="243"/>
      <c r="Q75" s="243"/>
      <c r="R75" s="243"/>
      <c r="S75" s="243"/>
      <c r="T75" s="243"/>
      <c r="U75" s="243"/>
      <c r="V75" s="243"/>
      <c r="W75" s="243"/>
      <c r="X75" s="243"/>
      <c r="Y75" s="243"/>
      <c r="Z75" s="243"/>
      <c r="AA75" s="243"/>
      <c r="AB75" s="243"/>
      <c r="AC75" s="243"/>
      <c r="AD75" s="243"/>
      <c r="AE75" s="243"/>
      <c r="AF75" s="243"/>
      <c r="AG75" s="243"/>
      <c r="AH75" s="243"/>
      <c r="AI75" s="243"/>
      <c r="AJ75" s="243"/>
      <c r="AK75" s="243"/>
      <c r="AL75" s="243"/>
      <c r="AM75" s="243"/>
      <c r="AN75" s="243"/>
      <c r="AO75" s="243"/>
      <c r="AP75" s="243"/>
      <c r="AQ75" s="243"/>
      <c r="AR75" s="243"/>
      <c r="AS75" s="243"/>
      <c r="AT75" s="243"/>
      <c r="AU75" s="243"/>
      <c r="AV75" s="243"/>
      <c r="AW75" s="243"/>
      <c r="AX75" s="243"/>
      <c r="AY75" s="253"/>
    </row>
    <row r="76" spans="1:51" ht="60" customHeight="1" x14ac:dyDescent="0.35">
      <c r="A76" s="249" t="s">
        <v>5437</v>
      </c>
      <c r="B76" s="237" t="s">
        <v>5438</v>
      </c>
      <c r="C76" s="237" t="s">
        <v>5439</v>
      </c>
      <c r="D76" s="237" t="s">
        <v>5440</v>
      </c>
      <c r="E76" s="237" t="s">
        <v>21</v>
      </c>
      <c r="F76" s="237" t="s">
        <v>21</v>
      </c>
      <c r="G76" s="237" t="s">
        <v>21</v>
      </c>
      <c r="H76" s="237" t="s">
        <v>5441</v>
      </c>
      <c r="I76" s="237" t="s">
        <v>21</v>
      </c>
      <c r="J76" s="237" t="s">
        <v>21</v>
      </c>
      <c r="K76" s="240" t="str">
        <f>IF(COUNTIF(L76:AY76,"&lt;&gt;")=0,"",SUMPRODUCT(((Recommendations[ImplStatus]="Implemented")+(Recommendations[ImplStatus]="Compensated"))*ISNUMBER(MATCH(Recommendations[Id],L76:AY76,0)))/COUNTIF(L76:AY76,"&lt;&gt;"))</f>
        <v/>
      </c>
      <c r="L76" s="243"/>
      <c r="M76" s="243"/>
      <c r="N76" s="243"/>
      <c r="O76" s="243"/>
      <c r="P76" s="243"/>
      <c r="Q76" s="243"/>
      <c r="R76" s="243"/>
      <c r="S76" s="243"/>
      <c r="T76" s="243"/>
      <c r="U76" s="243"/>
      <c r="V76" s="243"/>
      <c r="W76" s="243"/>
      <c r="X76" s="243"/>
      <c r="Y76" s="243"/>
      <c r="Z76" s="243"/>
      <c r="AA76" s="243"/>
      <c r="AB76" s="243"/>
      <c r="AC76" s="243"/>
      <c r="AD76" s="243"/>
      <c r="AE76" s="243"/>
      <c r="AF76" s="243"/>
      <c r="AG76" s="243"/>
      <c r="AH76" s="243"/>
      <c r="AI76" s="243"/>
      <c r="AJ76" s="243"/>
      <c r="AK76" s="243"/>
      <c r="AL76" s="243"/>
      <c r="AM76" s="243"/>
      <c r="AN76" s="243"/>
      <c r="AO76" s="243"/>
      <c r="AP76" s="243"/>
      <c r="AQ76" s="243"/>
      <c r="AR76" s="243"/>
      <c r="AS76" s="243"/>
      <c r="AT76" s="243"/>
      <c r="AU76" s="243"/>
      <c r="AV76" s="243"/>
      <c r="AW76" s="243"/>
      <c r="AX76" s="243"/>
      <c r="AY76" s="253"/>
    </row>
    <row r="77" spans="1:51" ht="60" customHeight="1" x14ac:dyDescent="0.35">
      <c r="A77" s="249" t="s">
        <v>5442</v>
      </c>
      <c r="B77" s="237" t="s">
        <v>5443</v>
      </c>
      <c r="C77" s="237" t="s">
        <v>5444</v>
      </c>
      <c r="D77" s="237" t="s">
        <v>21</v>
      </c>
      <c r="E77" s="237" t="s">
        <v>21</v>
      </c>
      <c r="F77" s="237" t="s">
        <v>21</v>
      </c>
      <c r="G77" s="237" t="s">
        <v>5445</v>
      </c>
      <c r="H77" s="237" t="s">
        <v>5446</v>
      </c>
      <c r="I77" s="237" t="s">
        <v>21</v>
      </c>
      <c r="J77" s="237" t="s">
        <v>5447</v>
      </c>
      <c r="K77" s="240" t="str">
        <f>IF(COUNTIF(L77:AY77,"&lt;&gt;")=0,"",SUMPRODUCT(((Recommendations[ImplStatus]="Implemented")+(Recommendations[ImplStatus]="Compensated"))*ISNUMBER(MATCH(Recommendations[Id],L77:AY77,0)))/COUNTIF(L77:AY77,"&lt;&gt;"))</f>
        <v/>
      </c>
      <c r="L77" s="243"/>
      <c r="M77" s="243"/>
      <c r="N77" s="243"/>
      <c r="O77" s="243"/>
      <c r="P77" s="243"/>
      <c r="Q77" s="243"/>
      <c r="R77" s="243"/>
      <c r="S77" s="243"/>
      <c r="T77" s="243"/>
      <c r="U77" s="243"/>
      <c r="V77" s="243"/>
      <c r="W77" s="243"/>
      <c r="X77" s="243"/>
      <c r="Y77" s="243"/>
      <c r="Z77" s="243"/>
      <c r="AA77" s="243"/>
      <c r="AB77" s="243"/>
      <c r="AC77" s="243"/>
      <c r="AD77" s="243"/>
      <c r="AE77" s="243"/>
      <c r="AF77" s="243"/>
      <c r="AG77" s="243"/>
      <c r="AH77" s="243"/>
      <c r="AI77" s="243"/>
      <c r="AJ77" s="243"/>
      <c r="AK77" s="243"/>
      <c r="AL77" s="243"/>
      <c r="AM77" s="243"/>
      <c r="AN77" s="243"/>
      <c r="AO77" s="243"/>
      <c r="AP77" s="243"/>
      <c r="AQ77" s="243"/>
      <c r="AR77" s="243"/>
      <c r="AS77" s="243"/>
      <c r="AT77" s="243"/>
      <c r="AU77" s="243"/>
      <c r="AV77" s="243"/>
      <c r="AW77" s="243"/>
      <c r="AX77" s="243"/>
      <c r="AY77" s="253"/>
    </row>
    <row r="78" spans="1:51" ht="60" customHeight="1" x14ac:dyDescent="0.35">
      <c r="A78" s="249" t="s">
        <v>5448</v>
      </c>
      <c r="B78" s="237" t="s">
        <v>5449</v>
      </c>
      <c r="C78" s="237" t="s">
        <v>5450</v>
      </c>
      <c r="D78" s="237" t="s">
        <v>21</v>
      </c>
      <c r="E78" s="237" t="s">
        <v>21</v>
      </c>
      <c r="F78" s="237" t="s">
        <v>21</v>
      </c>
      <c r="G78" s="237" t="s">
        <v>5451</v>
      </c>
      <c r="H78" s="237" t="s">
        <v>5452</v>
      </c>
      <c r="I78" s="237" t="s">
        <v>5453</v>
      </c>
      <c r="J78" s="237" t="s">
        <v>5454</v>
      </c>
      <c r="K78" s="240" t="str">
        <f>IF(COUNTIF(L78:AY78,"&lt;&gt;")=0,"",SUMPRODUCT(((Recommendations[ImplStatus]="Implemented")+(Recommendations[ImplStatus]="Compensated"))*ISNUMBER(MATCH(Recommendations[Id],L78:AY78,0)))/COUNTIF(L78:AY78,"&lt;&gt;"))</f>
        <v/>
      </c>
      <c r="L78" s="243"/>
      <c r="M78" s="243"/>
      <c r="N78" s="243"/>
      <c r="O78" s="243"/>
      <c r="P78" s="243"/>
      <c r="Q78" s="243"/>
      <c r="R78" s="243"/>
      <c r="S78" s="243"/>
      <c r="T78" s="243"/>
      <c r="U78" s="243"/>
      <c r="V78" s="243"/>
      <c r="W78" s="243"/>
      <c r="X78" s="243"/>
      <c r="Y78" s="243"/>
      <c r="Z78" s="243"/>
      <c r="AA78" s="243"/>
      <c r="AB78" s="243"/>
      <c r="AC78" s="243"/>
      <c r="AD78" s="243"/>
      <c r="AE78" s="243"/>
      <c r="AF78" s="243"/>
      <c r="AG78" s="243"/>
      <c r="AH78" s="243"/>
      <c r="AI78" s="243"/>
      <c r="AJ78" s="243"/>
      <c r="AK78" s="243"/>
      <c r="AL78" s="243"/>
      <c r="AM78" s="243"/>
      <c r="AN78" s="243"/>
      <c r="AO78" s="243"/>
      <c r="AP78" s="243"/>
      <c r="AQ78" s="243"/>
      <c r="AR78" s="243"/>
      <c r="AS78" s="243"/>
      <c r="AT78" s="243"/>
      <c r="AU78" s="243"/>
      <c r="AV78" s="243"/>
      <c r="AW78" s="243"/>
      <c r="AX78" s="243"/>
      <c r="AY78" s="253"/>
    </row>
    <row r="79" spans="1:51" ht="60" customHeight="1" outlineLevel="1" x14ac:dyDescent="0.35">
      <c r="A79" s="247" t="s">
        <v>5455</v>
      </c>
      <c r="B79" s="235" t="s">
        <v>5456</v>
      </c>
      <c r="C79" s="235"/>
      <c r="D79" s="235"/>
      <c r="E79" s="235"/>
      <c r="F79" s="235"/>
      <c r="G79" s="235"/>
      <c r="H79" s="235"/>
      <c r="I79" s="235"/>
      <c r="J79" s="235"/>
      <c r="K79" s="238" t="str">
        <f>IF(COUNTIF(L79:AY79,"&lt;&gt;")=0,"",SUMPRODUCT(((Recommendations[ImplStatus]="Implemented")+(Recommendations[ImplStatus]="Compensated"))*ISNUMBER(MATCH(Recommendations[Id],L79:AY79,0)))/COUNTIF(L79:AY79,"&lt;&gt;"))</f>
        <v/>
      </c>
      <c r="L79" s="241"/>
      <c r="M79" s="241"/>
      <c r="N79" s="241"/>
      <c r="O79" s="241"/>
      <c r="P79" s="241"/>
      <c r="Q79" s="24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51"/>
    </row>
    <row r="80" spans="1:51" ht="60" customHeight="1" outlineLevel="1" x14ac:dyDescent="0.35">
      <c r="A80" s="248" t="s">
        <v>2383</v>
      </c>
      <c r="B80" s="236" t="s">
        <v>5457</v>
      </c>
      <c r="C80" s="236"/>
      <c r="D80" s="236"/>
      <c r="E80" s="236"/>
      <c r="F80" s="236"/>
      <c r="G80" s="236"/>
      <c r="H80" s="236"/>
      <c r="I80" s="236"/>
      <c r="J80" s="236"/>
      <c r="K80" s="239" t="str">
        <f>IF(COUNTIF(L80:AY80,"&lt;&gt;")=0,"",SUMPRODUCT(((Recommendations[ImplStatus]="Implemented")+(Recommendations[ImplStatus]="Compensated"))*ISNUMBER(MATCH(Recommendations[Id],L80:AY80,0)))/COUNTIF(L80:AY80,"&lt;&gt;"))</f>
        <v/>
      </c>
      <c r="L80" s="242"/>
      <c r="M80" s="242"/>
      <c r="N80" s="242"/>
      <c r="O80" s="242"/>
      <c r="P80" s="242"/>
      <c r="Q80" s="242"/>
      <c r="R80" s="242"/>
      <c r="S80" s="242"/>
      <c r="T80" s="242"/>
      <c r="U80" s="242"/>
      <c r="V80" s="242"/>
      <c r="W80" s="242"/>
      <c r="X80" s="242"/>
      <c r="Y80" s="242"/>
      <c r="Z80" s="242"/>
      <c r="AA80" s="242"/>
      <c r="AB80" s="242"/>
      <c r="AC80" s="242"/>
      <c r="AD80" s="242"/>
      <c r="AE80" s="242"/>
      <c r="AF80" s="242"/>
      <c r="AG80" s="242"/>
      <c r="AH80" s="242"/>
      <c r="AI80" s="242"/>
      <c r="AJ80" s="242"/>
      <c r="AK80" s="242"/>
      <c r="AL80" s="242"/>
      <c r="AM80" s="242"/>
      <c r="AN80" s="242"/>
      <c r="AO80" s="242"/>
      <c r="AP80" s="242"/>
      <c r="AQ80" s="242"/>
      <c r="AR80" s="242"/>
      <c r="AS80" s="242"/>
      <c r="AT80" s="242"/>
      <c r="AU80" s="242"/>
      <c r="AV80" s="242"/>
      <c r="AW80" s="242"/>
      <c r="AX80" s="242"/>
      <c r="AY80" s="252"/>
    </row>
    <row r="81" spans="1:51" ht="60" customHeight="1" x14ac:dyDescent="0.35">
      <c r="A81" s="249" t="s">
        <v>5458</v>
      </c>
      <c r="B81" s="237" t="s">
        <v>5459</v>
      </c>
      <c r="C81" s="237" t="s">
        <v>5460</v>
      </c>
      <c r="D81" s="237" t="s">
        <v>5255</v>
      </c>
      <c r="E81" s="237" t="s">
        <v>5461</v>
      </c>
      <c r="F81" s="237" t="s">
        <v>21</v>
      </c>
      <c r="G81" s="237" t="s">
        <v>21</v>
      </c>
      <c r="H81" s="237" t="s">
        <v>5462</v>
      </c>
      <c r="I81" s="237" t="s">
        <v>21</v>
      </c>
      <c r="J81" s="237" t="s">
        <v>5463</v>
      </c>
      <c r="K81" s="240" t="str">
        <f>IF(COUNTIF(L81:AY81,"&lt;&gt;")=0,"",SUMPRODUCT(((Recommendations[ImplStatus]="Implemented")+(Recommendations[ImplStatus]="Compensated"))*ISNUMBER(MATCH(Recommendations[Id],L81:AY81,0)))/COUNTIF(L81:AY81,"&lt;&gt;"))</f>
        <v/>
      </c>
      <c r="L81" s="243"/>
      <c r="M81" s="243"/>
      <c r="N81" s="243"/>
      <c r="O81" s="243"/>
      <c r="P81" s="243"/>
      <c r="Q81" s="243"/>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53"/>
    </row>
    <row r="82" spans="1:51" ht="60" customHeight="1" x14ac:dyDescent="0.35">
      <c r="A82" s="249" t="s">
        <v>5464</v>
      </c>
      <c r="B82" s="237" t="s">
        <v>5465</v>
      </c>
      <c r="C82" s="237" t="s">
        <v>5046</v>
      </c>
      <c r="D82" s="237" t="s">
        <v>5047</v>
      </c>
      <c r="E82" s="237" t="s">
        <v>21</v>
      </c>
      <c r="F82" s="237" t="s">
        <v>5049</v>
      </c>
      <c r="G82" s="237" t="s">
        <v>21</v>
      </c>
      <c r="H82" s="237" t="s">
        <v>5466</v>
      </c>
      <c r="I82" s="237" t="s">
        <v>21</v>
      </c>
      <c r="J82" s="237" t="s">
        <v>5467</v>
      </c>
      <c r="K82" s="240" t="str">
        <f>IF(COUNTIF(L82:AY82,"&lt;&gt;")=0,"",SUMPRODUCT(((Recommendations[ImplStatus]="Implemented")+(Recommendations[ImplStatus]="Compensated"))*ISNUMBER(MATCH(Recommendations[Id],L82:AY82,0)))/COUNTIF(L82:AY82,"&lt;&gt;"))</f>
        <v/>
      </c>
      <c r="L82" s="243"/>
      <c r="M82" s="243"/>
      <c r="N82" s="243"/>
      <c r="O82" s="243"/>
      <c r="P82" s="243"/>
      <c r="Q82" s="243"/>
      <c r="R82" s="243"/>
      <c r="S82" s="243"/>
      <c r="T82" s="243"/>
      <c r="U82" s="243"/>
      <c r="V82" s="243"/>
      <c r="W82" s="243"/>
      <c r="X82" s="243"/>
      <c r="Y82" s="243"/>
      <c r="Z82" s="243"/>
      <c r="AA82" s="243"/>
      <c r="AB82" s="243"/>
      <c r="AC82" s="243"/>
      <c r="AD82" s="243"/>
      <c r="AE82" s="243"/>
      <c r="AF82" s="243"/>
      <c r="AG82" s="243"/>
      <c r="AH82" s="243"/>
      <c r="AI82" s="243"/>
      <c r="AJ82" s="243"/>
      <c r="AK82" s="243"/>
      <c r="AL82" s="243"/>
      <c r="AM82" s="243"/>
      <c r="AN82" s="243"/>
      <c r="AO82" s="243"/>
      <c r="AP82" s="243"/>
      <c r="AQ82" s="243"/>
      <c r="AR82" s="243"/>
      <c r="AS82" s="243"/>
      <c r="AT82" s="243"/>
      <c r="AU82" s="243"/>
      <c r="AV82" s="243"/>
      <c r="AW82" s="243"/>
      <c r="AX82" s="243"/>
      <c r="AY82" s="253"/>
    </row>
    <row r="83" spans="1:51" ht="60" customHeight="1" outlineLevel="1" x14ac:dyDescent="0.35">
      <c r="A83" s="248" t="s">
        <v>2388</v>
      </c>
      <c r="B83" s="236" t="s">
        <v>5468</v>
      </c>
      <c r="C83" s="236"/>
      <c r="D83" s="236"/>
      <c r="E83" s="236"/>
      <c r="F83" s="236"/>
      <c r="G83" s="236"/>
      <c r="H83" s="236"/>
      <c r="I83" s="236"/>
      <c r="J83" s="236"/>
      <c r="K83" s="239" t="str">
        <f>IF(COUNTIF(L83:AY83,"&lt;&gt;")=0,"",SUMPRODUCT(((Recommendations[ImplStatus]="Implemented")+(Recommendations[ImplStatus]="Compensated"))*ISNUMBER(MATCH(Recommendations[Id],L83:AY83,0)))/COUNTIF(L83:AY83,"&lt;&gt;"))</f>
        <v/>
      </c>
      <c r="L83" s="242"/>
      <c r="M83" s="242"/>
      <c r="N83" s="242"/>
      <c r="O83" s="242"/>
      <c r="P83" s="242"/>
      <c r="Q83" s="242"/>
      <c r="R83" s="242"/>
      <c r="S83" s="242"/>
      <c r="T83" s="242"/>
      <c r="U83" s="242"/>
      <c r="V83" s="242"/>
      <c r="W83" s="242"/>
      <c r="X83" s="242"/>
      <c r="Y83" s="242"/>
      <c r="Z83" s="242"/>
      <c r="AA83" s="242"/>
      <c r="AB83" s="242"/>
      <c r="AC83" s="242"/>
      <c r="AD83" s="242"/>
      <c r="AE83" s="242"/>
      <c r="AF83" s="242"/>
      <c r="AG83" s="242"/>
      <c r="AH83" s="242"/>
      <c r="AI83" s="242"/>
      <c r="AJ83" s="242"/>
      <c r="AK83" s="242"/>
      <c r="AL83" s="242"/>
      <c r="AM83" s="242"/>
      <c r="AN83" s="242"/>
      <c r="AO83" s="242"/>
      <c r="AP83" s="242"/>
      <c r="AQ83" s="242"/>
      <c r="AR83" s="242"/>
      <c r="AS83" s="242"/>
      <c r="AT83" s="242"/>
      <c r="AU83" s="242"/>
      <c r="AV83" s="242"/>
      <c r="AW83" s="242"/>
      <c r="AX83" s="242"/>
      <c r="AY83" s="252"/>
    </row>
    <row r="84" spans="1:51" ht="60" customHeight="1" x14ac:dyDescent="0.35">
      <c r="A84" s="249" t="s">
        <v>5469</v>
      </c>
      <c r="B84" s="237" t="s">
        <v>5470</v>
      </c>
      <c r="C84" s="237" t="s">
        <v>5471</v>
      </c>
      <c r="D84" s="237" t="s">
        <v>5472</v>
      </c>
      <c r="E84" s="237" t="s">
        <v>21</v>
      </c>
      <c r="F84" s="237" t="s">
        <v>5473</v>
      </c>
      <c r="G84" s="237" t="s">
        <v>5474</v>
      </c>
      <c r="H84" s="237" t="s">
        <v>5475</v>
      </c>
      <c r="I84" s="237" t="s">
        <v>5476</v>
      </c>
      <c r="J84" s="237" t="s">
        <v>5477</v>
      </c>
      <c r="K84" s="240">
        <f>IF(COUNTIF(L84:AY84,"&lt;&gt;")=0,"",SUMPRODUCT(((Recommendations[ImplStatus]="Implemented")+(Recommendations[ImplStatus]="Compensated"))*ISNUMBER(MATCH(Recommendations[Id],L84:AY84,0)))/COUNTIF(L84:AY84,"&lt;&gt;"))</f>
        <v>0</v>
      </c>
      <c r="L84" s="243" t="s">
        <v>161</v>
      </c>
      <c r="M84" s="243" t="s">
        <v>299</v>
      </c>
      <c r="N84" s="243" t="s">
        <v>303</v>
      </c>
      <c r="O84" s="243" t="s">
        <v>306</v>
      </c>
      <c r="P84" s="243" t="s">
        <v>366</v>
      </c>
      <c r="Q84" s="243" t="s">
        <v>371</v>
      </c>
      <c r="R84" s="243" t="s">
        <v>997</v>
      </c>
      <c r="S84" s="243" t="s">
        <v>1081</v>
      </c>
      <c r="T84" s="243" t="s">
        <v>1085</v>
      </c>
      <c r="U84" s="243" t="s">
        <v>1090</v>
      </c>
      <c r="V84" s="243" t="s">
        <v>1093</v>
      </c>
      <c r="W84" s="243" t="s">
        <v>1289</v>
      </c>
      <c r="X84" s="243" t="s">
        <v>1294</v>
      </c>
      <c r="Y84" s="243" t="s">
        <v>1298</v>
      </c>
      <c r="Z84" s="243" t="s">
        <v>1303</v>
      </c>
      <c r="AA84" s="243" t="s">
        <v>1308</v>
      </c>
      <c r="AB84" s="243" t="s">
        <v>1312</v>
      </c>
      <c r="AC84" s="243" t="s">
        <v>1582</v>
      </c>
      <c r="AD84" s="243" t="s">
        <v>1587</v>
      </c>
      <c r="AE84" s="243" t="s">
        <v>1592</v>
      </c>
      <c r="AF84" s="243" t="s">
        <v>1610</v>
      </c>
      <c r="AG84" s="243" t="s">
        <v>1613</v>
      </c>
      <c r="AH84" s="243" t="s">
        <v>1616</v>
      </c>
      <c r="AI84" s="243" t="s">
        <v>1774</v>
      </c>
      <c r="AJ84" s="243" t="s">
        <v>1779</v>
      </c>
      <c r="AK84" s="243" t="s">
        <v>1783</v>
      </c>
      <c r="AL84" s="243" t="s">
        <v>1850</v>
      </c>
      <c r="AM84" s="243" t="s">
        <v>1855</v>
      </c>
      <c r="AN84" s="243" t="s">
        <v>1860</v>
      </c>
      <c r="AO84" s="243" t="s">
        <v>1879</v>
      </c>
      <c r="AP84" s="243" t="s">
        <v>1884</v>
      </c>
      <c r="AQ84" s="243" t="s">
        <v>1888</v>
      </c>
      <c r="AR84" s="243" t="s">
        <v>1928</v>
      </c>
      <c r="AS84" s="243" t="s">
        <v>1933</v>
      </c>
      <c r="AT84" s="243" t="s">
        <v>1937</v>
      </c>
      <c r="AU84" s="243" t="s">
        <v>1941</v>
      </c>
      <c r="AV84" s="243" t="s">
        <v>1946</v>
      </c>
      <c r="AW84" s="243" t="s">
        <v>1950</v>
      </c>
      <c r="AX84" s="243" t="s">
        <v>1954</v>
      </c>
      <c r="AY84" s="253" t="s">
        <v>1957</v>
      </c>
    </row>
    <row r="85" spans="1:51" ht="60" customHeight="1" x14ac:dyDescent="0.35">
      <c r="A85" s="249" t="s">
        <v>5478</v>
      </c>
      <c r="B85" s="237" t="s">
        <v>5479</v>
      </c>
      <c r="C85" s="237" t="s">
        <v>5480</v>
      </c>
      <c r="D85" s="237" t="s">
        <v>5481</v>
      </c>
      <c r="E85" s="237" t="s">
        <v>21</v>
      </c>
      <c r="F85" s="237" t="s">
        <v>21</v>
      </c>
      <c r="G85" s="237" t="s">
        <v>21</v>
      </c>
      <c r="H85" s="237" t="s">
        <v>5482</v>
      </c>
      <c r="I85" s="237" t="s">
        <v>5483</v>
      </c>
      <c r="J85" s="237" t="s">
        <v>5484</v>
      </c>
      <c r="K85" s="240" t="str">
        <f>IF(COUNTIF(L85:AY85,"&lt;&gt;")=0,"",SUMPRODUCT(((Recommendations[ImplStatus]="Implemented")+(Recommendations[ImplStatus]="Compensated"))*ISNUMBER(MATCH(Recommendations[Id],L85:AY85,0)))/COUNTIF(L85:AY85,"&lt;&gt;"))</f>
        <v/>
      </c>
      <c r="L85" s="243"/>
      <c r="M85" s="243"/>
      <c r="N85" s="243"/>
      <c r="O85" s="243"/>
      <c r="P85" s="243"/>
      <c r="Q85" s="243"/>
      <c r="R85" s="243"/>
      <c r="S85" s="243"/>
      <c r="T85" s="243"/>
      <c r="U85" s="243"/>
      <c r="V85" s="243"/>
      <c r="W85" s="243"/>
      <c r="X85" s="243"/>
      <c r="Y85" s="243"/>
      <c r="Z85" s="243"/>
      <c r="AA85" s="243"/>
      <c r="AB85" s="243"/>
      <c r="AC85" s="243"/>
      <c r="AD85" s="243"/>
      <c r="AE85" s="243"/>
      <c r="AF85" s="243"/>
      <c r="AG85" s="243"/>
      <c r="AH85" s="243"/>
      <c r="AI85" s="243"/>
      <c r="AJ85" s="243"/>
      <c r="AK85" s="243"/>
      <c r="AL85" s="243"/>
      <c r="AM85" s="243"/>
      <c r="AN85" s="243"/>
      <c r="AO85" s="243"/>
      <c r="AP85" s="243"/>
      <c r="AQ85" s="243"/>
      <c r="AR85" s="243"/>
      <c r="AS85" s="243"/>
      <c r="AT85" s="243"/>
      <c r="AU85" s="243"/>
      <c r="AV85" s="243"/>
      <c r="AW85" s="243"/>
      <c r="AX85" s="243"/>
      <c r="AY85" s="253"/>
    </row>
    <row r="86" spans="1:51" ht="60" customHeight="1" x14ac:dyDescent="0.35">
      <c r="A86" s="249" t="s">
        <v>5485</v>
      </c>
      <c r="B86" s="237" t="s">
        <v>5486</v>
      </c>
      <c r="C86" s="237" t="s">
        <v>5487</v>
      </c>
      <c r="D86" s="237" t="s">
        <v>5488</v>
      </c>
      <c r="E86" s="237" t="s">
        <v>21</v>
      </c>
      <c r="F86" s="237" t="s">
        <v>21</v>
      </c>
      <c r="G86" s="237" t="s">
        <v>5489</v>
      </c>
      <c r="H86" s="237" t="s">
        <v>5490</v>
      </c>
      <c r="I86" s="237" t="s">
        <v>21</v>
      </c>
      <c r="J86" s="237" t="s">
        <v>5491</v>
      </c>
      <c r="K86" s="240" t="str">
        <f>IF(COUNTIF(L86:AY86,"&lt;&gt;")=0,"",SUMPRODUCT(((Recommendations[ImplStatus]="Implemented")+(Recommendations[ImplStatus]="Compensated"))*ISNUMBER(MATCH(Recommendations[Id],L86:AY86,0)))/COUNTIF(L86:AY86,"&lt;&gt;"))</f>
        <v/>
      </c>
      <c r="L86" s="243"/>
      <c r="M86" s="243"/>
      <c r="N86" s="243"/>
      <c r="O86" s="243"/>
      <c r="P86" s="243"/>
      <c r="Q86" s="243"/>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53"/>
    </row>
    <row r="87" spans="1:51" ht="60" customHeight="1" x14ac:dyDescent="0.35">
      <c r="A87" s="249" t="s">
        <v>5492</v>
      </c>
      <c r="B87" s="237" t="s">
        <v>5493</v>
      </c>
      <c r="C87" s="237" t="s">
        <v>5494</v>
      </c>
      <c r="D87" s="237" t="s">
        <v>5495</v>
      </c>
      <c r="E87" s="237" t="s">
        <v>21</v>
      </c>
      <c r="F87" s="237" t="s">
        <v>5496</v>
      </c>
      <c r="G87" s="237" t="s">
        <v>21</v>
      </c>
      <c r="H87" s="237" t="s">
        <v>5497</v>
      </c>
      <c r="I87" s="237" t="s">
        <v>5498</v>
      </c>
      <c r="J87" s="237" t="s">
        <v>5499</v>
      </c>
      <c r="K87" s="240" t="str">
        <f>IF(COUNTIF(L87:AY87,"&lt;&gt;")=0,"",SUMPRODUCT(((Recommendations[ImplStatus]="Implemented")+(Recommendations[ImplStatus]="Compensated"))*ISNUMBER(MATCH(Recommendations[Id],L87:AY87,0)))/COUNTIF(L87:AY87,"&lt;&gt;"))</f>
        <v/>
      </c>
      <c r="L87" s="243"/>
      <c r="M87" s="243"/>
      <c r="N87" s="243"/>
      <c r="O87" s="243"/>
      <c r="P87" s="243"/>
      <c r="Q87" s="243"/>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53"/>
    </row>
    <row r="88" spans="1:51" ht="60" customHeight="1" outlineLevel="1" x14ac:dyDescent="0.35">
      <c r="A88" s="247" t="s">
        <v>5500</v>
      </c>
      <c r="B88" s="235" t="s">
        <v>5501</v>
      </c>
      <c r="C88" s="235"/>
      <c r="D88" s="235"/>
      <c r="E88" s="235"/>
      <c r="F88" s="235"/>
      <c r="G88" s="235"/>
      <c r="H88" s="235"/>
      <c r="I88" s="235"/>
      <c r="J88" s="235"/>
      <c r="K88" s="238" t="str">
        <f>IF(COUNTIF(L88:AY88,"&lt;&gt;")=0,"",SUMPRODUCT(((Recommendations[ImplStatus]="Implemented")+(Recommendations[ImplStatus]="Compensated"))*ISNUMBER(MATCH(Recommendations[Id],L88:AY88,0)))/COUNTIF(L88:AY88,"&lt;&gt;"))</f>
        <v/>
      </c>
      <c r="L88" s="241"/>
      <c r="M88" s="241"/>
      <c r="N88" s="241"/>
      <c r="O88" s="241"/>
      <c r="P88" s="241"/>
      <c r="Q88" s="24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51"/>
    </row>
    <row r="89" spans="1:51" ht="60" customHeight="1" outlineLevel="1" x14ac:dyDescent="0.35">
      <c r="A89" s="248" t="s">
        <v>2435</v>
      </c>
      <c r="B89" s="236" t="s">
        <v>5502</v>
      </c>
      <c r="C89" s="236"/>
      <c r="D89" s="236"/>
      <c r="E89" s="236"/>
      <c r="F89" s="236"/>
      <c r="G89" s="236"/>
      <c r="H89" s="236"/>
      <c r="I89" s="236"/>
      <c r="J89" s="236"/>
      <c r="K89" s="239" t="str">
        <f>IF(COUNTIF(L89:AY89,"&lt;&gt;")=0,"",SUMPRODUCT(((Recommendations[ImplStatus]="Implemented")+(Recommendations[ImplStatus]="Compensated"))*ISNUMBER(MATCH(Recommendations[Id],L89:AY89,0)))/COUNTIF(L89:AY89,"&lt;&gt;"))</f>
        <v/>
      </c>
      <c r="L89" s="242"/>
      <c r="M89" s="242"/>
      <c r="N89" s="242"/>
      <c r="O89" s="242"/>
      <c r="P89" s="242"/>
      <c r="Q89" s="242"/>
      <c r="R89" s="242"/>
      <c r="S89" s="242"/>
      <c r="T89" s="242"/>
      <c r="U89" s="242"/>
      <c r="V89" s="242"/>
      <c r="W89" s="242"/>
      <c r="X89" s="242"/>
      <c r="Y89" s="242"/>
      <c r="Z89" s="242"/>
      <c r="AA89" s="242"/>
      <c r="AB89" s="242"/>
      <c r="AC89" s="242"/>
      <c r="AD89" s="242"/>
      <c r="AE89" s="242"/>
      <c r="AF89" s="242"/>
      <c r="AG89" s="242"/>
      <c r="AH89" s="242"/>
      <c r="AI89" s="242"/>
      <c r="AJ89" s="242"/>
      <c r="AK89" s="242"/>
      <c r="AL89" s="242"/>
      <c r="AM89" s="242"/>
      <c r="AN89" s="242"/>
      <c r="AO89" s="242"/>
      <c r="AP89" s="242"/>
      <c r="AQ89" s="242"/>
      <c r="AR89" s="242"/>
      <c r="AS89" s="242"/>
      <c r="AT89" s="242"/>
      <c r="AU89" s="242"/>
      <c r="AV89" s="242"/>
      <c r="AW89" s="242"/>
      <c r="AX89" s="242"/>
      <c r="AY89" s="252"/>
    </row>
    <row r="90" spans="1:51" ht="60" customHeight="1" x14ac:dyDescent="0.35">
      <c r="A90" s="249" t="s">
        <v>5503</v>
      </c>
      <c r="B90" s="237" t="s">
        <v>5504</v>
      </c>
      <c r="C90" s="237" t="s">
        <v>5505</v>
      </c>
      <c r="D90" s="237" t="s">
        <v>5255</v>
      </c>
      <c r="E90" s="237" t="s">
        <v>5041</v>
      </c>
      <c r="F90" s="237" t="s">
        <v>21</v>
      </c>
      <c r="G90" s="237" t="s">
        <v>21</v>
      </c>
      <c r="H90" s="237" t="s">
        <v>5506</v>
      </c>
      <c r="I90" s="237" t="s">
        <v>21</v>
      </c>
      <c r="J90" s="237" t="s">
        <v>5507</v>
      </c>
      <c r="K90" s="240" t="str">
        <f>IF(COUNTIF(L90:AY90,"&lt;&gt;")=0,"",SUMPRODUCT(((Recommendations[ImplStatus]="Implemented")+(Recommendations[ImplStatus]="Compensated"))*ISNUMBER(MATCH(Recommendations[Id],L90:AY90,0)))/COUNTIF(L90:AY90,"&lt;&gt;"))</f>
        <v/>
      </c>
      <c r="L90" s="243"/>
      <c r="M90" s="243"/>
      <c r="N90" s="243"/>
      <c r="O90" s="243"/>
      <c r="P90" s="243"/>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53"/>
    </row>
    <row r="91" spans="1:51" ht="60" customHeight="1" x14ac:dyDescent="0.35">
      <c r="A91" s="249" t="s">
        <v>5508</v>
      </c>
      <c r="B91" s="237" t="s">
        <v>5509</v>
      </c>
      <c r="C91" s="237" t="s">
        <v>5510</v>
      </c>
      <c r="D91" s="237" t="s">
        <v>5047</v>
      </c>
      <c r="E91" s="237" t="s">
        <v>21</v>
      </c>
      <c r="F91" s="237" t="s">
        <v>5049</v>
      </c>
      <c r="G91" s="237" t="s">
        <v>21</v>
      </c>
      <c r="H91" s="237" t="s">
        <v>5511</v>
      </c>
      <c r="I91" s="237" t="s">
        <v>21</v>
      </c>
      <c r="J91" s="237" t="s">
        <v>5512</v>
      </c>
      <c r="K91" s="240" t="str">
        <f>IF(COUNTIF(L91:AY91,"&lt;&gt;")=0,"",SUMPRODUCT(((Recommendations[ImplStatus]="Implemented")+(Recommendations[ImplStatus]="Compensated"))*ISNUMBER(MATCH(Recommendations[Id],L91:AY91,0)))/COUNTIF(L91:AY91,"&lt;&gt;"))</f>
        <v/>
      </c>
      <c r="L91" s="243"/>
      <c r="M91" s="243"/>
      <c r="N91" s="243"/>
      <c r="O91" s="243"/>
      <c r="P91" s="243"/>
      <c r="Q91" s="24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53"/>
    </row>
    <row r="92" spans="1:51" ht="60" customHeight="1" outlineLevel="1" x14ac:dyDescent="0.35">
      <c r="A92" s="248" t="s">
        <v>2439</v>
      </c>
      <c r="B92" s="236" t="s">
        <v>5513</v>
      </c>
      <c r="C92" s="236"/>
      <c r="D92" s="236"/>
      <c r="E92" s="236"/>
      <c r="F92" s="236"/>
      <c r="G92" s="236"/>
      <c r="H92" s="236"/>
      <c r="I92" s="236"/>
      <c r="J92" s="236"/>
      <c r="K92" s="239" t="str">
        <f>IF(COUNTIF(L92:AY92,"&lt;&gt;")=0,"",SUMPRODUCT(((Recommendations[ImplStatus]="Implemented")+(Recommendations[ImplStatus]="Compensated"))*ISNUMBER(MATCH(Recommendations[Id],L92:AY92,0)))/COUNTIF(L92:AY92,"&lt;&gt;"))</f>
        <v/>
      </c>
      <c r="L92" s="242"/>
      <c r="M92" s="242"/>
      <c r="N92" s="242"/>
      <c r="O92" s="242"/>
      <c r="P92" s="242"/>
      <c r="Q92" s="242"/>
      <c r="R92" s="242"/>
      <c r="S92" s="242"/>
      <c r="T92" s="242"/>
      <c r="U92" s="242"/>
      <c r="V92" s="242"/>
      <c r="W92" s="242"/>
      <c r="X92" s="242"/>
      <c r="Y92" s="242"/>
      <c r="Z92" s="242"/>
      <c r="AA92" s="242"/>
      <c r="AB92" s="242"/>
      <c r="AC92" s="242"/>
      <c r="AD92" s="242"/>
      <c r="AE92" s="242"/>
      <c r="AF92" s="242"/>
      <c r="AG92" s="242"/>
      <c r="AH92" s="242"/>
      <c r="AI92" s="242"/>
      <c r="AJ92" s="242"/>
      <c r="AK92" s="242"/>
      <c r="AL92" s="242"/>
      <c r="AM92" s="242"/>
      <c r="AN92" s="242"/>
      <c r="AO92" s="242"/>
      <c r="AP92" s="242"/>
      <c r="AQ92" s="242"/>
      <c r="AR92" s="242"/>
      <c r="AS92" s="242"/>
      <c r="AT92" s="242"/>
      <c r="AU92" s="242"/>
      <c r="AV92" s="242"/>
      <c r="AW92" s="242"/>
      <c r="AX92" s="242"/>
      <c r="AY92" s="252"/>
    </row>
    <row r="93" spans="1:51" ht="60" customHeight="1" x14ac:dyDescent="0.35">
      <c r="A93" s="249" t="s">
        <v>5514</v>
      </c>
      <c r="B93" s="237" t="s">
        <v>5515</v>
      </c>
      <c r="C93" s="237" t="s">
        <v>5516</v>
      </c>
      <c r="D93" s="237" t="s">
        <v>5517</v>
      </c>
      <c r="E93" s="237" t="s">
        <v>5518</v>
      </c>
      <c r="F93" s="237" t="s">
        <v>21</v>
      </c>
      <c r="G93" s="237" t="s">
        <v>21</v>
      </c>
      <c r="H93" s="237" t="s">
        <v>5519</v>
      </c>
      <c r="I93" s="237" t="s">
        <v>21</v>
      </c>
      <c r="J93" s="237" t="s">
        <v>5520</v>
      </c>
      <c r="K93" s="240" t="str">
        <f>IF(COUNTIF(L93:AY93,"&lt;&gt;")=0,"",SUMPRODUCT(((Recommendations[ImplStatus]="Implemented")+(Recommendations[ImplStatus]="Compensated"))*ISNUMBER(MATCH(Recommendations[Id],L93:AY93,0)))/COUNTIF(L93:AY93,"&lt;&gt;"))</f>
        <v/>
      </c>
      <c r="L93" s="243"/>
      <c r="M93" s="243"/>
      <c r="N93" s="243"/>
      <c r="O93" s="243"/>
      <c r="P93" s="243"/>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53"/>
    </row>
    <row r="94" spans="1:51" ht="60" customHeight="1" x14ac:dyDescent="0.35">
      <c r="A94" s="249" t="s">
        <v>5521</v>
      </c>
      <c r="B94" s="237" t="s">
        <v>5522</v>
      </c>
      <c r="C94" s="237" t="s">
        <v>5523</v>
      </c>
      <c r="D94" s="237" t="s">
        <v>5524</v>
      </c>
      <c r="E94" s="237" t="s">
        <v>21</v>
      </c>
      <c r="F94" s="237" t="s">
        <v>5525</v>
      </c>
      <c r="G94" s="237" t="s">
        <v>21</v>
      </c>
      <c r="H94" s="237" t="s">
        <v>5526</v>
      </c>
      <c r="I94" s="237" t="s">
        <v>21</v>
      </c>
      <c r="J94" s="237" t="s">
        <v>21</v>
      </c>
      <c r="K94" s="240" t="str">
        <f>IF(COUNTIF(L94:AY94,"&lt;&gt;")=0,"",SUMPRODUCT(((Recommendations[ImplStatus]="Implemented")+(Recommendations[ImplStatus]="Compensated"))*ISNUMBER(MATCH(Recommendations[Id],L94:AY94,0)))/COUNTIF(L94:AY94,"&lt;&gt;"))</f>
        <v/>
      </c>
      <c r="L94" s="243"/>
      <c r="M94" s="243"/>
      <c r="N94" s="243"/>
      <c r="O94" s="243"/>
      <c r="P94" s="243"/>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53"/>
    </row>
    <row r="95" spans="1:51" ht="60" customHeight="1" x14ac:dyDescent="0.35">
      <c r="A95" s="249" t="s">
        <v>5527</v>
      </c>
      <c r="B95" s="237" t="s">
        <v>5528</v>
      </c>
      <c r="C95" s="237" t="s">
        <v>5529</v>
      </c>
      <c r="D95" s="237" t="s">
        <v>5530</v>
      </c>
      <c r="E95" s="237" t="s">
        <v>21</v>
      </c>
      <c r="F95" s="237" t="s">
        <v>21</v>
      </c>
      <c r="G95" s="237" t="s">
        <v>21</v>
      </c>
      <c r="H95" s="237" t="s">
        <v>5531</v>
      </c>
      <c r="I95" s="237" t="s">
        <v>5532</v>
      </c>
      <c r="J95" s="237" t="s">
        <v>5533</v>
      </c>
      <c r="K95" s="240" t="str">
        <f>IF(COUNTIF(L95:AY95,"&lt;&gt;")=0,"",SUMPRODUCT(((Recommendations[ImplStatus]="Implemented")+(Recommendations[ImplStatus]="Compensated"))*ISNUMBER(MATCH(Recommendations[Id],L95:AY95,0)))/COUNTIF(L95:AY95,"&lt;&gt;"))</f>
        <v/>
      </c>
      <c r="L95" s="243"/>
      <c r="M95" s="243"/>
      <c r="N95" s="243"/>
      <c r="O95" s="243"/>
      <c r="P95" s="243"/>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53"/>
    </row>
    <row r="96" spans="1:51" ht="60" customHeight="1" x14ac:dyDescent="0.35">
      <c r="A96" s="249" t="s">
        <v>5534</v>
      </c>
      <c r="B96" s="237" t="s">
        <v>5535</v>
      </c>
      <c r="C96" s="237" t="s">
        <v>5536</v>
      </c>
      <c r="D96" s="237" t="s">
        <v>21</v>
      </c>
      <c r="E96" s="237" t="s">
        <v>21</v>
      </c>
      <c r="F96" s="237" t="s">
        <v>21</v>
      </c>
      <c r="G96" s="237" t="s">
        <v>21</v>
      </c>
      <c r="H96" s="237" t="s">
        <v>5537</v>
      </c>
      <c r="I96" s="237" t="s">
        <v>5483</v>
      </c>
      <c r="J96" s="237" t="s">
        <v>5538</v>
      </c>
      <c r="K96" s="240" t="str">
        <f>IF(COUNTIF(L96:AY96,"&lt;&gt;")=0,"",SUMPRODUCT(((Recommendations[ImplStatus]="Implemented")+(Recommendations[ImplStatus]="Compensated"))*ISNUMBER(MATCH(Recommendations[Id],L96:AY96,0)))/COUNTIF(L96:AY96,"&lt;&gt;"))</f>
        <v/>
      </c>
      <c r="L96" s="243"/>
      <c r="M96" s="243"/>
      <c r="N96" s="243"/>
      <c r="O96" s="243"/>
      <c r="P96" s="243"/>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53"/>
    </row>
    <row r="97" spans="1:51" ht="60" customHeight="1" outlineLevel="1" x14ac:dyDescent="0.35">
      <c r="A97" s="248" t="s">
        <v>2443</v>
      </c>
      <c r="B97" s="236" t="s">
        <v>5539</v>
      </c>
      <c r="C97" s="236"/>
      <c r="D97" s="236"/>
      <c r="E97" s="236"/>
      <c r="F97" s="236"/>
      <c r="G97" s="236"/>
      <c r="H97" s="236"/>
      <c r="I97" s="236"/>
      <c r="J97" s="236"/>
      <c r="K97" s="239" t="str">
        <f>IF(COUNTIF(L97:AY97,"&lt;&gt;")=0,"",SUMPRODUCT(((Recommendations[ImplStatus]="Implemented")+(Recommendations[ImplStatus]="Compensated"))*ISNUMBER(MATCH(Recommendations[Id],L97:AY97,0)))/COUNTIF(L97:AY97,"&lt;&gt;"))</f>
        <v/>
      </c>
      <c r="L97" s="242"/>
      <c r="M97" s="242"/>
      <c r="N97" s="242"/>
      <c r="O97" s="242"/>
      <c r="P97" s="242"/>
      <c r="Q97" s="242"/>
      <c r="R97" s="242"/>
      <c r="S97" s="242"/>
      <c r="T97" s="242"/>
      <c r="U97" s="242"/>
      <c r="V97" s="242"/>
      <c r="W97" s="242"/>
      <c r="X97" s="242"/>
      <c r="Y97" s="242"/>
      <c r="Z97" s="242"/>
      <c r="AA97" s="242"/>
      <c r="AB97" s="242"/>
      <c r="AC97" s="242"/>
      <c r="AD97" s="242"/>
      <c r="AE97" s="242"/>
      <c r="AF97" s="242"/>
      <c r="AG97" s="242"/>
      <c r="AH97" s="242"/>
      <c r="AI97" s="242"/>
      <c r="AJ97" s="242"/>
      <c r="AK97" s="242"/>
      <c r="AL97" s="242"/>
      <c r="AM97" s="242"/>
      <c r="AN97" s="242"/>
      <c r="AO97" s="242"/>
      <c r="AP97" s="242"/>
      <c r="AQ97" s="242"/>
      <c r="AR97" s="242"/>
      <c r="AS97" s="242"/>
      <c r="AT97" s="242"/>
      <c r="AU97" s="242"/>
      <c r="AV97" s="242"/>
      <c r="AW97" s="242"/>
      <c r="AX97" s="242"/>
      <c r="AY97" s="252"/>
    </row>
    <row r="98" spans="1:51" ht="60" customHeight="1" x14ac:dyDescent="0.35">
      <c r="A98" s="249" t="s">
        <v>5540</v>
      </c>
      <c r="B98" s="237" t="s">
        <v>5541</v>
      </c>
      <c r="C98" s="237" t="s">
        <v>5542</v>
      </c>
      <c r="D98" s="237" t="s">
        <v>5543</v>
      </c>
      <c r="E98" s="237" t="s">
        <v>21</v>
      </c>
      <c r="F98" s="237" t="s">
        <v>21</v>
      </c>
      <c r="G98" s="237" t="s">
        <v>21</v>
      </c>
      <c r="H98" s="237" t="s">
        <v>5544</v>
      </c>
      <c r="I98" s="237" t="s">
        <v>21</v>
      </c>
      <c r="J98" s="237" t="s">
        <v>5545</v>
      </c>
      <c r="K98" s="240" t="str">
        <f>IF(COUNTIF(L98:AY98,"&lt;&gt;")=0,"",SUMPRODUCT(((Recommendations[ImplStatus]="Implemented")+(Recommendations[ImplStatus]="Compensated"))*ISNUMBER(MATCH(Recommendations[Id],L98:AY98,0)))/COUNTIF(L98:AY98,"&lt;&gt;"))</f>
        <v/>
      </c>
      <c r="L98" s="243"/>
      <c r="M98" s="243"/>
      <c r="N98" s="243"/>
      <c r="O98" s="243"/>
      <c r="P98" s="243"/>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53"/>
    </row>
    <row r="99" spans="1:51" ht="60" customHeight="1" x14ac:dyDescent="0.35">
      <c r="A99" s="249" t="s">
        <v>5546</v>
      </c>
      <c r="B99" s="237" t="s">
        <v>5547</v>
      </c>
      <c r="C99" s="237" t="s">
        <v>5548</v>
      </c>
      <c r="D99" s="237" t="s">
        <v>5549</v>
      </c>
      <c r="E99" s="237" t="s">
        <v>5550</v>
      </c>
      <c r="F99" s="237" t="s">
        <v>21</v>
      </c>
      <c r="G99" s="237" t="s">
        <v>21</v>
      </c>
      <c r="H99" s="237" t="s">
        <v>5551</v>
      </c>
      <c r="I99" s="237" t="s">
        <v>21</v>
      </c>
      <c r="J99" s="237" t="s">
        <v>5552</v>
      </c>
      <c r="K99" s="240" t="str">
        <f>IF(COUNTIF(L99:AY99,"&lt;&gt;")=0,"",SUMPRODUCT(((Recommendations[ImplStatus]="Implemented")+(Recommendations[ImplStatus]="Compensated"))*ISNUMBER(MATCH(Recommendations[Id],L99:AY99,0)))/COUNTIF(L99:AY99,"&lt;&gt;"))</f>
        <v/>
      </c>
      <c r="L99" s="243"/>
      <c r="M99" s="243"/>
      <c r="N99" s="243"/>
      <c r="O99" s="243"/>
      <c r="P99" s="243"/>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53"/>
    </row>
    <row r="100" spans="1:51" ht="60" customHeight="1" x14ac:dyDescent="0.35">
      <c r="A100" s="249" t="s">
        <v>5553</v>
      </c>
      <c r="B100" s="237" t="s">
        <v>5554</v>
      </c>
      <c r="C100" s="237" t="s">
        <v>5555</v>
      </c>
      <c r="D100" s="237" t="s">
        <v>21</v>
      </c>
      <c r="E100" s="237" t="s">
        <v>21</v>
      </c>
      <c r="F100" s="237" t="s">
        <v>21</v>
      </c>
      <c r="G100" s="237" t="s">
        <v>21</v>
      </c>
      <c r="H100" s="237" t="s">
        <v>5556</v>
      </c>
      <c r="I100" s="237" t="s">
        <v>5557</v>
      </c>
      <c r="J100" s="237" t="s">
        <v>5558</v>
      </c>
      <c r="K100" s="240" t="str">
        <f>IF(COUNTIF(L100:AY100,"&lt;&gt;")=0,"",SUMPRODUCT(((Recommendations[ImplStatus]="Implemented")+(Recommendations[ImplStatus]="Compensated"))*ISNUMBER(MATCH(Recommendations[Id],L100:AY100,0)))/COUNTIF(L100:AY100,"&lt;&gt;"))</f>
        <v/>
      </c>
      <c r="L100" s="243"/>
      <c r="M100" s="243"/>
      <c r="N100" s="243"/>
      <c r="O100" s="243"/>
      <c r="P100" s="243"/>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53"/>
    </row>
    <row r="101" spans="1:51" ht="60" customHeight="1" x14ac:dyDescent="0.35">
      <c r="A101" s="249" t="s">
        <v>5559</v>
      </c>
      <c r="B101" s="237" t="s">
        <v>5560</v>
      </c>
      <c r="C101" s="237" t="s">
        <v>5561</v>
      </c>
      <c r="D101" s="237" t="s">
        <v>21</v>
      </c>
      <c r="E101" s="237" t="s">
        <v>21</v>
      </c>
      <c r="F101" s="237" t="s">
        <v>21</v>
      </c>
      <c r="G101" s="237" t="s">
        <v>21</v>
      </c>
      <c r="H101" s="237" t="s">
        <v>5562</v>
      </c>
      <c r="I101" s="237" t="s">
        <v>5483</v>
      </c>
      <c r="J101" s="237" t="s">
        <v>5563</v>
      </c>
      <c r="K101" s="240" t="str">
        <f>IF(COUNTIF(L101:AY101,"&lt;&gt;")=0,"",SUMPRODUCT(((Recommendations[ImplStatus]="Implemented")+(Recommendations[ImplStatus]="Compensated"))*ISNUMBER(MATCH(Recommendations[Id],L101:AY101,0)))/COUNTIF(L101:AY101,"&lt;&gt;"))</f>
        <v/>
      </c>
      <c r="L101" s="243"/>
      <c r="M101" s="243"/>
      <c r="N101" s="243"/>
      <c r="O101" s="243"/>
      <c r="P101" s="243"/>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53"/>
    </row>
    <row r="102" spans="1:51" ht="60" customHeight="1" x14ac:dyDescent="0.35">
      <c r="A102" s="249" t="s">
        <v>5564</v>
      </c>
      <c r="B102" s="237" t="s">
        <v>5565</v>
      </c>
      <c r="C102" s="237" t="s">
        <v>5566</v>
      </c>
      <c r="D102" s="237" t="s">
        <v>5567</v>
      </c>
      <c r="E102" s="237" t="s">
        <v>21</v>
      </c>
      <c r="F102" s="237" t="s">
        <v>21</v>
      </c>
      <c r="G102" s="237" t="s">
        <v>21</v>
      </c>
      <c r="H102" s="237" t="s">
        <v>5568</v>
      </c>
      <c r="I102" s="237" t="s">
        <v>21</v>
      </c>
      <c r="J102" s="237" t="s">
        <v>5569</v>
      </c>
      <c r="K102" s="240" t="str">
        <f>IF(COUNTIF(L102:AY102,"&lt;&gt;")=0,"",SUMPRODUCT(((Recommendations[ImplStatus]="Implemented")+(Recommendations[ImplStatus]="Compensated"))*ISNUMBER(MATCH(Recommendations[Id],L102:AY102,0)))/COUNTIF(L102:AY102,"&lt;&gt;"))</f>
        <v/>
      </c>
      <c r="L102" s="243"/>
      <c r="M102" s="243"/>
      <c r="N102" s="243"/>
      <c r="O102" s="243"/>
      <c r="P102" s="243"/>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53"/>
    </row>
    <row r="103" spans="1:51" ht="60" customHeight="1" x14ac:dyDescent="0.35">
      <c r="A103" s="249" t="s">
        <v>5570</v>
      </c>
      <c r="B103" s="237" t="s">
        <v>5571</v>
      </c>
      <c r="C103" s="237" t="s">
        <v>5572</v>
      </c>
      <c r="D103" s="237" t="s">
        <v>5567</v>
      </c>
      <c r="E103" s="237" t="s">
        <v>21</v>
      </c>
      <c r="F103" s="237" t="s">
        <v>5573</v>
      </c>
      <c r="G103" s="237" t="s">
        <v>21</v>
      </c>
      <c r="H103" s="237" t="s">
        <v>5574</v>
      </c>
      <c r="I103" s="237" t="s">
        <v>5575</v>
      </c>
      <c r="J103" s="237" t="s">
        <v>5576</v>
      </c>
      <c r="K103" s="240" t="str">
        <f>IF(COUNTIF(L103:AY103,"&lt;&gt;")=0,"",SUMPRODUCT(((Recommendations[ImplStatus]="Implemented")+(Recommendations[ImplStatus]="Compensated"))*ISNUMBER(MATCH(Recommendations[Id],L103:AY103,0)))/COUNTIF(L103:AY103,"&lt;&gt;"))</f>
        <v/>
      </c>
      <c r="L103" s="243"/>
      <c r="M103" s="243"/>
      <c r="N103" s="243"/>
      <c r="O103" s="243"/>
      <c r="P103" s="243"/>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53"/>
    </row>
    <row r="104" spans="1:51" ht="60" customHeight="1" outlineLevel="1" x14ac:dyDescent="0.35">
      <c r="A104" s="248" t="s">
        <v>2447</v>
      </c>
      <c r="B104" s="236" t="s">
        <v>5577</v>
      </c>
      <c r="C104" s="236"/>
      <c r="D104" s="236"/>
      <c r="E104" s="236"/>
      <c r="F104" s="236"/>
      <c r="G104" s="236"/>
      <c r="H104" s="236"/>
      <c r="I104" s="236"/>
      <c r="J104" s="236"/>
      <c r="K104" s="239" t="str">
        <f>IF(COUNTIF(L104:AY104,"&lt;&gt;")=0,"",SUMPRODUCT(((Recommendations[ImplStatus]="Implemented")+(Recommendations[ImplStatus]="Compensated"))*ISNUMBER(MATCH(Recommendations[Id],L104:AY104,0)))/COUNTIF(L104:AY104,"&lt;&gt;"))</f>
        <v/>
      </c>
      <c r="L104" s="242"/>
      <c r="M104" s="242"/>
      <c r="N104" s="242"/>
      <c r="O104" s="242"/>
      <c r="P104" s="242"/>
      <c r="Q104" s="242"/>
      <c r="R104" s="242"/>
      <c r="S104" s="242"/>
      <c r="T104" s="242"/>
      <c r="U104" s="242"/>
      <c r="V104" s="242"/>
      <c r="W104" s="242"/>
      <c r="X104" s="242"/>
      <c r="Y104" s="242"/>
      <c r="Z104" s="242"/>
      <c r="AA104" s="242"/>
      <c r="AB104" s="242"/>
      <c r="AC104" s="242"/>
      <c r="AD104" s="242"/>
      <c r="AE104" s="242"/>
      <c r="AF104" s="242"/>
      <c r="AG104" s="242"/>
      <c r="AH104" s="242"/>
      <c r="AI104" s="242"/>
      <c r="AJ104" s="242"/>
      <c r="AK104" s="242"/>
      <c r="AL104" s="242"/>
      <c r="AM104" s="242"/>
      <c r="AN104" s="242"/>
      <c r="AO104" s="242"/>
      <c r="AP104" s="242"/>
      <c r="AQ104" s="242"/>
      <c r="AR104" s="242"/>
      <c r="AS104" s="242"/>
      <c r="AT104" s="242"/>
      <c r="AU104" s="242"/>
      <c r="AV104" s="242"/>
      <c r="AW104" s="242"/>
      <c r="AX104" s="242"/>
      <c r="AY104" s="252"/>
    </row>
    <row r="105" spans="1:51" ht="60" customHeight="1" x14ac:dyDescent="0.35">
      <c r="A105" s="249" t="s">
        <v>5578</v>
      </c>
      <c r="B105" s="237" t="s">
        <v>5579</v>
      </c>
      <c r="C105" s="237" t="s">
        <v>5580</v>
      </c>
      <c r="D105" s="237" t="s">
        <v>5581</v>
      </c>
      <c r="E105" s="237" t="s">
        <v>5582</v>
      </c>
      <c r="F105" s="237" t="s">
        <v>21</v>
      </c>
      <c r="G105" s="237" t="s">
        <v>21</v>
      </c>
      <c r="H105" s="237" t="s">
        <v>5583</v>
      </c>
      <c r="I105" s="237" t="s">
        <v>5584</v>
      </c>
      <c r="J105" s="237" t="s">
        <v>5585</v>
      </c>
      <c r="K105" s="240" t="str">
        <f>IF(COUNTIF(L105:AY105,"&lt;&gt;")=0,"",SUMPRODUCT(((Recommendations[ImplStatus]="Implemented")+(Recommendations[ImplStatus]="Compensated"))*ISNUMBER(MATCH(Recommendations[Id],L105:AY105,0)))/COUNTIF(L105:AY105,"&lt;&gt;"))</f>
        <v/>
      </c>
      <c r="L105" s="243"/>
      <c r="M105" s="243"/>
      <c r="N105" s="243"/>
      <c r="O105" s="243"/>
      <c r="P105" s="243"/>
      <c r="Q105" s="243"/>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53"/>
    </row>
    <row r="106" spans="1:51" ht="60" customHeight="1" outlineLevel="1" x14ac:dyDescent="0.35">
      <c r="A106" s="247" t="s">
        <v>5586</v>
      </c>
      <c r="B106" s="235" t="s">
        <v>5587</v>
      </c>
      <c r="C106" s="235"/>
      <c r="D106" s="235"/>
      <c r="E106" s="235"/>
      <c r="F106" s="235"/>
      <c r="G106" s="235"/>
      <c r="H106" s="235"/>
      <c r="I106" s="235"/>
      <c r="J106" s="235"/>
      <c r="K106" s="238" t="str">
        <f>IF(COUNTIF(L106:AY106,"&lt;&gt;")=0,"",SUMPRODUCT(((Recommendations[ImplStatus]="Implemented")+(Recommendations[ImplStatus]="Compensated"))*ISNUMBER(MATCH(Recommendations[Id],L106:AY106,0)))/COUNTIF(L106:AY106,"&lt;&gt;"))</f>
        <v/>
      </c>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51"/>
    </row>
    <row r="107" spans="1:51" ht="60" customHeight="1" outlineLevel="1" x14ac:dyDescent="0.35">
      <c r="A107" s="248" t="s">
        <v>2461</v>
      </c>
      <c r="B107" s="236" t="s">
        <v>5588</v>
      </c>
      <c r="C107" s="236"/>
      <c r="D107" s="236"/>
      <c r="E107" s="236"/>
      <c r="F107" s="236"/>
      <c r="G107" s="236"/>
      <c r="H107" s="236"/>
      <c r="I107" s="236"/>
      <c r="J107" s="236"/>
      <c r="K107" s="239" t="str">
        <f>IF(COUNTIF(L107:AY107,"&lt;&gt;")=0,"",SUMPRODUCT(((Recommendations[ImplStatus]="Implemented")+(Recommendations[ImplStatus]="Compensated"))*ISNUMBER(MATCH(Recommendations[Id],L107:AY107,0)))/COUNTIF(L107:AY107,"&lt;&gt;"))</f>
        <v/>
      </c>
      <c r="L107" s="242"/>
      <c r="M107" s="242"/>
      <c r="N107" s="242"/>
      <c r="O107" s="242"/>
      <c r="P107" s="242"/>
      <c r="Q107" s="242"/>
      <c r="R107" s="242"/>
      <c r="S107" s="242"/>
      <c r="T107" s="242"/>
      <c r="U107" s="242"/>
      <c r="V107" s="242"/>
      <c r="W107" s="242"/>
      <c r="X107" s="242"/>
      <c r="Y107" s="242"/>
      <c r="Z107" s="242"/>
      <c r="AA107" s="242"/>
      <c r="AB107" s="242"/>
      <c r="AC107" s="242"/>
      <c r="AD107" s="242"/>
      <c r="AE107" s="242"/>
      <c r="AF107" s="242"/>
      <c r="AG107" s="242"/>
      <c r="AH107" s="242"/>
      <c r="AI107" s="242"/>
      <c r="AJ107" s="242"/>
      <c r="AK107" s="242"/>
      <c r="AL107" s="242"/>
      <c r="AM107" s="242"/>
      <c r="AN107" s="242"/>
      <c r="AO107" s="242"/>
      <c r="AP107" s="242"/>
      <c r="AQ107" s="242"/>
      <c r="AR107" s="242"/>
      <c r="AS107" s="242"/>
      <c r="AT107" s="242"/>
      <c r="AU107" s="242"/>
      <c r="AV107" s="242"/>
      <c r="AW107" s="242"/>
      <c r="AX107" s="242"/>
      <c r="AY107" s="252"/>
    </row>
    <row r="108" spans="1:51" ht="60" customHeight="1" x14ac:dyDescent="0.35">
      <c r="A108" s="249" t="s">
        <v>5589</v>
      </c>
      <c r="B108" s="237" t="s">
        <v>5590</v>
      </c>
      <c r="C108" s="237" t="s">
        <v>5591</v>
      </c>
      <c r="D108" s="237" t="s">
        <v>5255</v>
      </c>
      <c r="E108" s="237" t="s">
        <v>5041</v>
      </c>
      <c r="F108" s="237" t="s">
        <v>21</v>
      </c>
      <c r="G108" s="237" t="s">
        <v>21</v>
      </c>
      <c r="H108" s="237" t="s">
        <v>5592</v>
      </c>
      <c r="I108" s="237" t="s">
        <v>21</v>
      </c>
      <c r="J108" s="237" t="s">
        <v>5593</v>
      </c>
      <c r="K108" s="240" t="str">
        <f>IF(COUNTIF(L108:AY108,"&lt;&gt;")=0,"",SUMPRODUCT(((Recommendations[ImplStatus]="Implemented")+(Recommendations[ImplStatus]="Compensated"))*ISNUMBER(MATCH(Recommendations[Id],L108:AY108,0)))/COUNTIF(L108:AY108,"&lt;&gt;"))</f>
        <v/>
      </c>
      <c r="L108" s="243"/>
      <c r="M108" s="243"/>
      <c r="N108" s="243"/>
      <c r="O108" s="243"/>
      <c r="P108" s="243"/>
      <c r="Q108" s="243"/>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53"/>
    </row>
    <row r="109" spans="1:51" ht="60" customHeight="1" x14ac:dyDescent="0.35">
      <c r="A109" s="249" t="s">
        <v>5594</v>
      </c>
      <c r="B109" s="237" t="s">
        <v>5595</v>
      </c>
      <c r="C109" s="237" t="s">
        <v>5596</v>
      </c>
      <c r="D109" s="237" t="s">
        <v>5047</v>
      </c>
      <c r="E109" s="237" t="s">
        <v>21</v>
      </c>
      <c r="F109" s="237" t="s">
        <v>5049</v>
      </c>
      <c r="G109" s="237" t="s">
        <v>21</v>
      </c>
      <c r="H109" s="237" t="s">
        <v>5597</v>
      </c>
      <c r="I109" s="237" t="s">
        <v>21</v>
      </c>
      <c r="J109" s="237" t="s">
        <v>5598</v>
      </c>
      <c r="K109" s="240" t="str">
        <f>IF(COUNTIF(L109:AY109,"&lt;&gt;")=0,"",SUMPRODUCT(((Recommendations[ImplStatus]="Implemented")+(Recommendations[ImplStatus]="Compensated"))*ISNUMBER(MATCH(Recommendations[Id],L109:AY109,0)))/COUNTIF(L109:AY109,"&lt;&gt;"))</f>
        <v/>
      </c>
      <c r="L109" s="243"/>
      <c r="M109" s="243"/>
      <c r="N109" s="243"/>
      <c r="O109" s="243"/>
      <c r="P109" s="243"/>
      <c r="Q109" s="243"/>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53"/>
    </row>
    <row r="110" spans="1:51" ht="60" customHeight="1" outlineLevel="1" x14ac:dyDescent="0.35">
      <c r="A110" s="248" t="s">
        <v>2465</v>
      </c>
      <c r="B110" s="236" t="s">
        <v>5599</v>
      </c>
      <c r="C110" s="236"/>
      <c r="D110" s="236"/>
      <c r="E110" s="236"/>
      <c r="F110" s="236"/>
      <c r="G110" s="236"/>
      <c r="H110" s="236"/>
      <c r="I110" s="236"/>
      <c r="J110" s="236"/>
      <c r="K110" s="239" t="str">
        <f>IF(COUNTIF(L110:AY110,"&lt;&gt;")=0,"",SUMPRODUCT(((Recommendations[ImplStatus]="Implemented")+(Recommendations[ImplStatus]="Compensated"))*ISNUMBER(MATCH(Recommendations[Id],L110:AY110,0)))/COUNTIF(L110:AY110,"&lt;&gt;"))</f>
        <v/>
      </c>
      <c r="L110" s="242"/>
      <c r="M110" s="242"/>
      <c r="N110" s="242"/>
      <c r="O110" s="242"/>
      <c r="P110" s="242"/>
      <c r="Q110" s="242"/>
      <c r="R110" s="242"/>
      <c r="S110" s="242"/>
      <c r="T110" s="242"/>
      <c r="U110" s="242"/>
      <c r="V110" s="242"/>
      <c r="W110" s="242"/>
      <c r="X110" s="242"/>
      <c r="Y110" s="242"/>
      <c r="Z110" s="242"/>
      <c r="AA110" s="242"/>
      <c r="AB110" s="242"/>
      <c r="AC110" s="242"/>
      <c r="AD110" s="242"/>
      <c r="AE110" s="242"/>
      <c r="AF110" s="242"/>
      <c r="AG110" s="242"/>
      <c r="AH110" s="242"/>
      <c r="AI110" s="242"/>
      <c r="AJ110" s="242"/>
      <c r="AK110" s="242"/>
      <c r="AL110" s="242"/>
      <c r="AM110" s="242"/>
      <c r="AN110" s="242"/>
      <c r="AO110" s="242"/>
      <c r="AP110" s="242"/>
      <c r="AQ110" s="242"/>
      <c r="AR110" s="242"/>
      <c r="AS110" s="242"/>
      <c r="AT110" s="242"/>
      <c r="AU110" s="242"/>
      <c r="AV110" s="242"/>
      <c r="AW110" s="242"/>
      <c r="AX110" s="242"/>
      <c r="AY110" s="252"/>
    </row>
    <row r="111" spans="1:51" ht="60" customHeight="1" x14ac:dyDescent="0.35">
      <c r="A111" s="249" t="s">
        <v>5600</v>
      </c>
      <c r="B111" s="237" t="s">
        <v>5601</v>
      </c>
      <c r="C111" s="237" t="s">
        <v>5602</v>
      </c>
      <c r="D111" s="237" t="s">
        <v>5603</v>
      </c>
      <c r="E111" s="237" t="s">
        <v>21</v>
      </c>
      <c r="F111" s="237" t="s">
        <v>5604</v>
      </c>
      <c r="G111" s="237" t="s">
        <v>21</v>
      </c>
      <c r="H111" s="237" t="s">
        <v>5605</v>
      </c>
      <c r="I111" s="237" t="s">
        <v>5606</v>
      </c>
      <c r="J111" s="237" t="s">
        <v>5607</v>
      </c>
      <c r="K111" s="240" t="str">
        <f>IF(COUNTIF(L111:AY111,"&lt;&gt;")=0,"",SUMPRODUCT(((Recommendations[ImplStatus]="Implemented")+(Recommendations[ImplStatus]="Compensated"))*ISNUMBER(MATCH(Recommendations[Id],L111:AY111,0)))/COUNTIF(L111:AY111,"&lt;&gt;"))</f>
        <v/>
      </c>
      <c r="L111" s="243"/>
      <c r="M111" s="243"/>
      <c r="N111" s="243"/>
      <c r="O111" s="243"/>
      <c r="P111" s="243"/>
      <c r="Q111" s="243"/>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53"/>
    </row>
    <row r="112" spans="1:51" ht="60" customHeight="1" x14ac:dyDescent="0.35">
      <c r="A112" s="249" t="s">
        <v>5608</v>
      </c>
      <c r="B112" s="237" t="s">
        <v>5609</v>
      </c>
      <c r="C112" s="237" t="s">
        <v>5610</v>
      </c>
      <c r="D112" s="237" t="s">
        <v>5611</v>
      </c>
      <c r="E112" s="237" t="s">
        <v>21</v>
      </c>
      <c r="F112" s="237" t="s">
        <v>21</v>
      </c>
      <c r="G112" s="237" t="s">
        <v>21</v>
      </c>
      <c r="H112" s="237" t="s">
        <v>5612</v>
      </c>
      <c r="I112" s="237" t="s">
        <v>21</v>
      </c>
      <c r="J112" s="237" t="s">
        <v>5613</v>
      </c>
      <c r="K112" s="240" t="str">
        <f>IF(COUNTIF(L112:AY112,"&lt;&gt;")=0,"",SUMPRODUCT(((Recommendations[ImplStatus]="Implemented")+(Recommendations[ImplStatus]="Compensated"))*ISNUMBER(MATCH(Recommendations[Id],L112:AY112,0)))/COUNTIF(L112:AY112,"&lt;&gt;"))</f>
        <v/>
      </c>
      <c r="L112" s="243"/>
      <c r="M112" s="243"/>
      <c r="N112" s="243"/>
      <c r="O112" s="243"/>
      <c r="P112" s="243"/>
      <c r="Q112" s="243"/>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53"/>
    </row>
    <row r="113" spans="1:51" ht="60" customHeight="1" x14ac:dyDescent="0.35">
      <c r="A113" s="249" t="s">
        <v>5614</v>
      </c>
      <c r="B113" s="237" t="s">
        <v>5615</v>
      </c>
      <c r="C113" s="237" t="s">
        <v>5616</v>
      </c>
      <c r="D113" s="237" t="s">
        <v>5617</v>
      </c>
      <c r="E113" s="237" t="s">
        <v>21</v>
      </c>
      <c r="F113" s="237" t="s">
        <v>21</v>
      </c>
      <c r="G113" s="237" t="s">
        <v>21</v>
      </c>
      <c r="H113" s="237" t="s">
        <v>5618</v>
      </c>
      <c r="I113" s="237" t="s">
        <v>5619</v>
      </c>
      <c r="J113" s="237" t="s">
        <v>5620</v>
      </c>
      <c r="K113" s="240" t="str">
        <f>IF(COUNTIF(L113:AY113,"&lt;&gt;")=0,"",SUMPRODUCT(((Recommendations[ImplStatus]="Implemented")+(Recommendations[ImplStatus]="Compensated"))*ISNUMBER(MATCH(Recommendations[Id],L113:AY113,0)))/COUNTIF(L113:AY113,"&lt;&gt;"))</f>
        <v/>
      </c>
      <c r="L113" s="243"/>
      <c r="M113" s="243"/>
      <c r="N113" s="243"/>
      <c r="O113" s="243"/>
      <c r="P113" s="243"/>
      <c r="Q113" s="243"/>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53"/>
    </row>
    <row r="114" spans="1:51" ht="60" customHeight="1" x14ac:dyDescent="0.35">
      <c r="A114" s="249" t="s">
        <v>5621</v>
      </c>
      <c r="B114" s="237" t="s">
        <v>5622</v>
      </c>
      <c r="C114" s="237" t="s">
        <v>5623</v>
      </c>
      <c r="D114" s="237" t="s">
        <v>5624</v>
      </c>
      <c r="E114" s="237" t="s">
        <v>21</v>
      </c>
      <c r="F114" s="237" t="s">
        <v>21</v>
      </c>
      <c r="G114" s="237" t="s">
        <v>5625</v>
      </c>
      <c r="H114" s="237" t="s">
        <v>5626</v>
      </c>
      <c r="I114" s="237" t="s">
        <v>5627</v>
      </c>
      <c r="J114" s="237" t="s">
        <v>5628</v>
      </c>
      <c r="K114" s="240" t="str">
        <f>IF(COUNTIF(L114:AY114,"&lt;&gt;")=0,"",SUMPRODUCT(((Recommendations[ImplStatus]="Implemented")+(Recommendations[ImplStatus]="Compensated"))*ISNUMBER(MATCH(Recommendations[Id],L114:AY114,0)))/COUNTIF(L114:AY114,"&lt;&gt;"))</f>
        <v/>
      </c>
      <c r="L114" s="243"/>
      <c r="M114" s="243"/>
      <c r="N114" s="243"/>
      <c r="O114" s="243"/>
      <c r="P114" s="243"/>
      <c r="Q114" s="243"/>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53"/>
    </row>
    <row r="115" spans="1:51" ht="60" customHeight="1" x14ac:dyDescent="0.35">
      <c r="A115" s="249" t="s">
        <v>5629</v>
      </c>
      <c r="B115" s="237" t="s">
        <v>5630</v>
      </c>
      <c r="C115" s="237" t="s">
        <v>5631</v>
      </c>
      <c r="D115" s="237" t="s">
        <v>5632</v>
      </c>
      <c r="E115" s="237" t="s">
        <v>21</v>
      </c>
      <c r="F115" s="237" t="s">
        <v>5633</v>
      </c>
      <c r="G115" s="237" t="s">
        <v>21</v>
      </c>
      <c r="H115" s="237" t="s">
        <v>5634</v>
      </c>
      <c r="I115" s="237" t="s">
        <v>5634</v>
      </c>
      <c r="J115" s="237" t="s">
        <v>5635</v>
      </c>
      <c r="K115" s="240" t="str">
        <f>IF(COUNTIF(L115:AY115,"&lt;&gt;")=0,"",SUMPRODUCT(((Recommendations[ImplStatus]="Implemented")+(Recommendations[ImplStatus]="Compensated"))*ISNUMBER(MATCH(Recommendations[Id],L115:AY115,0)))/COUNTIF(L115:AY115,"&lt;&gt;"))</f>
        <v/>
      </c>
      <c r="L115" s="243"/>
      <c r="M115" s="243"/>
      <c r="N115" s="243"/>
      <c r="O115" s="243"/>
      <c r="P115" s="243"/>
      <c r="Q115" s="243"/>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53"/>
    </row>
    <row r="116" spans="1:51" ht="60" customHeight="1" outlineLevel="1" x14ac:dyDescent="0.35">
      <c r="A116" s="248" t="s">
        <v>2469</v>
      </c>
      <c r="B116" s="236" t="s">
        <v>5636</v>
      </c>
      <c r="C116" s="236"/>
      <c r="D116" s="236"/>
      <c r="E116" s="236"/>
      <c r="F116" s="236"/>
      <c r="G116" s="236"/>
      <c r="H116" s="236"/>
      <c r="I116" s="236"/>
      <c r="J116" s="236"/>
      <c r="K116" s="239" t="str">
        <f>IF(COUNTIF(L116:AY116,"&lt;&gt;")=0,"",SUMPRODUCT(((Recommendations[ImplStatus]="Implemented")+(Recommendations[ImplStatus]="Compensated"))*ISNUMBER(MATCH(Recommendations[Id],L116:AY116,0)))/COUNTIF(L116:AY116,"&lt;&gt;"))</f>
        <v/>
      </c>
      <c r="L116" s="242"/>
      <c r="M116" s="242"/>
      <c r="N116" s="242"/>
      <c r="O116" s="242"/>
      <c r="P116" s="242"/>
      <c r="Q116" s="242"/>
      <c r="R116" s="242"/>
      <c r="S116" s="242"/>
      <c r="T116" s="242"/>
      <c r="U116" s="242"/>
      <c r="V116" s="242"/>
      <c r="W116" s="242"/>
      <c r="X116" s="242"/>
      <c r="Y116" s="242"/>
      <c r="Z116" s="242"/>
      <c r="AA116" s="242"/>
      <c r="AB116" s="242"/>
      <c r="AC116" s="242"/>
      <c r="AD116" s="242"/>
      <c r="AE116" s="242"/>
      <c r="AF116" s="242"/>
      <c r="AG116" s="242"/>
      <c r="AH116" s="242"/>
      <c r="AI116" s="242"/>
      <c r="AJ116" s="242"/>
      <c r="AK116" s="242"/>
      <c r="AL116" s="242"/>
      <c r="AM116" s="242"/>
      <c r="AN116" s="242"/>
      <c r="AO116" s="242"/>
      <c r="AP116" s="242"/>
      <c r="AQ116" s="242"/>
      <c r="AR116" s="242"/>
      <c r="AS116" s="242"/>
      <c r="AT116" s="242"/>
      <c r="AU116" s="242"/>
      <c r="AV116" s="242"/>
      <c r="AW116" s="242"/>
      <c r="AX116" s="242"/>
      <c r="AY116" s="252"/>
    </row>
    <row r="117" spans="1:51" ht="60" customHeight="1" x14ac:dyDescent="0.35">
      <c r="A117" s="249" t="s">
        <v>5637</v>
      </c>
      <c r="B117" s="237" t="s">
        <v>5638</v>
      </c>
      <c r="C117" s="237" t="s">
        <v>5639</v>
      </c>
      <c r="D117" s="237" t="s">
        <v>5640</v>
      </c>
      <c r="E117" s="237" t="s">
        <v>21</v>
      </c>
      <c r="F117" s="237" t="s">
        <v>5641</v>
      </c>
      <c r="G117" s="237" t="s">
        <v>5642</v>
      </c>
      <c r="H117" s="237" t="s">
        <v>5643</v>
      </c>
      <c r="I117" s="237" t="s">
        <v>5644</v>
      </c>
      <c r="J117" s="237" t="s">
        <v>5645</v>
      </c>
      <c r="K117" s="240" t="str">
        <f>IF(COUNTIF(L117:AY117,"&lt;&gt;")=0,"",SUMPRODUCT(((Recommendations[ImplStatus]="Implemented")+(Recommendations[ImplStatus]="Compensated"))*ISNUMBER(MATCH(Recommendations[Id],L117:AY117,0)))/COUNTIF(L117:AY117,"&lt;&gt;"))</f>
        <v/>
      </c>
      <c r="L117" s="243"/>
      <c r="M117" s="243"/>
      <c r="N117" s="243"/>
      <c r="O117" s="243"/>
      <c r="P117" s="243"/>
      <c r="Q117" s="243"/>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53"/>
    </row>
    <row r="118" spans="1:51" ht="60" customHeight="1" x14ac:dyDescent="0.35">
      <c r="A118" s="249" t="s">
        <v>5646</v>
      </c>
      <c r="B118" s="237" t="s">
        <v>5647</v>
      </c>
      <c r="C118" s="237" t="s">
        <v>5648</v>
      </c>
      <c r="D118" s="237" t="s">
        <v>5649</v>
      </c>
      <c r="E118" s="237" t="s">
        <v>21</v>
      </c>
      <c r="F118" s="237" t="s">
        <v>21</v>
      </c>
      <c r="G118" s="237" t="s">
        <v>21</v>
      </c>
      <c r="H118" s="237" t="s">
        <v>5650</v>
      </c>
      <c r="I118" s="237" t="s">
        <v>5483</v>
      </c>
      <c r="J118" s="237" t="s">
        <v>5651</v>
      </c>
      <c r="K118" s="240" t="str">
        <f>IF(COUNTIF(L118:AY118,"&lt;&gt;")=0,"",SUMPRODUCT(((Recommendations[ImplStatus]="Implemented")+(Recommendations[ImplStatus]="Compensated"))*ISNUMBER(MATCH(Recommendations[Id],L118:AY118,0)))/COUNTIF(L118:AY118,"&lt;&gt;"))</f>
        <v/>
      </c>
      <c r="L118" s="243"/>
      <c r="M118" s="243"/>
      <c r="N118" s="243"/>
      <c r="O118" s="243"/>
      <c r="P118" s="243"/>
      <c r="Q118" s="243"/>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53"/>
    </row>
    <row r="119" spans="1:51" ht="60" customHeight="1" x14ac:dyDescent="0.35">
      <c r="A119" s="249" t="s">
        <v>5652</v>
      </c>
      <c r="B119" s="237" t="s">
        <v>5653</v>
      </c>
      <c r="C119" s="237" t="s">
        <v>5654</v>
      </c>
      <c r="D119" s="237" t="s">
        <v>5655</v>
      </c>
      <c r="E119" s="237" t="s">
        <v>21</v>
      </c>
      <c r="F119" s="237" t="s">
        <v>5656</v>
      </c>
      <c r="G119" s="237" t="s">
        <v>21</v>
      </c>
      <c r="H119" s="237" t="s">
        <v>5657</v>
      </c>
      <c r="I119" s="237" t="s">
        <v>5658</v>
      </c>
      <c r="J119" s="237" t="s">
        <v>5659</v>
      </c>
      <c r="K119" s="240">
        <f>IF(COUNTIF(L119:AY119,"&lt;&gt;")=0,"",SUMPRODUCT(((Recommendations[ImplStatus]="Implemented")+(Recommendations[ImplStatus]="Compensated"))*ISNUMBER(MATCH(Recommendations[Id],L119:AY119,0)))/COUNTIF(L119:AY119,"&lt;&gt;"))</f>
        <v>0</v>
      </c>
      <c r="L119" s="243" t="s">
        <v>223</v>
      </c>
      <c r="M119" s="243" t="s">
        <v>1962</v>
      </c>
      <c r="N119" s="243"/>
      <c r="O119" s="243"/>
      <c r="P119" s="243"/>
      <c r="Q119" s="243"/>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53"/>
    </row>
    <row r="120" spans="1:51" ht="60" customHeight="1" outlineLevel="1" x14ac:dyDescent="0.35">
      <c r="A120" s="248" t="s">
        <v>2473</v>
      </c>
      <c r="B120" s="236" t="s">
        <v>5660</v>
      </c>
      <c r="C120" s="236"/>
      <c r="D120" s="236"/>
      <c r="E120" s="236"/>
      <c r="F120" s="236"/>
      <c r="G120" s="236"/>
      <c r="H120" s="236"/>
      <c r="I120" s="236"/>
      <c r="J120" s="236"/>
      <c r="K120" s="239" t="str">
        <f>IF(COUNTIF(L120:AY120,"&lt;&gt;")=0,"",SUMPRODUCT(((Recommendations[ImplStatus]="Implemented")+(Recommendations[ImplStatus]="Compensated"))*ISNUMBER(MATCH(Recommendations[Id],L120:AY120,0)))/COUNTIF(L120:AY120,"&lt;&gt;"))</f>
        <v/>
      </c>
      <c r="L120" s="242"/>
      <c r="M120" s="242"/>
      <c r="N120" s="242"/>
      <c r="O120" s="242"/>
      <c r="P120" s="242"/>
      <c r="Q120" s="242"/>
      <c r="R120" s="242"/>
      <c r="S120" s="242"/>
      <c r="T120" s="242"/>
      <c r="U120" s="242"/>
      <c r="V120" s="242"/>
      <c r="W120" s="242"/>
      <c r="X120" s="242"/>
      <c r="Y120" s="242"/>
      <c r="Z120" s="242"/>
      <c r="AA120" s="242"/>
      <c r="AB120" s="242"/>
      <c r="AC120" s="242"/>
      <c r="AD120" s="242"/>
      <c r="AE120" s="242"/>
      <c r="AF120" s="242"/>
      <c r="AG120" s="242"/>
      <c r="AH120" s="242"/>
      <c r="AI120" s="242"/>
      <c r="AJ120" s="242"/>
      <c r="AK120" s="242"/>
      <c r="AL120" s="242"/>
      <c r="AM120" s="242"/>
      <c r="AN120" s="242"/>
      <c r="AO120" s="242"/>
      <c r="AP120" s="242"/>
      <c r="AQ120" s="242"/>
      <c r="AR120" s="242"/>
      <c r="AS120" s="242"/>
      <c r="AT120" s="242"/>
      <c r="AU120" s="242"/>
      <c r="AV120" s="242"/>
      <c r="AW120" s="242"/>
      <c r="AX120" s="242"/>
      <c r="AY120" s="252"/>
    </row>
    <row r="121" spans="1:51" ht="60" customHeight="1" x14ac:dyDescent="0.35">
      <c r="A121" s="249" t="s">
        <v>5661</v>
      </c>
      <c r="B121" s="237" t="s">
        <v>5662</v>
      </c>
      <c r="C121" s="237" t="s">
        <v>21</v>
      </c>
      <c r="D121" s="237" t="s">
        <v>21</v>
      </c>
      <c r="E121" s="237" t="s">
        <v>21</v>
      </c>
      <c r="F121" s="237" t="s">
        <v>21</v>
      </c>
      <c r="G121" s="237" t="s">
        <v>21</v>
      </c>
      <c r="H121" s="237" t="s">
        <v>21</v>
      </c>
      <c r="I121" s="237" t="s">
        <v>21</v>
      </c>
      <c r="J121" s="237" t="s">
        <v>21</v>
      </c>
      <c r="K121" s="240" t="str">
        <f>IF(COUNTIF(L121:AY121,"&lt;&gt;")=0,"",SUMPRODUCT(((Recommendations[ImplStatus]="Implemented")+(Recommendations[ImplStatus]="Compensated"))*ISNUMBER(MATCH(Recommendations[Id],L121:AY121,0)))/COUNTIF(L121:AY121,"&lt;&gt;"))</f>
        <v/>
      </c>
      <c r="L121" s="243"/>
      <c r="M121" s="243"/>
      <c r="N121" s="243"/>
      <c r="O121" s="243"/>
      <c r="P121" s="243"/>
      <c r="Q121" s="243"/>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53"/>
    </row>
    <row r="122" spans="1:51" ht="60" customHeight="1" x14ac:dyDescent="0.35">
      <c r="A122" s="249" t="s">
        <v>5663</v>
      </c>
      <c r="B122" s="237" t="s">
        <v>5664</v>
      </c>
      <c r="C122" s="237" t="s">
        <v>5665</v>
      </c>
      <c r="D122" s="237" t="s">
        <v>5666</v>
      </c>
      <c r="E122" s="237" t="s">
        <v>21</v>
      </c>
      <c r="F122" s="237" t="s">
        <v>5667</v>
      </c>
      <c r="G122" s="237" t="s">
        <v>21</v>
      </c>
      <c r="H122" s="237" t="s">
        <v>5668</v>
      </c>
      <c r="I122" s="237" t="s">
        <v>5669</v>
      </c>
      <c r="J122" s="237" t="s">
        <v>5670</v>
      </c>
      <c r="K122" s="240" t="str">
        <f>IF(COUNTIF(L122:AY122,"&lt;&gt;")=0,"",SUMPRODUCT(((Recommendations[ImplStatus]="Implemented")+(Recommendations[ImplStatus]="Compensated"))*ISNUMBER(MATCH(Recommendations[Id],L122:AY122,0)))/COUNTIF(L122:AY122,"&lt;&gt;"))</f>
        <v/>
      </c>
      <c r="L122" s="243"/>
      <c r="M122" s="243"/>
      <c r="N122" s="243"/>
      <c r="O122" s="243"/>
      <c r="P122" s="243"/>
      <c r="Q122" s="243"/>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53"/>
    </row>
    <row r="123" spans="1:51" ht="60" customHeight="1" x14ac:dyDescent="0.35">
      <c r="A123" s="249" t="s">
        <v>5671</v>
      </c>
      <c r="B123" s="237" t="s">
        <v>5672</v>
      </c>
      <c r="C123" s="237" t="s">
        <v>5673</v>
      </c>
      <c r="D123" s="237" t="s">
        <v>5674</v>
      </c>
      <c r="E123" s="237" t="s">
        <v>21</v>
      </c>
      <c r="F123" s="237" t="s">
        <v>5675</v>
      </c>
      <c r="G123" s="237" t="s">
        <v>21</v>
      </c>
      <c r="H123" s="237" t="s">
        <v>5676</v>
      </c>
      <c r="I123" s="237" t="s">
        <v>21</v>
      </c>
      <c r="J123" s="237" t="s">
        <v>5677</v>
      </c>
      <c r="K123" s="240" t="str">
        <f>IF(COUNTIF(L123:AY123,"&lt;&gt;")=0,"",SUMPRODUCT(((Recommendations[ImplStatus]="Implemented")+(Recommendations[ImplStatus]="Compensated"))*ISNUMBER(MATCH(Recommendations[Id],L123:AY123,0)))/COUNTIF(L123:AY123,"&lt;&gt;"))</f>
        <v/>
      </c>
      <c r="L123" s="243"/>
      <c r="M123" s="243"/>
      <c r="N123" s="243"/>
      <c r="O123" s="243"/>
      <c r="P123" s="243"/>
      <c r="Q123" s="243"/>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53"/>
    </row>
    <row r="124" spans="1:51" ht="60" customHeight="1" outlineLevel="1" x14ac:dyDescent="0.35">
      <c r="A124" s="248" t="s">
        <v>2477</v>
      </c>
      <c r="B124" s="236" t="s">
        <v>5678</v>
      </c>
      <c r="C124" s="236"/>
      <c r="D124" s="236"/>
      <c r="E124" s="236"/>
      <c r="F124" s="236"/>
      <c r="G124" s="236"/>
      <c r="H124" s="236"/>
      <c r="I124" s="236"/>
      <c r="J124" s="236"/>
      <c r="K124" s="239" t="str">
        <f>IF(COUNTIF(L124:AY124,"&lt;&gt;")=0,"",SUMPRODUCT(((Recommendations[ImplStatus]="Implemented")+(Recommendations[ImplStatus]="Compensated"))*ISNUMBER(MATCH(Recommendations[Id],L124:AY124,0)))/COUNTIF(L124:AY124,"&lt;&gt;"))</f>
        <v/>
      </c>
      <c r="L124" s="242"/>
      <c r="M124" s="242"/>
      <c r="N124" s="242"/>
      <c r="O124" s="242"/>
      <c r="P124" s="242"/>
      <c r="Q124" s="242"/>
      <c r="R124" s="242"/>
      <c r="S124" s="242"/>
      <c r="T124" s="242"/>
      <c r="U124" s="242"/>
      <c r="V124" s="242"/>
      <c r="W124" s="242"/>
      <c r="X124" s="242"/>
      <c r="Y124" s="242"/>
      <c r="Z124" s="242"/>
      <c r="AA124" s="242"/>
      <c r="AB124" s="242"/>
      <c r="AC124" s="242"/>
      <c r="AD124" s="242"/>
      <c r="AE124" s="242"/>
      <c r="AF124" s="242"/>
      <c r="AG124" s="242"/>
      <c r="AH124" s="242"/>
      <c r="AI124" s="242"/>
      <c r="AJ124" s="242"/>
      <c r="AK124" s="242"/>
      <c r="AL124" s="242"/>
      <c r="AM124" s="242"/>
      <c r="AN124" s="242"/>
      <c r="AO124" s="242"/>
      <c r="AP124" s="242"/>
      <c r="AQ124" s="242"/>
      <c r="AR124" s="242"/>
      <c r="AS124" s="242"/>
      <c r="AT124" s="242"/>
      <c r="AU124" s="242"/>
      <c r="AV124" s="242"/>
      <c r="AW124" s="242"/>
      <c r="AX124" s="242"/>
      <c r="AY124" s="252"/>
    </row>
    <row r="125" spans="1:51" ht="60" customHeight="1" x14ac:dyDescent="0.35">
      <c r="A125" s="249" t="s">
        <v>5679</v>
      </c>
      <c r="B125" s="237" t="s">
        <v>5680</v>
      </c>
      <c r="C125" s="237" t="s">
        <v>5681</v>
      </c>
      <c r="D125" s="237" t="s">
        <v>5682</v>
      </c>
      <c r="E125" s="237" t="s">
        <v>21</v>
      </c>
      <c r="F125" s="237" t="s">
        <v>21</v>
      </c>
      <c r="G125" s="237" t="s">
        <v>21</v>
      </c>
      <c r="H125" s="237" t="s">
        <v>5683</v>
      </c>
      <c r="I125" s="237" t="s">
        <v>21</v>
      </c>
      <c r="J125" s="237" t="s">
        <v>5684</v>
      </c>
      <c r="K125" s="240" t="str">
        <f>IF(COUNTIF(L125:AY125,"&lt;&gt;")=0,"",SUMPRODUCT(((Recommendations[ImplStatus]="Implemented")+(Recommendations[ImplStatus]="Compensated"))*ISNUMBER(MATCH(Recommendations[Id],L125:AY125,0)))/COUNTIF(L125:AY125,"&lt;&gt;"))</f>
        <v/>
      </c>
      <c r="L125" s="243"/>
      <c r="M125" s="243"/>
      <c r="N125" s="243"/>
      <c r="O125" s="243"/>
      <c r="P125" s="243"/>
      <c r="Q125" s="243"/>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53"/>
    </row>
    <row r="126" spans="1:51" ht="60" customHeight="1" x14ac:dyDescent="0.35">
      <c r="A126" s="249" t="s">
        <v>5685</v>
      </c>
      <c r="B126" s="237" t="s">
        <v>5686</v>
      </c>
      <c r="C126" s="237" t="s">
        <v>5687</v>
      </c>
      <c r="D126" s="237" t="s">
        <v>5688</v>
      </c>
      <c r="E126" s="237" t="s">
        <v>21</v>
      </c>
      <c r="F126" s="237" t="s">
        <v>5689</v>
      </c>
      <c r="G126" s="237" t="s">
        <v>21</v>
      </c>
      <c r="H126" s="237" t="s">
        <v>5690</v>
      </c>
      <c r="I126" s="237" t="s">
        <v>5691</v>
      </c>
      <c r="J126" s="237" t="s">
        <v>5692</v>
      </c>
      <c r="K126" s="240" t="str">
        <f>IF(COUNTIF(L126:AY126,"&lt;&gt;")=0,"",SUMPRODUCT(((Recommendations[ImplStatus]="Implemented")+(Recommendations[ImplStatus]="Compensated"))*ISNUMBER(MATCH(Recommendations[Id],L126:AY126,0)))/COUNTIF(L126:AY126,"&lt;&gt;"))</f>
        <v/>
      </c>
      <c r="L126" s="243"/>
      <c r="M126" s="243"/>
      <c r="N126" s="243"/>
      <c r="O126" s="243"/>
      <c r="P126" s="243"/>
      <c r="Q126" s="243"/>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53"/>
    </row>
    <row r="127" spans="1:51" ht="60" customHeight="1" x14ac:dyDescent="0.35">
      <c r="A127" s="249" t="s">
        <v>5693</v>
      </c>
      <c r="B127" s="237" t="s">
        <v>5694</v>
      </c>
      <c r="C127" s="237" t="s">
        <v>5695</v>
      </c>
      <c r="D127" s="237" t="s">
        <v>5696</v>
      </c>
      <c r="E127" s="237" t="s">
        <v>5697</v>
      </c>
      <c r="F127" s="237" t="s">
        <v>21</v>
      </c>
      <c r="G127" s="237" t="s">
        <v>21</v>
      </c>
      <c r="H127" s="237" t="s">
        <v>5698</v>
      </c>
      <c r="I127" s="237" t="s">
        <v>21</v>
      </c>
      <c r="J127" s="237" t="s">
        <v>5699</v>
      </c>
      <c r="K127" s="240" t="str">
        <f>IF(COUNTIF(L127:AY127,"&lt;&gt;")=0,"",SUMPRODUCT(((Recommendations[ImplStatus]="Implemented")+(Recommendations[ImplStatus]="Compensated"))*ISNUMBER(MATCH(Recommendations[Id],L127:AY127,0)))/COUNTIF(L127:AY127,"&lt;&gt;"))</f>
        <v/>
      </c>
      <c r="L127" s="243"/>
      <c r="M127" s="243"/>
      <c r="N127" s="243"/>
      <c r="O127" s="243"/>
      <c r="P127" s="243"/>
      <c r="Q127" s="243"/>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53"/>
    </row>
    <row r="128" spans="1:51" ht="60" customHeight="1" x14ac:dyDescent="0.35">
      <c r="A128" s="249" t="s">
        <v>5700</v>
      </c>
      <c r="B128" s="237" t="s">
        <v>5701</v>
      </c>
      <c r="C128" s="237" t="s">
        <v>5702</v>
      </c>
      <c r="D128" s="237" t="s">
        <v>21</v>
      </c>
      <c r="E128" s="237" t="s">
        <v>21</v>
      </c>
      <c r="F128" s="237" t="s">
        <v>21</v>
      </c>
      <c r="G128" s="237" t="s">
        <v>21</v>
      </c>
      <c r="H128" s="237" t="s">
        <v>5703</v>
      </c>
      <c r="I128" s="237" t="s">
        <v>5704</v>
      </c>
      <c r="J128" s="237" t="s">
        <v>5705</v>
      </c>
      <c r="K128" s="240" t="str">
        <f>IF(COUNTIF(L128:AY128,"&lt;&gt;")=0,"",SUMPRODUCT(((Recommendations[ImplStatus]="Implemented")+(Recommendations[ImplStatus]="Compensated"))*ISNUMBER(MATCH(Recommendations[Id],L128:AY128,0)))/COUNTIF(L128:AY128,"&lt;&gt;"))</f>
        <v/>
      </c>
      <c r="L128" s="243"/>
      <c r="M128" s="243"/>
      <c r="N128" s="243"/>
      <c r="O128" s="243"/>
      <c r="P128" s="243"/>
      <c r="Q128" s="243"/>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53"/>
    </row>
    <row r="129" spans="1:51" ht="60" customHeight="1" x14ac:dyDescent="0.35">
      <c r="A129" s="249" t="s">
        <v>5706</v>
      </c>
      <c r="B129" s="237" t="s">
        <v>5707</v>
      </c>
      <c r="C129" s="237" t="s">
        <v>5708</v>
      </c>
      <c r="D129" s="237" t="s">
        <v>21</v>
      </c>
      <c r="E129" s="237" t="s">
        <v>5709</v>
      </c>
      <c r="F129" s="237" t="s">
        <v>21</v>
      </c>
      <c r="G129" s="237" t="s">
        <v>21</v>
      </c>
      <c r="H129" s="237" t="s">
        <v>5710</v>
      </c>
      <c r="I129" s="237" t="s">
        <v>21</v>
      </c>
      <c r="J129" s="237" t="s">
        <v>5711</v>
      </c>
      <c r="K129" s="240" t="str">
        <f>IF(COUNTIF(L129:AY129,"&lt;&gt;")=0,"",SUMPRODUCT(((Recommendations[ImplStatus]="Implemented")+(Recommendations[ImplStatus]="Compensated"))*ISNUMBER(MATCH(Recommendations[Id],L129:AY129,0)))/COUNTIF(L129:AY129,"&lt;&gt;"))</f>
        <v/>
      </c>
      <c r="L129" s="243"/>
      <c r="M129" s="243"/>
      <c r="N129" s="243"/>
      <c r="O129" s="243"/>
      <c r="P129" s="243"/>
      <c r="Q129" s="243"/>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53"/>
    </row>
    <row r="130" spans="1:51" ht="60" customHeight="1" x14ac:dyDescent="0.35">
      <c r="A130" s="249" t="s">
        <v>5712</v>
      </c>
      <c r="B130" s="237" t="s">
        <v>5713</v>
      </c>
      <c r="C130" s="237" t="s">
        <v>5714</v>
      </c>
      <c r="D130" s="237" t="s">
        <v>21</v>
      </c>
      <c r="E130" s="237" t="s">
        <v>21</v>
      </c>
      <c r="F130" s="237" t="s">
        <v>21</v>
      </c>
      <c r="G130" s="237" t="s">
        <v>21</v>
      </c>
      <c r="H130" s="237" t="s">
        <v>5715</v>
      </c>
      <c r="I130" s="237" t="s">
        <v>21</v>
      </c>
      <c r="J130" s="237" t="s">
        <v>5716</v>
      </c>
      <c r="K130" s="240" t="str">
        <f>IF(COUNTIF(L130:AY130,"&lt;&gt;")=0,"",SUMPRODUCT(((Recommendations[ImplStatus]="Implemented")+(Recommendations[ImplStatus]="Compensated"))*ISNUMBER(MATCH(Recommendations[Id],L130:AY130,0)))/COUNTIF(L130:AY130,"&lt;&gt;"))</f>
        <v/>
      </c>
      <c r="L130" s="243"/>
      <c r="M130" s="243"/>
      <c r="N130" s="243"/>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53"/>
    </row>
    <row r="131" spans="1:51" ht="60" customHeight="1" outlineLevel="1" x14ac:dyDescent="0.35">
      <c r="A131" s="247" t="s">
        <v>5717</v>
      </c>
      <c r="B131" s="235" t="s">
        <v>5718</v>
      </c>
      <c r="C131" s="235"/>
      <c r="D131" s="235"/>
      <c r="E131" s="235"/>
      <c r="F131" s="235"/>
      <c r="G131" s="235"/>
      <c r="H131" s="235"/>
      <c r="I131" s="235"/>
      <c r="J131" s="235"/>
      <c r="K131" s="238" t="str">
        <f>IF(COUNTIF(L131:AY131,"&lt;&gt;")=0,"",SUMPRODUCT(((Recommendations[ImplStatus]="Implemented")+(Recommendations[ImplStatus]="Compensated"))*ISNUMBER(MATCH(Recommendations[Id],L131:AY131,0)))/COUNTIF(L131:AY131,"&lt;&gt;"))</f>
        <v/>
      </c>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51"/>
    </row>
    <row r="132" spans="1:51" ht="60" customHeight="1" outlineLevel="1" x14ac:dyDescent="0.35">
      <c r="A132" s="248" t="s">
        <v>2495</v>
      </c>
      <c r="B132" s="236" t="s">
        <v>5719</v>
      </c>
      <c r="C132" s="236"/>
      <c r="D132" s="236"/>
      <c r="E132" s="236"/>
      <c r="F132" s="236"/>
      <c r="G132" s="236"/>
      <c r="H132" s="236"/>
      <c r="I132" s="236"/>
      <c r="J132" s="236"/>
      <c r="K132" s="239" t="str">
        <f>IF(COUNTIF(L132:AY132,"&lt;&gt;")=0,"",SUMPRODUCT(((Recommendations[ImplStatus]="Implemented")+(Recommendations[ImplStatus]="Compensated"))*ISNUMBER(MATCH(Recommendations[Id],L132:AY132,0)))/COUNTIF(L132:AY132,"&lt;&gt;"))</f>
        <v/>
      </c>
      <c r="L132" s="242"/>
      <c r="M132" s="242"/>
      <c r="N132" s="242"/>
      <c r="O132" s="242"/>
      <c r="P132" s="242"/>
      <c r="Q132" s="242"/>
      <c r="R132" s="242"/>
      <c r="S132" s="242"/>
      <c r="T132" s="242"/>
      <c r="U132" s="242"/>
      <c r="V132" s="242"/>
      <c r="W132" s="242"/>
      <c r="X132" s="242"/>
      <c r="Y132" s="242"/>
      <c r="Z132" s="242"/>
      <c r="AA132" s="242"/>
      <c r="AB132" s="242"/>
      <c r="AC132" s="242"/>
      <c r="AD132" s="242"/>
      <c r="AE132" s="242"/>
      <c r="AF132" s="242"/>
      <c r="AG132" s="242"/>
      <c r="AH132" s="242"/>
      <c r="AI132" s="242"/>
      <c r="AJ132" s="242"/>
      <c r="AK132" s="242"/>
      <c r="AL132" s="242"/>
      <c r="AM132" s="242"/>
      <c r="AN132" s="242"/>
      <c r="AO132" s="242"/>
      <c r="AP132" s="242"/>
      <c r="AQ132" s="242"/>
      <c r="AR132" s="242"/>
      <c r="AS132" s="242"/>
      <c r="AT132" s="242"/>
      <c r="AU132" s="242"/>
      <c r="AV132" s="242"/>
      <c r="AW132" s="242"/>
      <c r="AX132" s="242"/>
      <c r="AY132" s="252"/>
    </row>
    <row r="133" spans="1:51" ht="60" customHeight="1" x14ac:dyDescent="0.35">
      <c r="A133" s="249" t="s">
        <v>5720</v>
      </c>
      <c r="B133" s="237" t="s">
        <v>5721</v>
      </c>
      <c r="C133" s="237" t="s">
        <v>5722</v>
      </c>
      <c r="D133" s="237" t="s">
        <v>5255</v>
      </c>
      <c r="E133" s="237" t="s">
        <v>5041</v>
      </c>
      <c r="F133" s="237" t="s">
        <v>21</v>
      </c>
      <c r="G133" s="237" t="s">
        <v>21</v>
      </c>
      <c r="H133" s="237" t="s">
        <v>5723</v>
      </c>
      <c r="I133" s="237" t="s">
        <v>21</v>
      </c>
      <c r="J133" s="237" t="s">
        <v>5724</v>
      </c>
      <c r="K133" s="240" t="str">
        <f>IF(COUNTIF(L133:AY133,"&lt;&gt;")=0,"",SUMPRODUCT(((Recommendations[ImplStatus]="Implemented")+(Recommendations[ImplStatus]="Compensated"))*ISNUMBER(MATCH(Recommendations[Id],L133:AY133,0)))/COUNTIF(L133:AY133,"&lt;&gt;"))</f>
        <v/>
      </c>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53"/>
    </row>
    <row r="134" spans="1:51" ht="60" customHeight="1" x14ac:dyDescent="0.35">
      <c r="A134" s="249" t="s">
        <v>5725</v>
      </c>
      <c r="B134" s="237" t="s">
        <v>5726</v>
      </c>
      <c r="C134" s="237" t="s">
        <v>5260</v>
      </c>
      <c r="D134" s="237" t="s">
        <v>5047</v>
      </c>
      <c r="E134" s="237" t="s">
        <v>21</v>
      </c>
      <c r="F134" s="237" t="s">
        <v>5049</v>
      </c>
      <c r="G134" s="237" t="s">
        <v>21</v>
      </c>
      <c r="H134" s="237" t="s">
        <v>5727</v>
      </c>
      <c r="I134" s="237" t="s">
        <v>21</v>
      </c>
      <c r="J134" s="237" t="s">
        <v>5728</v>
      </c>
      <c r="K134" s="240" t="str">
        <f>IF(COUNTIF(L134:AY134,"&lt;&gt;")=0,"",SUMPRODUCT(((Recommendations[ImplStatus]="Implemented")+(Recommendations[ImplStatus]="Compensated"))*ISNUMBER(MATCH(Recommendations[Id],L134:AY134,0)))/COUNTIF(L134:AY134,"&lt;&gt;"))</f>
        <v/>
      </c>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53"/>
    </row>
    <row r="135" spans="1:51" ht="60" customHeight="1" outlineLevel="1" x14ac:dyDescent="0.35">
      <c r="A135" s="248" t="s">
        <v>2499</v>
      </c>
      <c r="B135" s="236" t="s">
        <v>5729</v>
      </c>
      <c r="C135" s="236"/>
      <c r="D135" s="236"/>
      <c r="E135" s="236"/>
      <c r="F135" s="236"/>
      <c r="G135" s="236"/>
      <c r="H135" s="236"/>
      <c r="I135" s="236"/>
      <c r="J135" s="236"/>
      <c r="K135" s="239" t="str">
        <f>IF(COUNTIF(L135:AY135,"&lt;&gt;")=0,"",SUMPRODUCT(((Recommendations[ImplStatus]="Implemented")+(Recommendations[ImplStatus]="Compensated"))*ISNUMBER(MATCH(Recommendations[Id],L135:AY135,0)))/COUNTIF(L135:AY135,"&lt;&gt;"))</f>
        <v/>
      </c>
      <c r="L135" s="242"/>
      <c r="M135" s="242"/>
      <c r="N135" s="242"/>
      <c r="O135" s="242"/>
      <c r="P135" s="242"/>
      <c r="Q135" s="242"/>
      <c r="R135" s="242"/>
      <c r="S135" s="242"/>
      <c r="T135" s="242"/>
      <c r="U135" s="242"/>
      <c r="V135" s="242"/>
      <c r="W135" s="242"/>
      <c r="X135" s="242"/>
      <c r="Y135" s="242"/>
      <c r="Z135" s="242"/>
      <c r="AA135" s="242"/>
      <c r="AB135" s="242"/>
      <c r="AC135" s="242"/>
      <c r="AD135" s="242"/>
      <c r="AE135" s="242"/>
      <c r="AF135" s="242"/>
      <c r="AG135" s="242"/>
      <c r="AH135" s="242"/>
      <c r="AI135" s="242"/>
      <c r="AJ135" s="242"/>
      <c r="AK135" s="242"/>
      <c r="AL135" s="242"/>
      <c r="AM135" s="242"/>
      <c r="AN135" s="242"/>
      <c r="AO135" s="242"/>
      <c r="AP135" s="242"/>
      <c r="AQ135" s="242"/>
      <c r="AR135" s="242"/>
      <c r="AS135" s="242"/>
      <c r="AT135" s="242"/>
      <c r="AU135" s="242"/>
      <c r="AV135" s="242"/>
      <c r="AW135" s="242"/>
      <c r="AX135" s="242"/>
      <c r="AY135" s="252"/>
    </row>
    <row r="136" spans="1:51" ht="60" customHeight="1" x14ac:dyDescent="0.35">
      <c r="A136" s="249" t="s">
        <v>5730</v>
      </c>
      <c r="B136" s="237" t="s">
        <v>5731</v>
      </c>
      <c r="C136" s="237" t="s">
        <v>5732</v>
      </c>
      <c r="D136" s="237" t="s">
        <v>5733</v>
      </c>
      <c r="E136" s="237" t="s">
        <v>5734</v>
      </c>
      <c r="F136" s="237" t="s">
        <v>5735</v>
      </c>
      <c r="G136" s="237" t="s">
        <v>21</v>
      </c>
      <c r="H136" s="237" t="s">
        <v>5736</v>
      </c>
      <c r="I136" s="237" t="s">
        <v>21</v>
      </c>
      <c r="J136" s="237" t="s">
        <v>5737</v>
      </c>
      <c r="K136" s="240" t="str">
        <f>IF(COUNTIF(L136:AY136,"&lt;&gt;")=0,"",SUMPRODUCT(((Recommendations[ImplStatus]="Implemented")+(Recommendations[ImplStatus]="Compensated"))*ISNUMBER(MATCH(Recommendations[Id],L136:AY136,0)))/COUNTIF(L136:AY136,"&lt;&gt;"))</f>
        <v/>
      </c>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53"/>
    </row>
    <row r="137" spans="1:51" ht="60" customHeight="1" x14ac:dyDescent="0.35">
      <c r="A137" s="249" t="s">
        <v>5738</v>
      </c>
      <c r="B137" s="237" t="s">
        <v>5739</v>
      </c>
      <c r="C137" s="237" t="s">
        <v>5740</v>
      </c>
      <c r="D137" s="237" t="s">
        <v>5741</v>
      </c>
      <c r="E137" s="237" t="s">
        <v>21</v>
      </c>
      <c r="F137" s="237" t="s">
        <v>21</v>
      </c>
      <c r="G137" s="237" t="s">
        <v>21</v>
      </c>
      <c r="H137" s="237" t="s">
        <v>5742</v>
      </c>
      <c r="I137" s="237" t="s">
        <v>21</v>
      </c>
      <c r="J137" s="237" t="s">
        <v>5743</v>
      </c>
      <c r="K137" s="240" t="str">
        <f>IF(COUNTIF(L137:AY137,"&lt;&gt;")=0,"",SUMPRODUCT(((Recommendations[ImplStatus]="Implemented")+(Recommendations[ImplStatus]="Compensated"))*ISNUMBER(MATCH(Recommendations[Id],L137:AY137,0)))/COUNTIF(L137:AY137,"&lt;&gt;"))</f>
        <v/>
      </c>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53"/>
    </row>
    <row r="138" spans="1:51" ht="60" customHeight="1" x14ac:dyDescent="0.35">
      <c r="A138" s="249" t="s">
        <v>5744</v>
      </c>
      <c r="B138" s="237" t="s">
        <v>5745</v>
      </c>
      <c r="C138" s="237" t="s">
        <v>5746</v>
      </c>
      <c r="D138" s="237" t="s">
        <v>21</v>
      </c>
      <c r="E138" s="237" t="s">
        <v>21</v>
      </c>
      <c r="F138" s="237" t="s">
        <v>21</v>
      </c>
      <c r="G138" s="237" t="s">
        <v>21</v>
      </c>
      <c r="H138" s="237" t="s">
        <v>5747</v>
      </c>
      <c r="I138" s="237" t="s">
        <v>21</v>
      </c>
      <c r="J138" s="237" t="s">
        <v>5748</v>
      </c>
      <c r="K138" s="240" t="str">
        <f>IF(COUNTIF(L138:AY138,"&lt;&gt;")=0,"",SUMPRODUCT(((Recommendations[ImplStatus]="Implemented")+(Recommendations[ImplStatus]="Compensated"))*ISNUMBER(MATCH(Recommendations[Id],L138:AY138,0)))/COUNTIF(L138:AY138,"&lt;&gt;"))</f>
        <v/>
      </c>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53"/>
    </row>
    <row r="139" spans="1:51" ht="60" customHeight="1" x14ac:dyDescent="0.35">
      <c r="A139" s="249" t="s">
        <v>5749</v>
      </c>
      <c r="B139" s="237" t="s">
        <v>5750</v>
      </c>
      <c r="C139" s="237" t="s">
        <v>5751</v>
      </c>
      <c r="D139" s="237" t="s">
        <v>5752</v>
      </c>
      <c r="E139" s="237" t="s">
        <v>21</v>
      </c>
      <c r="F139" s="237" t="s">
        <v>21</v>
      </c>
      <c r="G139" s="237" t="s">
        <v>21</v>
      </c>
      <c r="H139" s="237" t="s">
        <v>5753</v>
      </c>
      <c r="I139" s="237" t="s">
        <v>5754</v>
      </c>
      <c r="J139" s="237" t="s">
        <v>5755</v>
      </c>
      <c r="K139" s="240" t="str">
        <f>IF(COUNTIF(L139:AY139,"&lt;&gt;")=0,"",SUMPRODUCT(((Recommendations[ImplStatus]="Implemented")+(Recommendations[ImplStatus]="Compensated"))*ISNUMBER(MATCH(Recommendations[Id],L139:AY139,0)))/COUNTIF(L139:AY139,"&lt;&gt;"))</f>
        <v/>
      </c>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53"/>
    </row>
    <row r="140" spans="1:51" ht="60" customHeight="1" x14ac:dyDescent="0.35">
      <c r="A140" s="249" t="s">
        <v>5756</v>
      </c>
      <c r="B140" s="237" t="s">
        <v>5757</v>
      </c>
      <c r="C140" s="237" t="s">
        <v>5758</v>
      </c>
      <c r="D140" s="237" t="s">
        <v>5759</v>
      </c>
      <c r="E140" s="237" t="s">
        <v>21</v>
      </c>
      <c r="F140" s="237" t="s">
        <v>21</v>
      </c>
      <c r="G140" s="237" t="s">
        <v>21</v>
      </c>
      <c r="H140" s="237" t="s">
        <v>5760</v>
      </c>
      <c r="I140" s="237" t="s">
        <v>5483</v>
      </c>
      <c r="J140" s="237" t="s">
        <v>5761</v>
      </c>
      <c r="K140" s="240" t="str">
        <f>IF(COUNTIF(L140:AY140,"&lt;&gt;")=0,"",SUMPRODUCT(((Recommendations[ImplStatus]="Implemented")+(Recommendations[ImplStatus]="Compensated"))*ISNUMBER(MATCH(Recommendations[Id],L140:AY140,0)))/COUNTIF(L140:AY140,"&lt;&gt;"))</f>
        <v/>
      </c>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53"/>
    </row>
    <row r="141" spans="1:51" ht="60" customHeight="1" x14ac:dyDescent="0.35">
      <c r="A141" s="249" t="s">
        <v>5762</v>
      </c>
      <c r="B141" s="237" t="s">
        <v>5763</v>
      </c>
      <c r="C141" s="237" t="s">
        <v>5764</v>
      </c>
      <c r="D141" s="237" t="s">
        <v>21</v>
      </c>
      <c r="E141" s="237" t="s">
        <v>5765</v>
      </c>
      <c r="F141" s="237" t="s">
        <v>21</v>
      </c>
      <c r="G141" s="237" t="s">
        <v>21</v>
      </c>
      <c r="H141" s="237" t="s">
        <v>5766</v>
      </c>
      <c r="I141" s="237" t="s">
        <v>5483</v>
      </c>
      <c r="J141" s="237" t="s">
        <v>5767</v>
      </c>
      <c r="K141" s="240" t="str">
        <f>IF(COUNTIF(L141:AY141,"&lt;&gt;")=0,"",SUMPRODUCT(((Recommendations[ImplStatus]="Implemented")+(Recommendations[ImplStatus]="Compensated"))*ISNUMBER(MATCH(Recommendations[Id],L141:AY141,0)))/COUNTIF(L141:AY141,"&lt;&gt;"))</f>
        <v/>
      </c>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53"/>
    </row>
    <row r="142" spans="1:51" ht="60" customHeight="1" x14ac:dyDescent="0.35">
      <c r="A142" s="249" t="s">
        <v>5768</v>
      </c>
      <c r="B142" s="237" t="s">
        <v>5769</v>
      </c>
      <c r="C142" s="237" t="s">
        <v>5770</v>
      </c>
      <c r="D142" s="237" t="s">
        <v>5771</v>
      </c>
      <c r="E142" s="237" t="s">
        <v>5765</v>
      </c>
      <c r="F142" s="237" t="s">
        <v>21</v>
      </c>
      <c r="G142" s="237" t="s">
        <v>21</v>
      </c>
      <c r="H142" s="237" t="s">
        <v>5772</v>
      </c>
      <c r="I142" s="237" t="s">
        <v>5773</v>
      </c>
      <c r="J142" s="237" t="s">
        <v>5774</v>
      </c>
      <c r="K142" s="240" t="str">
        <f>IF(COUNTIF(L142:AY142,"&lt;&gt;")=0,"",SUMPRODUCT(((Recommendations[ImplStatus]="Implemented")+(Recommendations[ImplStatus]="Compensated"))*ISNUMBER(MATCH(Recommendations[Id],L142:AY142,0)))/COUNTIF(L142:AY142,"&lt;&gt;"))</f>
        <v/>
      </c>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53"/>
    </row>
    <row r="143" spans="1:51" ht="60" customHeight="1" outlineLevel="1" x14ac:dyDescent="0.35">
      <c r="A143" s="248" t="s">
        <v>2503</v>
      </c>
      <c r="B143" s="236" t="s">
        <v>5775</v>
      </c>
      <c r="C143" s="236"/>
      <c r="D143" s="236"/>
      <c r="E143" s="236"/>
      <c r="F143" s="236"/>
      <c r="G143" s="236"/>
      <c r="H143" s="236"/>
      <c r="I143" s="236"/>
      <c r="J143" s="236"/>
      <c r="K143" s="239" t="str">
        <f>IF(COUNTIF(L143:AY143,"&lt;&gt;")=0,"",SUMPRODUCT(((Recommendations[ImplStatus]="Implemented")+(Recommendations[ImplStatus]="Compensated"))*ISNUMBER(MATCH(Recommendations[Id],L143:AY143,0)))/COUNTIF(L143:AY143,"&lt;&gt;"))</f>
        <v/>
      </c>
      <c r="L143" s="242"/>
      <c r="M143" s="242"/>
      <c r="N143" s="242"/>
      <c r="O143" s="242"/>
      <c r="P143" s="242"/>
      <c r="Q143" s="242"/>
      <c r="R143" s="242"/>
      <c r="S143" s="242"/>
      <c r="T143" s="242"/>
      <c r="U143" s="242"/>
      <c r="V143" s="242"/>
      <c r="W143" s="242"/>
      <c r="X143" s="242"/>
      <c r="Y143" s="242"/>
      <c r="Z143" s="242"/>
      <c r="AA143" s="242"/>
      <c r="AB143" s="242"/>
      <c r="AC143" s="242"/>
      <c r="AD143" s="242"/>
      <c r="AE143" s="242"/>
      <c r="AF143" s="242"/>
      <c r="AG143" s="242"/>
      <c r="AH143" s="242"/>
      <c r="AI143" s="242"/>
      <c r="AJ143" s="242"/>
      <c r="AK143" s="242"/>
      <c r="AL143" s="242"/>
      <c r="AM143" s="242"/>
      <c r="AN143" s="242"/>
      <c r="AO143" s="242"/>
      <c r="AP143" s="242"/>
      <c r="AQ143" s="242"/>
      <c r="AR143" s="242"/>
      <c r="AS143" s="242"/>
      <c r="AT143" s="242"/>
      <c r="AU143" s="242"/>
      <c r="AV143" s="242"/>
      <c r="AW143" s="242"/>
      <c r="AX143" s="242"/>
      <c r="AY143" s="252"/>
    </row>
    <row r="144" spans="1:51" ht="60" customHeight="1" x14ac:dyDescent="0.35">
      <c r="A144" s="249" t="s">
        <v>5776</v>
      </c>
      <c r="B144" s="237" t="s">
        <v>5777</v>
      </c>
      <c r="C144" s="237" t="s">
        <v>5778</v>
      </c>
      <c r="D144" s="237" t="s">
        <v>21</v>
      </c>
      <c r="E144" s="237" t="s">
        <v>21</v>
      </c>
      <c r="F144" s="237" t="s">
        <v>21</v>
      </c>
      <c r="G144" s="237" t="s">
        <v>21</v>
      </c>
      <c r="H144" s="237" t="s">
        <v>5779</v>
      </c>
      <c r="I144" s="237" t="s">
        <v>21</v>
      </c>
      <c r="J144" s="237" t="s">
        <v>5780</v>
      </c>
      <c r="K144" s="240" t="str">
        <f>IF(COUNTIF(L144:AY144,"&lt;&gt;")=0,"",SUMPRODUCT(((Recommendations[ImplStatus]="Implemented")+(Recommendations[ImplStatus]="Compensated"))*ISNUMBER(MATCH(Recommendations[Id],L144:AY144,0)))/COUNTIF(L144:AY144,"&lt;&gt;"))</f>
        <v/>
      </c>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53"/>
    </row>
    <row r="145" spans="1:51" ht="60" customHeight="1" x14ac:dyDescent="0.35">
      <c r="A145" s="249" t="s">
        <v>5781</v>
      </c>
      <c r="B145" s="237" t="s">
        <v>5782</v>
      </c>
      <c r="C145" s="237" t="s">
        <v>5783</v>
      </c>
      <c r="D145" s="237" t="s">
        <v>21</v>
      </c>
      <c r="E145" s="237" t="s">
        <v>21</v>
      </c>
      <c r="F145" s="237" t="s">
        <v>21</v>
      </c>
      <c r="G145" s="237" t="s">
        <v>21</v>
      </c>
      <c r="H145" s="237" t="s">
        <v>5784</v>
      </c>
      <c r="I145" s="237" t="s">
        <v>21</v>
      </c>
      <c r="J145" s="237" t="s">
        <v>5785</v>
      </c>
      <c r="K145" s="240" t="str">
        <f>IF(COUNTIF(L145:AY145,"&lt;&gt;")=0,"",SUMPRODUCT(((Recommendations[ImplStatus]="Implemented")+(Recommendations[ImplStatus]="Compensated"))*ISNUMBER(MATCH(Recommendations[Id],L145:AY145,0)))/COUNTIF(L145:AY145,"&lt;&gt;"))</f>
        <v/>
      </c>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53"/>
    </row>
    <row r="146" spans="1:51" ht="60" customHeight="1" x14ac:dyDescent="0.35">
      <c r="A146" s="249" t="s">
        <v>5786</v>
      </c>
      <c r="B146" s="237" t="s">
        <v>5787</v>
      </c>
      <c r="C146" s="237" t="s">
        <v>5788</v>
      </c>
      <c r="D146" s="237" t="s">
        <v>5789</v>
      </c>
      <c r="E146" s="237" t="s">
        <v>21</v>
      </c>
      <c r="F146" s="237" t="s">
        <v>21</v>
      </c>
      <c r="G146" s="237" t="s">
        <v>21</v>
      </c>
      <c r="H146" s="237" t="s">
        <v>5790</v>
      </c>
      <c r="I146" s="237" t="s">
        <v>21</v>
      </c>
      <c r="J146" s="237" t="s">
        <v>5791</v>
      </c>
      <c r="K146" s="240" t="str">
        <f>IF(COUNTIF(L146:AY146,"&lt;&gt;")=0,"",SUMPRODUCT(((Recommendations[ImplStatus]="Implemented")+(Recommendations[ImplStatus]="Compensated"))*ISNUMBER(MATCH(Recommendations[Id],L146:AY146,0)))/COUNTIF(L146:AY146,"&lt;&gt;"))</f>
        <v/>
      </c>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53"/>
    </row>
    <row r="147" spans="1:51" ht="60" customHeight="1" outlineLevel="1" x14ac:dyDescent="0.35">
      <c r="A147" s="247" t="s">
        <v>5792</v>
      </c>
      <c r="B147" s="235" t="s">
        <v>5793</v>
      </c>
      <c r="C147" s="235"/>
      <c r="D147" s="235"/>
      <c r="E147" s="235"/>
      <c r="F147" s="235"/>
      <c r="G147" s="235"/>
      <c r="H147" s="235"/>
      <c r="I147" s="235"/>
      <c r="J147" s="235"/>
      <c r="K147" s="238" t="str">
        <f>IF(COUNTIF(L147:AY147,"&lt;&gt;")=0,"",SUMPRODUCT(((Recommendations[ImplStatus]="Implemented")+(Recommendations[ImplStatus]="Compensated"))*ISNUMBER(MATCH(Recommendations[Id],L147:AY147,0)))/COUNTIF(L147:AY147,"&lt;&gt;"))</f>
        <v/>
      </c>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51"/>
    </row>
    <row r="148" spans="1:51" ht="60" customHeight="1" outlineLevel="1" x14ac:dyDescent="0.35">
      <c r="A148" s="248" t="s">
        <v>2525</v>
      </c>
      <c r="B148" s="236" t="s">
        <v>5794</v>
      </c>
      <c r="C148" s="236"/>
      <c r="D148" s="236"/>
      <c r="E148" s="236"/>
      <c r="F148" s="236"/>
      <c r="G148" s="236"/>
      <c r="H148" s="236"/>
      <c r="I148" s="236"/>
      <c r="J148" s="236"/>
      <c r="K148" s="239" t="str">
        <f>IF(COUNTIF(L148:AY148,"&lt;&gt;")=0,"",SUMPRODUCT(((Recommendations[ImplStatus]="Implemented")+(Recommendations[ImplStatus]="Compensated"))*ISNUMBER(MATCH(Recommendations[Id],L148:AY148,0)))/COUNTIF(L148:AY148,"&lt;&gt;"))</f>
        <v/>
      </c>
      <c r="L148" s="242"/>
      <c r="M148" s="242"/>
      <c r="N148" s="242"/>
      <c r="O148" s="242"/>
      <c r="P148" s="242"/>
      <c r="Q148" s="242"/>
      <c r="R148" s="242"/>
      <c r="S148" s="242"/>
      <c r="T148" s="242"/>
      <c r="U148" s="242"/>
      <c r="V148" s="242"/>
      <c r="W148" s="242"/>
      <c r="X148" s="242"/>
      <c r="Y148" s="242"/>
      <c r="Z148" s="242"/>
      <c r="AA148" s="242"/>
      <c r="AB148" s="242"/>
      <c r="AC148" s="242"/>
      <c r="AD148" s="242"/>
      <c r="AE148" s="242"/>
      <c r="AF148" s="242"/>
      <c r="AG148" s="242"/>
      <c r="AH148" s="242"/>
      <c r="AI148" s="242"/>
      <c r="AJ148" s="242"/>
      <c r="AK148" s="242"/>
      <c r="AL148" s="242"/>
      <c r="AM148" s="242"/>
      <c r="AN148" s="242"/>
      <c r="AO148" s="242"/>
      <c r="AP148" s="242"/>
      <c r="AQ148" s="242"/>
      <c r="AR148" s="242"/>
      <c r="AS148" s="242"/>
      <c r="AT148" s="242"/>
      <c r="AU148" s="242"/>
      <c r="AV148" s="242"/>
      <c r="AW148" s="242"/>
      <c r="AX148" s="242"/>
      <c r="AY148" s="252"/>
    </row>
    <row r="149" spans="1:51" ht="60" customHeight="1" x14ac:dyDescent="0.35">
      <c r="A149" s="249" t="s">
        <v>5795</v>
      </c>
      <c r="B149" s="237" t="s">
        <v>5796</v>
      </c>
      <c r="C149" s="237" t="s">
        <v>5797</v>
      </c>
      <c r="D149" s="237" t="s">
        <v>5255</v>
      </c>
      <c r="E149" s="237" t="s">
        <v>5041</v>
      </c>
      <c r="F149" s="237" t="s">
        <v>21</v>
      </c>
      <c r="G149" s="237" t="s">
        <v>21</v>
      </c>
      <c r="H149" s="237" t="s">
        <v>5798</v>
      </c>
      <c r="I149" s="237" t="s">
        <v>21</v>
      </c>
      <c r="J149" s="237" t="s">
        <v>5799</v>
      </c>
      <c r="K149" s="240" t="str">
        <f>IF(COUNTIF(L149:AY149,"&lt;&gt;")=0,"",SUMPRODUCT(((Recommendations[ImplStatus]="Implemented")+(Recommendations[ImplStatus]="Compensated"))*ISNUMBER(MATCH(Recommendations[Id],L149:AY149,0)))/COUNTIF(L149:AY149,"&lt;&gt;"))</f>
        <v/>
      </c>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53"/>
    </row>
    <row r="150" spans="1:51" ht="60" customHeight="1" x14ac:dyDescent="0.35">
      <c r="A150" s="249" t="s">
        <v>5800</v>
      </c>
      <c r="B150" s="237" t="s">
        <v>5801</v>
      </c>
      <c r="C150" s="237" t="s">
        <v>5046</v>
      </c>
      <c r="D150" s="237" t="s">
        <v>5047</v>
      </c>
      <c r="E150" s="237" t="s">
        <v>21</v>
      </c>
      <c r="F150" s="237" t="s">
        <v>5049</v>
      </c>
      <c r="G150" s="237" t="s">
        <v>21</v>
      </c>
      <c r="H150" s="237" t="s">
        <v>5802</v>
      </c>
      <c r="I150" s="237" t="s">
        <v>21</v>
      </c>
      <c r="J150" s="237" t="s">
        <v>5803</v>
      </c>
      <c r="K150" s="240" t="str">
        <f>IF(COUNTIF(L150:AY150,"&lt;&gt;")=0,"",SUMPRODUCT(((Recommendations[ImplStatus]="Implemented")+(Recommendations[ImplStatus]="Compensated"))*ISNUMBER(MATCH(Recommendations[Id],L150:AY150,0)))/COUNTIF(L150:AY150,"&lt;&gt;"))</f>
        <v/>
      </c>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53"/>
    </row>
    <row r="151" spans="1:51" ht="60" customHeight="1" outlineLevel="1" x14ac:dyDescent="0.35">
      <c r="A151" s="248" t="s">
        <v>2529</v>
      </c>
      <c r="B151" s="236" t="s">
        <v>5804</v>
      </c>
      <c r="C151" s="236"/>
      <c r="D151" s="236"/>
      <c r="E151" s="236"/>
      <c r="F151" s="236"/>
      <c r="G151" s="236"/>
      <c r="H151" s="236"/>
      <c r="I151" s="236"/>
      <c r="J151" s="236"/>
      <c r="K151" s="239" t="str">
        <f>IF(COUNTIF(L151:AY151,"&lt;&gt;")=0,"",SUMPRODUCT(((Recommendations[ImplStatus]="Implemented")+(Recommendations[ImplStatus]="Compensated"))*ISNUMBER(MATCH(Recommendations[Id],L151:AY151,0)))/COUNTIF(L151:AY151,"&lt;&gt;"))</f>
        <v/>
      </c>
      <c r="L151" s="242"/>
      <c r="M151" s="242"/>
      <c r="N151" s="242"/>
      <c r="O151" s="242"/>
      <c r="P151" s="242"/>
      <c r="Q151" s="242"/>
      <c r="R151" s="242"/>
      <c r="S151" s="242"/>
      <c r="T151" s="242"/>
      <c r="U151" s="242"/>
      <c r="V151" s="242"/>
      <c r="W151" s="242"/>
      <c r="X151" s="242"/>
      <c r="Y151" s="242"/>
      <c r="Z151" s="242"/>
      <c r="AA151" s="242"/>
      <c r="AB151" s="242"/>
      <c r="AC151" s="242"/>
      <c r="AD151" s="242"/>
      <c r="AE151" s="242"/>
      <c r="AF151" s="242"/>
      <c r="AG151" s="242"/>
      <c r="AH151" s="242"/>
      <c r="AI151" s="242"/>
      <c r="AJ151" s="242"/>
      <c r="AK151" s="242"/>
      <c r="AL151" s="242"/>
      <c r="AM151" s="242"/>
      <c r="AN151" s="242"/>
      <c r="AO151" s="242"/>
      <c r="AP151" s="242"/>
      <c r="AQ151" s="242"/>
      <c r="AR151" s="242"/>
      <c r="AS151" s="242"/>
      <c r="AT151" s="242"/>
      <c r="AU151" s="242"/>
      <c r="AV151" s="242"/>
      <c r="AW151" s="242"/>
      <c r="AX151" s="242"/>
      <c r="AY151" s="252"/>
    </row>
    <row r="152" spans="1:51" ht="60" customHeight="1" x14ac:dyDescent="0.35">
      <c r="A152" s="249" t="s">
        <v>5805</v>
      </c>
      <c r="B152" s="237" t="s">
        <v>5806</v>
      </c>
      <c r="C152" s="237" t="s">
        <v>5807</v>
      </c>
      <c r="D152" s="237" t="s">
        <v>21</v>
      </c>
      <c r="E152" s="237" t="s">
        <v>21</v>
      </c>
      <c r="F152" s="237" t="s">
        <v>21</v>
      </c>
      <c r="G152" s="237" t="s">
        <v>21</v>
      </c>
      <c r="H152" s="237" t="s">
        <v>5808</v>
      </c>
      <c r="I152" s="237" t="s">
        <v>5809</v>
      </c>
      <c r="J152" s="237" t="s">
        <v>5810</v>
      </c>
      <c r="K152" s="240" t="str">
        <f>IF(COUNTIF(L152:AY152,"&lt;&gt;")=0,"",SUMPRODUCT(((Recommendations[ImplStatus]="Implemented")+(Recommendations[ImplStatus]="Compensated"))*ISNUMBER(MATCH(Recommendations[Id],L152:AY152,0)))/COUNTIF(L152:AY152,"&lt;&gt;"))</f>
        <v/>
      </c>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53"/>
    </row>
    <row r="153" spans="1:51" ht="60" customHeight="1" x14ac:dyDescent="0.35">
      <c r="A153" s="249" t="s">
        <v>5811</v>
      </c>
      <c r="B153" s="237" t="s">
        <v>5812</v>
      </c>
      <c r="C153" s="237" t="s">
        <v>5813</v>
      </c>
      <c r="D153" s="237" t="s">
        <v>5814</v>
      </c>
      <c r="E153" s="237" t="s">
        <v>21</v>
      </c>
      <c r="F153" s="237" t="s">
        <v>5815</v>
      </c>
      <c r="G153" s="237" t="s">
        <v>21</v>
      </c>
      <c r="H153" s="237" t="s">
        <v>5816</v>
      </c>
      <c r="I153" s="237" t="s">
        <v>5817</v>
      </c>
      <c r="J153" s="237" t="s">
        <v>5818</v>
      </c>
      <c r="K153" s="240" t="str">
        <f>IF(COUNTIF(L153:AY153,"&lt;&gt;")=0,"",SUMPRODUCT(((Recommendations[ImplStatus]="Implemented")+(Recommendations[ImplStatus]="Compensated"))*ISNUMBER(MATCH(Recommendations[Id],L153:AY153,0)))/COUNTIF(L153:AY153,"&lt;&gt;"))</f>
        <v/>
      </c>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53"/>
    </row>
    <row r="154" spans="1:51" ht="60" customHeight="1" x14ac:dyDescent="0.35">
      <c r="A154" s="249" t="s">
        <v>5819</v>
      </c>
      <c r="B154" s="237" t="s">
        <v>5820</v>
      </c>
      <c r="C154" s="237" t="s">
        <v>5821</v>
      </c>
      <c r="D154" s="237" t="s">
        <v>21</v>
      </c>
      <c r="E154" s="237" t="s">
        <v>21</v>
      </c>
      <c r="F154" s="237" t="s">
        <v>5822</v>
      </c>
      <c r="G154" s="237" t="s">
        <v>21</v>
      </c>
      <c r="H154" s="237" t="s">
        <v>5823</v>
      </c>
      <c r="I154" s="237" t="s">
        <v>21</v>
      </c>
      <c r="J154" s="237" t="s">
        <v>5824</v>
      </c>
      <c r="K154" s="240" t="str">
        <f>IF(COUNTIF(L154:AY154,"&lt;&gt;")=0,"",SUMPRODUCT(((Recommendations[ImplStatus]="Implemented")+(Recommendations[ImplStatus]="Compensated"))*ISNUMBER(MATCH(Recommendations[Id],L154:AY154,0)))/COUNTIF(L154:AY154,"&lt;&gt;"))</f>
        <v/>
      </c>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53"/>
    </row>
    <row r="155" spans="1:51" ht="60" customHeight="1" x14ac:dyDescent="0.35">
      <c r="A155" s="249" t="s">
        <v>5825</v>
      </c>
      <c r="B155" s="237" t="s">
        <v>5826</v>
      </c>
      <c r="C155" s="237" t="s">
        <v>5827</v>
      </c>
      <c r="D155" s="237" t="s">
        <v>21</v>
      </c>
      <c r="E155" s="237" t="s">
        <v>21</v>
      </c>
      <c r="F155" s="237" t="s">
        <v>21</v>
      </c>
      <c r="G155" s="237" t="s">
        <v>21</v>
      </c>
      <c r="H155" s="237" t="s">
        <v>5828</v>
      </c>
      <c r="I155" s="237" t="s">
        <v>5829</v>
      </c>
      <c r="J155" s="237" t="s">
        <v>5830</v>
      </c>
      <c r="K155" s="240" t="str">
        <f>IF(COUNTIF(L155:AY155,"&lt;&gt;")=0,"",SUMPRODUCT(((Recommendations[ImplStatus]="Implemented")+(Recommendations[ImplStatus]="Compensated"))*ISNUMBER(MATCH(Recommendations[Id],L155:AY155,0)))/COUNTIF(L155:AY155,"&lt;&gt;"))</f>
        <v/>
      </c>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53"/>
    </row>
    <row r="156" spans="1:51" ht="60" customHeight="1" x14ac:dyDescent="0.35">
      <c r="A156" s="249" t="s">
        <v>5831</v>
      </c>
      <c r="B156" s="237" t="s">
        <v>5832</v>
      </c>
      <c r="C156" s="237" t="s">
        <v>5833</v>
      </c>
      <c r="D156" s="237" t="s">
        <v>21</v>
      </c>
      <c r="E156" s="237" t="s">
        <v>21</v>
      </c>
      <c r="F156" s="237" t="s">
        <v>21</v>
      </c>
      <c r="G156" s="237" t="s">
        <v>21</v>
      </c>
      <c r="H156" s="237" t="s">
        <v>5834</v>
      </c>
      <c r="I156" s="237" t="s">
        <v>21</v>
      </c>
      <c r="J156" s="237" t="s">
        <v>5835</v>
      </c>
      <c r="K156" s="240" t="str">
        <f>IF(COUNTIF(L156:AY156,"&lt;&gt;")=0,"",SUMPRODUCT(((Recommendations[ImplStatus]="Implemented")+(Recommendations[ImplStatus]="Compensated"))*ISNUMBER(MATCH(Recommendations[Id],L156:AY156,0)))/COUNTIF(L156:AY156,"&lt;&gt;"))</f>
        <v/>
      </c>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53"/>
    </row>
    <row r="157" spans="1:51" ht="60" customHeight="1" x14ac:dyDescent="0.35">
      <c r="A157" s="249" t="s">
        <v>5836</v>
      </c>
      <c r="B157" s="237" t="s">
        <v>5837</v>
      </c>
      <c r="C157" s="237" t="s">
        <v>5838</v>
      </c>
      <c r="D157" s="237" t="s">
        <v>5839</v>
      </c>
      <c r="E157" s="237" t="s">
        <v>21</v>
      </c>
      <c r="F157" s="237" t="s">
        <v>21</v>
      </c>
      <c r="G157" s="237" t="s">
        <v>21</v>
      </c>
      <c r="H157" s="237" t="s">
        <v>5840</v>
      </c>
      <c r="I157" s="237" t="s">
        <v>21</v>
      </c>
      <c r="J157" s="237" t="s">
        <v>5841</v>
      </c>
      <c r="K157" s="240" t="str">
        <f>IF(COUNTIF(L157:AY157,"&lt;&gt;")=0,"",SUMPRODUCT(((Recommendations[ImplStatus]="Implemented")+(Recommendations[ImplStatus]="Compensated"))*ISNUMBER(MATCH(Recommendations[Id],L157:AY157,0)))/COUNTIF(L157:AY157,"&lt;&gt;"))</f>
        <v/>
      </c>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53"/>
    </row>
    <row r="158" spans="1:51" ht="60" customHeight="1" x14ac:dyDescent="0.35">
      <c r="A158" s="249" t="s">
        <v>5842</v>
      </c>
      <c r="B158" s="237" t="s">
        <v>5843</v>
      </c>
      <c r="C158" s="237" t="s">
        <v>5844</v>
      </c>
      <c r="D158" s="237" t="s">
        <v>5845</v>
      </c>
      <c r="E158" s="237" t="s">
        <v>21</v>
      </c>
      <c r="F158" s="237" t="s">
        <v>21</v>
      </c>
      <c r="G158" s="237" t="s">
        <v>21</v>
      </c>
      <c r="H158" s="237" t="s">
        <v>21</v>
      </c>
      <c r="I158" s="237" t="s">
        <v>21</v>
      </c>
      <c r="J158" s="237" t="s">
        <v>5846</v>
      </c>
      <c r="K158" s="240" t="str">
        <f>IF(COUNTIF(L158:AY158,"&lt;&gt;")=0,"",SUMPRODUCT(((Recommendations[ImplStatus]="Implemented")+(Recommendations[ImplStatus]="Compensated"))*ISNUMBER(MATCH(Recommendations[Id],L158:AY158,0)))/COUNTIF(L158:AY158,"&lt;&gt;"))</f>
        <v/>
      </c>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53"/>
    </row>
    <row r="159" spans="1:51" ht="60" customHeight="1" x14ac:dyDescent="0.35">
      <c r="A159" s="249" t="s">
        <v>5847</v>
      </c>
      <c r="B159" s="237" t="s">
        <v>5848</v>
      </c>
      <c r="C159" s="237" t="s">
        <v>5849</v>
      </c>
      <c r="D159" s="237" t="s">
        <v>5850</v>
      </c>
      <c r="E159" s="237" t="s">
        <v>21</v>
      </c>
      <c r="F159" s="237" t="s">
        <v>5851</v>
      </c>
      <c r="G159" s="237" t="s">
        <v>21</v>
      </c>
      <c r="H159" s="237" t="s">
        <v>5852</v>
      </c>
      <c r="I159" s="237" t="s">
        <v>5853</v>
      </c>
      <c r="J159" s="237" t="s">
        <v>5854</v>
      </c>
      <c r="K159" s="240">
        <f>IF(COUNTIF(L159:AY159,"&lt;&gt;")=0,"",SUMPRODUCT(((Recommendations[ImplStatus]="Implemented")+(Recommendations[ImplStatus]="Compensated"))*ISNUMBER(MATCH(Recommendations[Id],L159:AY159,0)))/COUNTIF(L159:AY159,"&lt;&gt;"))</f>
        <v>0</v>
      </c>
      <c r="L159" s="243" t="s">
        <v>25</v>
      </c>
      <c r="M159" s="243" t="s">
        <v>352</v>
      </c>
      <c r="N159" s="243" t="s">
        <v>357</v>
      </c>
      <c r="O159" s="243" t="s">
        <v>889</v>
      </c>
      <c r="P159" s="243" t="s">
        <v>1002</v>
      </c>
      <c r="Q159" s="243" t="s">
        <v>1248</v>
      </c>
      <c r="R159" s="243" t="s">
        <v>1253</v>
      </c>
      <c r="S159" s="243" t="s">
        <v>1257</v>
      </c>
      <c r="T159" s="243" t="s">
        <v>1261</v>
      </c>
      <c r="U159" s="243" t="s">
        <v>1266</v>
      </c>
      <c r="V159" s="243" t="s">
        <v>1271</v>
      </c>
      <c r="W159" s="243" t="s">
        <v>1755</v>
      </c>
      <c r="X159" s="243" t="s">
        <v>1760</v>
      </c>
      <c r="Y159" s="243" t="s">
        <v>1765</v>
      </c>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53"/>
    </row>
    <row r="160" spans="1:51" ht="60" customHeight="1" outlineLevel="1" x14ac:dyDescent="0.35">
      <c r="A160" s="248" t="s">
        <v>2533</v>
      </c>
      <c r="B160" s="236" t="s">
        <v>5855</v>
      </c>
      <c r="C160" s="236"/>
      <c r="D160" s="236"/>
      <c r="E160" s="236"/>
      <c r="F160" s="236"/>
      <c r="G160" s="236"/>
      <c r="H160" s="236"/>
      <c r="I160" s="236"/>
      <c r="J160" s="236"/>
      <c r="K160" s="239" t="str">
        <f>IF(COUNTIF(L160:AY160,"&lt;&gt;")=0,"",SUMPRODUCT(((Recommendations[ImplStatus]="Implemented")+(Recommendations[ImplStatus]="Compensated"))*ISNUMBER(MATCH(Recommendations[Id],L160:AY160,0)))/COUNTIF(L160:AY160,"&lt;&gt;"))</f>
        <v/>
      </c>
      <c r="L160" s="242"/>
      <c r="M160" s="242"/>
      <c r="N160" s="242"/>
      <c r="O160" s="242"/>
      <c r="P160" s="242"/>
      <c r="Q160" s="242"/>
      <c r="R160" s="242"/>
      <c r="S160" s="242"/>
      <c r="T160" s="242"/>
      <c r="U160" s="242"/>
      <c r="V160" s="242"/>
      <c r="W160" s="242"/>
      <c r="X160" s="242"/>
      <c r="Y160" s="242"/>
      <c r="Z160" s="242"/>
      <c r="AA160" s="242"/>
      <c r="AB160" s="242"/>
      <c r="AC160" s="242"/>
      <c r="AD160" s="242"/>
      <c r="AE160" s="242"/>
      <c r="AF160" s="242"/>
      <c r="AG160" s="242"/>
      <c r="AH160" s="242"/>
      <c r="AI160" s="242"/>
      <c r="AJ160" s="242"/>
      <c r="AK160" s="242"/>
      <c r="AL160" s="242"/>
      <c r="AM160" s="242"/>
      <c r="AN160" s="242"/>
      <c r="AO160" s="242"/>
      <c r="AP160" s="242"/>
      <c r="AQ160" s="242"/>
      <c r="AR160" s="242"/>
      <c r="AS160" s="242"/>
      <c r="AT160" s="242"/>
      <c r="AU160" s="242"/>
      <c r="AV160" s="242"/>
      <c r="AW160" s="242"/>
      <c r="AX160" s="242"/>
      <c r="AY160" s="252"/>
    </row>
    <row r="161" spans="1:51" ht="60" customHeight="1" x14ac:dyDescent="0.35">
      <c r="A161" s="249" t="s">
        <v>5856</v>
      </c>
      <c r="B161" s="237" t="s">
        <v>5857</v>
      </c>
      <c r="C161" s="237" t="s">
        <v>5858</v>
      </c>
      <c r="D161" s="237" t="s">
        <v>5859</v>
      </c>
      <c r="E161" s="237" t="s">
        <v>21</v>
      </c>
      <c r="F161" s="237" t="s">
        <v>21</v>
      </c>
      <c r="G161" s="237" t="s">
        <v>5860</v>
      </c>
      <c r="H161" s="237" t="s">
        <v>5861</v>
      </c>
      <c r="I161" s="237" t="s">
        <v>5862</v>
      </c>
      <c r="J161" s="237" t="s">
        <v>5863</v>
      </c>
      <c r="K161" s="240" t="str">
        <f>IF(COUNTIF(L161:AY161,"&lt;&gt;")=0,"",SUMPRODUCT(((Recommendations[ImplStatus]="Implemented")+(Recommendations[ImplStatus]="Compensated"))*ISNUMBER(MATCH(Recommendations[Id],L161:AY161,0)))/COUNTIF(L161:AY161,"&lt;&gt;"))</f>
        <v/>
      </c>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53"/>
    </row>
    <row r="162" spans="1:51" ht="60" customHeight="1" x14ac:dyDescent="0.35">
      <c r="A162" s="249" t="s">
        <v>5864</v>
      </c>
      <c r="B162" s="237" t="s">
        <v>5865</v>
      </c>
      <c r="C162" s="237" t="s">
        <v>5866</v>
      </c>
      <c r="D162" s="237" t="s">
        <v>5867</v>
      </c>
      <c r="E162" s="237" t="s">
        <v>21</v>
      </c>
      <c r="F162" s="237" t="s">
        <v>21</v>
      </c>
      <c r="G162" s="237" t="s">
        <v>21</v>
      </c>
      <c r="H162" s="237" t="s">
        <v>5868</v>
      </c>
      <c r="I162" s="237" t="s">
        <v>21</v>
      </c>
      <c r="J162" s="237" t="s">
        <v>5869</v>
      </c>
      <c r="K162" s="240">
        <f>IF(COUNTIF(L162:AY162,"&lt;&gt;")=0,"",SUMPRODUCT(((Recommendations[ImplStatus]="Implemented")+(Recommendations[ImplStatus]="Compensated"))*ISNUMBER(MATCH(Recommendations[Id],L162:AY162,0)))/COUNTIF(L162:AY162,"&lt;&gt;"))</f>
        <v>0</v>
      </c>
      <c r="L162" s="243" t="s">
        <v>156</v>
      </c>
      <c r="M162" s="243" t="s">
        <v>560</v>
      </c>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53"/>
    </row>
    <row r="163" spans="1:51" ht="60" customHeight="1" x14ac:dyDescent="0.35">
      <c r="A163" s="249" t="s">
        <v>5870</v>
      </c>
      <c r="B163" s="237" t="s">
        <v>5871</v>
      </c>
      <c r="C163" s="237" t="s">
        <v>5872</v>
      </c>
      <c r="D163" s="237" t="s">
        <v>5867</v>
      </c>
      <c r="E163" s="237" t="s">
        <v>21</v>
      </c>
      <c r="F163" s="237" t="s">
        <v>5873</v>
      </c>
      <c r="G163" s="237" t="s">
        <v>21</v>
      </c>
      <c r="H163" s="237" t="s">
        <v>5874</v>
      </c>
      <c r="I163" s="237" t="s">
        <v>21</v>
      </c>
      <c r="J163" s="237" t="s">
        <v>5875</v>
      </c>
      <c r="K163" s="240" t="str">
        <f>IF(COUNTIF(L163:AY163,"&lt;&gt;")=0,"",SUMPRODUCT(((Recommendations[ImplStatus]="Implemented")+(Recommendations[ImplStatus]="Compensated"))*ISNUMBER(MATCH(Recommendations[Id],L163:AY163,0)))/COUNTIF(L163:AY163,"&lt;&gt;"))</f>
        <v/>
      </c>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53"/>
    </row>
    <row r="164" spans="1:51" ht="60" customHeight="1" x14ac:dyDescent="0.35">
      <c r="A164" s="249" t="s">
        <v>5876</v>
      </c>
      <c r="B164" s="237" t="s">
        <v>5877</v>
      </c>
      <c r="C164" s="237" t="s">
        <v>5878</v>
      </c>
      <c r="D164" s="237" t="s">
        <v>5879</v>
      </c>
      <c r="E164" s="237" t="s">
        <v>21</v>
      </c>
      <c r="F164" s="237" t="s">
        <v>21</v>
      </c>
      <c r="G164" s="237" t="s">
        <v>21</v>
      </c>
      <c r="H164" s="237" t="s">
        <v>5880</v>
      </c>
      <c r="I164" s="237" t="s">
        <v>5881</v>
      </c>
      <c r="J164" s="237" t="s">
        <v>5882</v>
      </c>
      <c r="K164" s="240">
        <f>IF(COUNTIF(L164:AY164,"&lt;&gt;")=0,"",SUMPRODUCT(((Recommendations[ImplStatus]="Implemented")+(Recommendations[ImplStatus]="Compensated"))*ISNUMBER(MATCH(Recommendations[Id],L164:AY164,0)))/COUNTIF(L164:AY164,"&lt;&gt;"))</f>
        <v>0</v>
      </c>
      <c r="L164" s="243" t="s">
        <v>337</v>
      </c>
      <c r="M164" s="243" t="s">
        <v>1024</v>
      </c>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53"/>
    </row>
    <row r="165" spans="1:51" ht="60" customHeight="1" x14ac:dyDescent="0.35">
      <c r="A165" s="249" t="s">
        <v>5883</v>
      </c>
      <c r="B165" s="237" t="s">
        <v>5884</v>
      </c>
      <c r="C165" s="237" t="s">
        <v>5885</v>
      </c>
      <c r="D165" s="237" t="s">
        <v>21</v>
      </c>
      <c r="E165" s="237" t="s">
        <v>21</v>
      </c>
      <c r="F165" s="237" t="s">
        <v>21</v>
      </c>
      <c r="G165" s="237" t="s">
        <v>21</v>
      </c>
      <c r="H165" s="237" t="s">
        <v>5886</v>
      </c>
      <c r="I165" s="237" t="s">
        <v>21</v>
      </c>
      <c r="J165" s="237" t="s">
        <v>5887</v>
      </c>
      <c r="K165" s="240" t="str">
        <f>IF(COUNTIF(L165:AY165,"&lt;&gt;")=0,"",SUMPRODUCT(((Recommendations[ImplStatus]="Implemented")+(Recommendations[ImplStatus]="Compensated"))*ISNUMBER(MATCH(Recommendations[Id],L165:AY165,0)))/COUNTIF(L165:AY165,"&lt;&gt;"))</f>
        <v/>
      </c>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53"/>
    </row>
    <row r="166" spans="1:51" ht="60" customHeight="1" x14ac:dyDescent="0.35">
      <c r="A166" s="249" t="s">
        <v>5888</v>
      </c>
      <c r="B166" s="237" t="s">
        <v>5889</v>
      </c>
      <c r="C166" s="237" t="s">
        <v>5890</v>
      </c>
      <c r="D166" s="237" t="s">
        <v>5891</v>
      </c>
      <c r="E166" s="237" t="s">
        <v>21</v>
      </c>
      <c r="F166" s="237" t="s">
        <v>21</v>
      </c>
      <c r="G166" s="237" t="s">
        <v>21</v>
      </c>
      <c r="H166" s="237" t="s">
        <v>5892</v>
      </c>
      <c r="I166" s="237" t="s">
        <v>5893</v>
      </c>
      <c r="J166" s="237" t="s">
        <v>5894</v>
      </c>
      <c r="K166" s="240">
        <f>IF(COUNTIF(L166:AY166,"&lt;&gt;")=0,"",SUMPRODUCT(((Recommendations[ImplStatus]="Implemented")+(Recommendations[ImplStatus]="Compensated"))*ISNUMBER(MATCH(Recommendations[Id],L166:AY166,0)))/COUNTIF(L166:AY166,"&lt;&gt;"))</f>
        <v>0</v>
      </c>
      <c r="L166" s="243" t="s">
        <v>537</v>
      </c>
      <c r="M166" s="243" t="s">
        <v>547</v>
      </c>
      <c r="N166" s="243" t="s">
        <v>551</v>
      </c>
      <c r="O166" s="243" t="s">
        <v>592</v>
      </c>
      <c r="P166" s="243" t="s">
        <v>978</v>
      </c>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53"/>
    </row>
    <row r="167" spans="1:51" ht="60" customHeight="1" x14ac:dyDescent="0.35">
      <c r="A167" s="249" t="s">
        <v>5895</v>
      </c>
      <c r="B167" s="237" t="s">
        <v>5896</v>
      </c>
      <c r="C167" s="237" t="s">
        <v>5897</v>
      </c>
      <c r="D167" s="237" t="s">
        <v>21</v>
      </c>
      <c r="E167" s="237" t="s">
        <v>21</v>
      </c>
      <c r="F167" s="237" t="s">
        <v>21</v>
      </c>
      <c r="G167" s="237" t="s">
        <v>21</v>
      </c>
      <c r="H167" s="237" t="s">
        <v>5898</v>
      </c>
      <c r="I167" s="237" t="s">
        <v>5899</v>
      </c>
      <c r="J167" s="237" t="s">
        <v>5900</v>
      </c>
      <c r="K167" s="240">
        <f>IF(COUNTIF(L167:AY167,"&lt;&gt;")=0,"",SUMPRODUCT(((Recommendations[ImplStatus]="Implemented")+(Recommendations[ImplStatus]="Compensated"))*ISNUMBER(MATCH(Recommendations[Id],L167:AY167,0)))/COUNTIF(L167:AY167,"&lt;&gt;"))</f>
        <v>0</v>
      </c>
      <c r="L167" s="243" t="s">
        <v>583</v>
      </c>
      <c r="M167" s="243" t="s">
        <v>588</v>
      </c>
      <c r="N167" s="243"/>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53"/>
    </row>
    <row r="168" spans="1:51" ht="60" customHeight="1" x14ac:dyDescent="0.35">
      <c r="A168" s="249" t="s">
        <v>5901</v>
      </c>
      <c r="B168" s="237" t="s">
        <v>5902</v>
      </c>
      <c r="C168" s="237" t="s">
        <v>5903</v>
      </c>
      <c r="D168" s="237" t="s">
        <v>5904</v>
      </c>
      <c r="E168" s="237" t="s">
        <v>21</v>
      </c>
      <c r="F168" s="237" t="s">
        <v>21</v>
      </c>
      <c r="G168" s="237" t="s">
        <v>21</v>
      </c>
      <c r="H168" s="237" t="s">
        <v>5905</v>
      </c>
      <c r="I168" s="237" t="s">
        <v>21</v>
      </c>
      <c r="J168" s="237" t="s">
        <v>5906</v>
      </c>
      <c r="K168" s="240" t="str">
        <f>IF(COUNTIF(L168:AY168,"&lt;&gt;")=0,"",SUMPRODUCT(((Recommendations[ImplStatus]="Implemented")+(Recommendations[ImplStatus]="Compensated"))*ISNUMBER(MATCH(Recommendations[Id],L168:AY168,0)))/COUNTIF(L168:AY168,"&lt;&gt;"))</f>
        <v/>
      </c>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53"/>
    </row>
    <row r="169" spans="1:51" ht="60" customHeight="1" x14ac:dyDescent="0.35">
      <c r="A169" s="249" t="s">
        <v>5907</v>
      </c>
      <c r="B169" s="237" t="s">
        <v>5908</v>
      </c>
      <c r="C169" s="237" t="s">
        <v>5909</v>
      </c>
      <c r="D169" s="237" t="s">
        <v>5910</v>
      </c>
      <c r="E169" s="237" t="s">
        <v>21</v>
      </c>
      <c r="F169" s="237" t="s">
        <v>21</v>
      </c>
      <c r="G169" s="237" t="s">
        <v>5911</v>
      </c>
      <c r="H169" s="237" t="s">
        <v>5912</v>
      </c>
      <c r="I169" s="237" t="s">
        <v>5913</v>
      </c>
      <c r="J169" s="237" t="s">
        <v>5914</v>
      </c>
      <c r="K169" s="240">
        <f>IF(COUNTIF(L169:AY169,"&lt;&gt;")=0,"",SUMPRODUCT(((Recommendations[ImplStatus]="Implemented")+(Recommendations[ImplStatus]="Compensated"))*ISNUMBER(MATCH(Recommendations[Id],L169:AY169,0)))/COUNTIF(L169:AY169,"&lt;&gt;"))</f>
        <v>0</v>
      </c>
      <c r="L169" s="243" t="s">
        <v>574</v>
      </c>
      <c r="M169" s="243" t="s">
        <v>579</v>
      </c>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53"/>
    </row>
    <row r="170" spans="1:51" ht="60" customHeight="1" x14ac:dyDescent="0.35">
      <c r="A170" s="249" t="s">
        <v>5915</v>
      </c>
      <c r="B170" s="237" t="s">
        <v>5916</v>
      </c>
      <c r="C170" s="237" t="s">
        <v>5917</v>
      </c>
      <c r="D170" s="237" t="s">
        <v>5918</v>
      </c>
      <c r="E170" s="237" t="s">
        <v>21</v>
      </c>
      <c r="F170" s="237" t="s">
        <v>21</v>
      </c>
      <c r="G170" s="237" t="s">
        <v>21</v>
      </c>
      <c r="H170" s="237" t="s">
        <v>5919</v>
      </c>
      <c r="I170" s="237" t="s">
        <v>5920</v>
      </c>
      <c r="J170" s="237" t="s">
        <v>5921</v>
      </c>
      <c r="K170" s="240" t="str">
        <f>IF(COUNTIF(L170:AY170,"&lt;&gt;")=0,"",SUMPRODUCT(((Recommendations[ImplStatus]="Implemented")+(Recommendations[ImplStatus]="Compensated"))*ISNUMBER(MATCH(Recommendations[Id],L170:AY170,0)))/COUNTIF(L170:AY170,"&lt;&gt;"))</f>
        <v/>
      </c>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53"/>
    </row>
    <row r="171" spans="1:51" ht="60" customHeight="1" x14ac:dyDescent="0.35">
      <c r="A171" s="249" t="s">
        <v>5922</v>
      </c>
      <c r="B171" s="237" t="s">
        <v>5923</v>
      </c>
      <c r="C171" s="237" t="s">
        <v>5917</v>
      </c>
      <c r="D171" s="237" t="s">
        <v>5924</v>
      </c>
      <c r="E171" s="237" t="s">
        <v>21</v>
      </c>
      <c r="F171" s="237" t="s">
        <v>21</v>
      </c>
      <c r="G171" s="237" t="s">
        <v>5925</v>
      </c>
      <c r="H171" s="237" t="s">
        <v>5919</v>
      </c>
      <c r="I171" s="237" t="s">
        <v>5926</v>
      </c>
      <c r="J171" s="237" t="s">
        <v>5927</v>
      </c>
      <c r="K171" s="240" t="str">
        <f>IF(COUNTIF(L171:AY171,"&lt;&gt;")=0,"",SUMPRODUCT(((Recommendations[ImplStatus]="Implemented")+(Recommendations[ImplStatus]="Compensated"))*ISNUMBER(MATCH(Recommendations[Id],L171:AY171,0)))/COUNTIF(L171:AY171,"&lt;&gt;"))</f>
        <v/>
      </c>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53"/>
    </row>
    <row r="172" spans="1:51" ht="60" customHeight="1" x14ac:dyDescent="0.35">
      <c r="A172" s="249" t="s">
        <v>5928</v>
      </c>
      <c r="B172" s="237" t="s">
        <v>5929</v>
      </c>
      <c r="C172" s="237" t="s">
        <v>5930</v>
      </c>
      <c r="D172" s="237" t="s">
        <v>5931</v>
      </c>
      <c r="E172" s="237" t="s">
        <v>21</v>
      </c>
      <c r="F172" s="237" t="s">
        <v>21</v>
      </c>
      <c r="G172" s="237" t="s">
        <v>21</v>
      </c>
      <c r="H172" s="237" t="s">
        <v>5932</v>
      </c>
      <c r="I172" s="237" t="s">
        <v>21</v>
      </c>
      <c r="J172" s="237" t="s">
        <v>5933</v>
      </c>
      <c r="K172" s="240" t="str">
        <f>IF(COUNTIF(L172:AY172,"&lt;&gt;")=0,"",SUMPRODUCT(((Recommendations[ImplStatus]="Implemented")+(Recommendations[ImplStatus]="Compensated"))*ISNUMBER(MATCH(Recommendations[Id],L172:AY172,0)))/COUNTIF(L172:AY172,"&lt;&gt;"))</f>
        <v/>
      </c>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53"/>
    </row>
    <row r="173" spans="1:51" ht="60" customHeight="1" outlineLevel="1" x14ac:dyDescent="0.35">
      <c r="A173" s="248" t="s">
        <v>2537</v>
      </c>
      <c r="B173" s="236" t="s">
        <v>5934</v>
      </c>
      <c r="C173" s="236"/>
      <c r="D173" s="236"/>
      <c r="E173" s="236"/>
      <c r="F173" s="236"/>
      <c r="G173" s="236"/>
      <c r="H173" s="236"/>
      <c r="I173" s="236"/>
      <c r="J173" s="236"/>
      <c r="K173" s="239" t="str">
        <f>IF(COUNTIF(L173:AY173,"&lt;&gt;")=0,"",SUMPRODUCT(((Recommendations[ImplStatus]="Implemented")+(Recommendations[ImplStatus]="Compensated"))*ISNUMBER(MATCH(Recommendations[Id],L173:AY173,0)))/COUNTIF(L173:AY173,"&lt;&gt;"))</f>
        <v/>
      </c>
      <c r="L173" s="242"/>
      <c r="M173" s="242"/>
      <c r="N173" s="242"/>
      <c r="O173" s="242"/>
      <c r="P173" s="242"/>
      <c r="Q173" s="242"/>
      <c r="R173" s="242"/>
      <c r="S173" s="242"/>
      <c r="T173" s="242"/>
      <c r="U173" s="242"/>
      <c r="V173" s="242"/>
      <c r="W173" s="242"/>
      <c r="X173" s="242"/>
      <c r="Y173" s="242"/>
      <c r="Z173" s="242"/>
      <c r="AA173" s="242"/>
      <c r="AB173" s="242"/>
      <c r="AC173" s="242"/>
      <c r="AD173" s="242"/>
      <c r="AE173" s="242"/>
      <c r="AF173" s="242"/>
      <c r="AG173" s="242"/>
      <c r="AH173" s="242"/>
      <c r="AI173" s="242"/>
      <c r="AJ173" s="242"/>
      <c r="AK173" s="242"/>
      <c r="AL173" s="242"/>
      <c r="AM173" s="242"/>
      <c r="AN173" s="242"/>
      <c r="AO173" s="242"/>
      <c r="AP173" s="242"/>
      <c r="AQ173" s="242"/>
      <c r="AR173" s="242"/>
      <c r="AS173" s="242"/>
      <c r="AT173" s="242"/>
      <c r="AU173" s="242"/>
      <c r="AV173" s="242"/>
      <c r="AW173" s="242"/>
      <c r="AX173" s="242"/>
      <c r="AY173" s="252"/>
    </row>
    <row r="174" spans="1:51" ht="60" customHeight="1" x14ac:dyDescent="0.35">
      <c r="A174" s="249" t="s">
        <v>5935</v>
      </c>
      <c r="B174" s="237" t="s">
        <v>5936</v>
      </c>
      <c r="C174" s="237" t="s">
        <v>5937</v>
      </c>
      <c r="D174" s="237" t="s">
        <v>5938</v>
      </c>
      <c r="E174" s="237" t="s">
        <v>5939</v>
      </c>
      <c r="F174" s="237" t="s">
        <v>21</v>
      </c>
      <c r="G174" s="237" t="s">
        <v>21</v>
      </c>
      <c r="H174" s="237" t="s">
        <v>5940</v>
      </c>
      <c r="I174" s="237" t="s">
        <v>5941</v>
      </c>
      <c r="J174" s="237" t="s">
        <v>5942</v>
      </c>
      <c r="K174" s="240">
        <f>IF(COUNTIF(L174:AY174,"&lt;&gt;")=0,"",SUMPRODUCT(((Recommendations[ImplStatus]="Implemented")+(Recommendations[ImplStatus]="Compensated"))*ISNUMBER(MATCH(Recommendations[Id],L174:AY174,0)))/COUNTIF(L174:AY174,"&lt;&gt;"))</f>
        <v>0</v>
      </c>
      <c r="L174" s="243" t="s">
        <v>873</v>
      </c>
      <c r="M174" s="243"/>
      <c r="N174" s="243"/>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53"/>
    </row>
    <row r="175" spans="1:51" ht="60" customHeight="1" x14ac:dyDescent="0.35">
      <c r="A175" s="249" t="s">
        <v>5943</v>
      </c>
      <c r="B175" s="237" t="s">
        <v>5944</v>
      </c>
      <c r="C175" s="237" t="s">
        <v>5945</v>
      </c>
      <c r="D175" s="237" t="s">
        <v>21</v>
      </c>
      <c r="E175" s="237" t="s">
        <v>5946</v>
      </c>
      <c r="F175" s="237" t="s">
        <v>21</v>
      </c>
      <c r="G175" s="237" t="s">
        <v>21</v>
      </c>
      <c r="H175" s="237" t="s">
        <v>5947</v>
      </c>
      <c r="I175" s="237" t="s">
        <v>21</v>
      </c>
      <c r="J175" s="237" t="s">
        <v>5948</v>
      </c>
      <c r="K175" s="240" t="str">
        <f>IF(COUNTIF(L175:AY175,"&lt;&gt;")=0,"",SUMPRODUCT(((Recommendations[ImplStatus]="Implemented")+(Recommendations[ImplStatus]="Compensated"))*ISNUMBER(MATCH(Recommendations[Id],L175:AY175,0)))/COUNTIF(L175:AY175,"&lt;&gt;"))</f>
        <v/>
      </c>
      <c r="L175" s="243"/>
      <c r="M175" s="243"/>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53"/>
    </row>
    <row r="176" spans="1:51" ht="60" customHeight="1" x14ac:dyDescent="0.35">
      <c r="A176" s="249" t="s">
        <v>5949</v>
      </c>
      <c r="B176" s="237" t="s">
        <v>5950</v>
      </c>
      <c r="C176" s="237" t="s">
        <v>5951</v>
      </c>
      <c r="D176" s="237" t="s">
        <v>21</v>
      </c>
      <c r="E176" s="237" t="s">
        <v>5952</v>
      </c>
      <c r="F176" s="237" t="s">
        <v>21</v>
      </c>
      <c r="G176" s="237" t="s">
        <v>21</v>
      </c>
      <c r="H176" s="237" t="s">
        <v>5953</v>
      </c>
      <c r="I176" s="237" t="s">
        <v>5954</v>
      </c>
      <c r="J176" s="237" t="s">
        <v>5955</v>
      </c>
      <c r="K176" s="240" t="str">
        <f>IF(COUNTIF(L176:AY176,"&lt;&gt;")=0,"",SUMPRODUCT(((Recommendations[ImplStatus]="Implemented")+(Recommendations[ImplStatus]="Compensated"))*ISNUMBER(MATCH(Recommendations[Id],L176:AY176,0)))/COUNTIF(L176:AY176,"&lt;&gt;"))</f>
        <v/>
      </c>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53"/>
    </row>
    <row r="177" spans="1:51" ht="60" customHeight="1" outlineLevel="1" x14ac:dyDescent="0.35">
      <c r="A177" s="248" t="s">
        <v>2542</v>
      </c>
      <c r="B177" s="236" t="s">
        <v>5956</v>
      </c>
      <c r="C177" s="236"/>
      <c r="D177" s="236"/>
      <c r="E177" s="236"/>
      <c r="F177" s="236"/>
      <c r="G177" s="236"/>
      <c r="H177" s="236"/>
      <c r="I177" s="236"/>
      <c r="J177" s="236"/>
      <c r="K177" s="239" t="str">
        <f>IF(COUNTIF(L177:AY177,"&lt;&gt;")=0,"",SUMPRODUCT(((Recommendations[ImplStatus]="Implemented")+(Recommendations[ImplStatus]="Compensated"))*ISNUMBER(MATCH(Recommendations[Id],L177:AY177,0)))/COUNTIF(L177:AY177,"&lt;&gt;"))</f>
        <v/>
      </c>
      <c r="L177" s="242"/>
      <c r="M177" s="242"/>
      <c r="N177" s="242"/>
      <c r="O177" s="242"/>
      <c r="P177" s="242"/>
      <c r="Q177" s="242"/>
      <c r="R177" s="242"/>
      <c r="S177" s="242"/>
      <c r="T177" s="242"/>
      <c r="U177" s="242"/>
      <c r="V177" s="242"/>
      <c r="W177" s="242"/>
      <c r="X177" s="242"/>
      <c r="Y177" s="242"/>
      <c r="Z177" s="242"/>
      <c r="AA177" s="242"/>
      <c r="AB177" s="242"/>
      <c r="AC177" s="242"/>
      <c r="AD177" s="242"/>
      <c r="AE177" s="242"/>
      <c r="AF177" s="242"/>
      <c r="AG177" s="242"/>
      <c r="AH177" s="242"/>
      <c r="AI177" s="242"/>
      <c r="AJ177" s="242"/>
      <c r="AK177" s="242"/>
      <c r="AL177" s="242"/>
      <c r="AM177" s="242"/>
      <c r="AN177" s="242"/>
      <c r="AO177" s="242"/>
      <c r="AP177" s="242"/>
      <c r="AQ177" s="242"/>
      <c r="AR177" s="242"/>
      <c r="AS177" s="242"/>
      <c r="AT177" s="242"/>
      <c r="AU177" s="242"/>
      <c r="AV177" s="242"/>
      <c r="AW177" s="242"/>
      <c r="AX177" s="242"/>
      <c r="AY177" s="252"/>
    </row>
    <row r="178" spans="1:51" ht="60" customHeight="1" x14ac:dyDescent="0.35">
      <c r="A178" s="249" t="s">
        <v>5957</v>
      </c>
      <c r="B178" s="237" t="s">
        <v>5958</v>
      </c>
      <c r="C178" s="237" t="s">
        <v>5959</v>
      </c>
      <c r="D178" s="237" t="s">
        <v>5960</v>
      </c>
      <c r="E178" s="237" t="s">
        <v>5961</v>
      </c>
      <c r="F178" s="237" t="s">
        <v>5962</v>
      </c>
      <c r="G178" s="237" t="s">
        <v>21</v>
      </c>
      <c r="H178" s="237" t="s">
        <v>5963</v>
      </c>
      <c r="I178" s="237" t="s">
        <v>5964</v>
      </c>
      <c r="J178" s="237" t="s">
        <v>5965</v>
      </c>
      <c r="K178" s="240" t="str">
        <f>IF(COUNTIF(L178:AY178,"&lt;&gt;")=0,"",SUMPRODUCT(((Recommendations[ImplStatus]="Implemented")+(Recommendations[ImplStatus]="Compensated"))*ISNUMBER(MATCH(Recommendations[Id],L178:AY178,0)))/COUNTIF(L178:AY178,"&lt;&gt;"))</f>
        <v/>
      </c>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53"/>
    </row>
    <row r="179" spans="1:51" ht="60" customHeight="1" outlineLevel="1" x14ac:dyDescent="0.35">
      <c r="A179" s="248" t="s">
        <v>2546</v>
      </c>
      <c r="B179" s="236" t="s">
        <v>5966</v>
      </c>
      <c r="C179" s="236"/>
      <c r="D179" s="236"/>
      <c r="E179" s="236"/>
      <c r="F179" s="236"/>
      <c r="G179" s="236"/>
      <c r="H179" s="236"/>
      <c r="I179" s="236"/>
      <c r="J179" s="236"/>
      <c r="K179" s="239" t="str">
        <f>IF(COUNTIF(L179:AY179,"&lt;&gt;")=0,"",SUMPRODUCT(((Recommendations[ImplStatus]="Implemented")+(Recommendations[ImplStatus]="Compensated"))*ISNUMBER(MATCH(Recommendations[Id],L179:AY179,0)))/COUNTIF(L179:AY179,"&lt;&gt;"))</f>
        <v/>
      </c>
      <c r="L179" s="242"/>
      <c r="M179" s="242"/>
      <c r="N179" s="242"/>
      <c r="O179" s="242"/>
      <c r="P179" s="242"/>
      <c r="Q179" s="242"/>
      <c r="R179" s="242"/>
      <c r="S179" s="242"/>
      <c r="T179" s="242"/>
      <c r="U179" s="242"/>
      <c r="V179" s="242"/>
      <c r="W179" s="242"/>
      <c r="X179" s="242"/>
      <c r="Y179" s="242"/>
      <c r="Z179" s="242"/>
      <c r="AA179" s="242"/>
      <c r="AB179" s="242"/>
      <c r="AC179" s="242"/>
      <c r="AD179" s="242"/>
      <c r="AE179" s="242"/>
      <c r="AF179" s="242"/>
      <c r="AG179" s="242"/>
      <c r="AH179" s="242"/>
      <c r="AI179" s="242"/>
      <c r="AJ179" s="242"/>
      <c r="AK179" s="242"/>
      <c r="AL179" s="242"/>
      <c r="AM179" s="242"/>
      <c r="AN179" s="242"/>
      <c r="AO179" s="242"/>
      <c r="AP179" s="242"/>
      <c r="AQ179" s="242"/>
      <c r="AR179" s="242"/>
      <c r="AS179" s="242"/>
      <c r="AT179" s="242"/>
      <c r="AU179" s="242"/>
      <c r="AV179" s="242"/>
      <c r="AW179" s="242"/>
      <c r="AX179" s="242"/>
      <c r="AY179" s="252"/>
    </row>
    <row r="180" spans="1:51" ht="60" customHeight="1" x14ac:dyDescent="0.35">
      <c r="A180" s="249" t="s">
        <v>5967</v>
      </c>
      <c r="B180" s="237" t="s">
        <v>5968</v>
      </c>
      <c r="C180" s="237" t="s">
        <v>5969</v>
      </c>
      <c r="D180" s="237" t="s">
        <v>5960</v>
      </c>
      <c r="E180" s="237" t="s">
        <v>5970</v>
      </c>
      <c r="F180" s="237" t="s">
        <v>21</v>
      </c>
      <c r="G180" s="237" t="s">
        <v>21</v>
      </c>
      <c r="H180" s="237" t="s">
        <v>5971</v>
      </c>
      <c r="I180" s="237" t="s">
        <v>5483</v>
      </c>
      <c r="J180" s="237" t="s">
        <v>5972</v>
      </c>
      <c r="K180" s="240" t="str">
        <f>IF(COUNTIF(L180:AY180,"&lt;&gt;")=0,"",SUMPRODUCT(((Recommendations[ImplStatus]="Implemented")+(Recommendations[ImplStatus]="Compensated"))*ISNUMBER(MATCH(Recommendations[Id],L180:AY180,0)))/COUNTIF(L180:AY180,"&lt;&gt;"))</f>
        <v/>
      </c>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53"/>
    </row>
    <row r="181" spans="1:51" ht="60" customHeight="1" x14ac:dyDescent="0.35">
      <c r="A181" s="249" t="s">
        <v>5973</v>
      </c>
      <c r="B181" s="237" t="s">
        <v>5974</v>
      </c>
      <c r="C181" s="237" t="s">
        <v>5975</v>
      </c>
      <c r="D181" s="237" t="s">
        <v>5976</v>
      </c>
      <c r="E181" s="237" t="s">
        <v>21</v>
      </c>
      <c r="F181" s="237" t="s">
        <v>21</v>
      </c>
      <c r="G181" s="237" t="s">
        <v>21</v>
      </c>
      <c r="H181" s="237" t="s">
        <v>5977</v>
      </c>
      <c r="I181" s="237" t="s">
        <v>5978</v>
      </c>
      <c r="J181" s="237" t="s">
        <v>5979</v>
      </c>
      <c r="K181" s="240" t="str">
        <f>IF(COUNTIF(L181:AY181,"&lt;&gt;")=0,"",SUMPRODUCT(((Recommendations[ImplStatus]="Implemented")+(Recommendations[ImplStatus]="Compensated"))*ISNUMBER(MATCH(Recommendations[Id],L181:AY181,0)))/COUNTIF(L181:AY181,"&lt;&gt;"))</f>
        <v/>
      </c>
      <c r="L181" s="243"/>
      <c r="M181" s="243"/>
      <c r="N181" s="243"/>
      <c r="O181" s="243"/>
      <c r="P181" s="243"/>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c r="AW181" s="243"/>
      <c r="AX181" s="243"/>
      <c r="AY181" s="253"/>
    </row>
    <row r="182" spans="1:51" ht="60" customHeight="1" x14ac:dyDescent="0.35">
      <c r="A182" s="249" t="s">
        <v>5980</v>
      </c>
      <c r="B182" s="237" t="s">
        <v>5981</v>
      </c>
      <c r="C182" s="237" t="s">
        <v>5982</v>
      </c>
      <c r="D182" s="237" t="s">
        <v>5983</v>
      </c>
      <c r="E182" s="237" t="s">
        <v>21</v>
      </c>
      <c r="F182" s="237" t="s">
        <v>21</v>
      </c>
      <c r="G182" s="237" t="s">
        <v>21</v>
      </c>
      <c r="H182" s="237" t="s">
        <v>5984</v>
      </c>
      <c r="I182" s="237" t="s">
        <v>5483</v>
      </c>
      <c r="J182" s="237" t="s">
        <v>5985</v>
      </c>
      <c r="K182" s="240" t="str">
        <f>IF(COUNTIF(L182:AY182,"&lt;&gt;")=0,"",SUMPRODUCT(((Recommendations[ImplStatus]="Implemented")+(Recommendations[ImplStatus]="Compensated"))*ISNUMBER(MATCH(Recommendations[Id],L182:AY182,0)))/COUNTIF(L182:AY182,"&lt;&gt;"))</f>
        <v/>
      </c>
      <c r="L182" s="243"/>
      <c r="M182" s="243"/>
      <c r="N182" s="243"/>
      <c r="O182" s="243"/>
      <c r="P182" s="243"/>
      <c r="Q182" s="243"/>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3"/>
      <c r="AN182" s="243"/>
      <c r="AO182" s="243"/>
      <c r="AP182" s="243"/>
      <c r="AQ182" s="243"/>
      <c r="AR182" s="243"/>
      <c r="AS182" s="243"/>
      <c r="AT182" s="243"/>
      <c r="AU182" s="243"/>
      <c r="AV182" s="243"/>
      <c r="AW182" s="243"/>
      <c r="AX182" s="243"/>
      <c r="AY182" s="253"/>
    </row>
    <row r="183" spans="1:51" ht="60" customHeight="1" outlineLevel="1" x14ac:dyDescent="0.35">
      <c r="A183" s="247" t="s">
        <v>5986</v>
      </c>
      <c r="B183" s="235" t="s">
        <v>5987</v>
      </c>
      <c r="C183" s="235"/>
      <c r="D183" s="235"/>
      <c r="E183" s="235"/>
      <c r="F183" s="235"/>
      <c r="G183" s="235"/>
      <c r="H183" s="235"/>
      <c r="I183" s="235"/>
      <c r="J183" s="235"/>
      <c r="K183" s="238" t="str">
        <f>IF(COUNTIF(L183:AY183,"&lt;&gt;")=0,"",SUMPRODUCT(((Recommendations[ImplStatus]="Implemented")+(Recommendations[ImplStatus]="Compensated"))*ISNUMBER(MATCH(Recommendations[Id],L183:AY183,0)))/COUNTIF(L183:AY183,"&lt;&gt;"))</f>
        <v/>
      </c>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51"/>
    </row>
    <row r="184" spans="1:51" ht="60" customHeight="1" outlineLevel="1" x14ac:dyDescent="0.35">
      <c r="A184" s="248" t="s">
        <v>2576</v>
      </c>
      <c r="B184" s="236" t="s">
        <v>5988</v>
      </c>
      <c r="C184" s="236"/>
      <c r="D184" s="236"/>
      <c r="E184" s="236"/>
      <c r="F184" s="236"/>
      <c r="G184" s="236"/>
      <c r="H184" s="236"/>
      <c r="I184" s="236"/>
      <c r="J184" s="236"/>
      <c r="K184" s="239" t="str">
        <f>IF(COUNTIF(L184:AY184,"&lt;&gt;")=0,"",SUMPRODUCT(((Recommendations[ImplStatus]="Implemented")+(Recommendations[ImplStatus]="Compensated"))*ISNUMBER(MATCH(Recommendations[Id],L184:AY184,0)))/COUNTIF(L184:AY184,"&lt;&gt;"))</f>
        <v/>
      </c>
      <c r="L184" s="242"/>
      <c r="M184" s="242"/>
      <c r="N184" s="242"/>
      <c r="O184" s="242"/>
      <c r="P184" s="242"/>
      <c r="Q184" s="242"/>
      <c r="R184" s="242"/>
      <c r="S184" s="242"/>
      <c r="T184" s="242"/>
      <c r="U184" s="242"/>
      <c r="V184" s="242"/>
      <c r="W184" s="242"/>
      <c r="X184" s="242"/>
      <c r="Y184" s="242"/>
      <c r="Z184" s="242"/>
      <c r="AA184" s="242"/>
      <c r="AB184" s="242"/>
      <c r="AC184" s="242"/>
      <c r="AD184" s="242"/>
      <c r="AE184" s="242"/>
      <c r="AF184" s="242"/>
      <c r="AG184" s="242"/>
      <c r="AH184" s="242"/>
      <c r="AI184" s="242"/>
      <c r="AJ184" s="242"/>
      <c r="AK184" s="242"/>
      <c r="AL184" s="242"/>
      <c r="AM184" s="242"/>
      <c r="AN184" s="242"/>
      <c r="AO184" s="242"/>
      <c r="AP184" s="242"/>
      <c r="AQ184" s="242"/>
      <c r="AR184" s="242"/>
      <c r="AS184" s="242"/>
      <c r="AT184" s="242"/>
      <c r="AU184" s="242"/>
      <c r="AV184" s="242"/>
      <c r="AW184" s="242"/>
      <c r="AX184" s="242"/>
      <c r="AY184" s="252"/>
    </row>
    <row r="185" spans="1:51" ht="60" customHeight="1" x14ac:dyDescent="0.35">
      <c r="A185" s="249" t="s">
        <v>5989</v>
      </c>
      <c r="B185" s="237" t="s">
        <v>5990</v>
      </c>
      <c r="C185" s="237" t="s">
        <v>5991</v>
      </c>
      <c r="D185" s="237" t="s">
        <v>5255</v>
      </c>
      <c r="E185" s="237" t="s">
        <v>5992</v>
      </c>
      <c r="F185" s="237" t="s">
        <v>21</v>
      </c>
      <c r="G185" s="237" t="s">
        <v>21</v>
      </c>
      <c r="H185" s="237" t="s">
        <v>5993</v>
      </c>
      <c r="I185" s="237" t="s">
        <v>21</v>
      </c>
      <c r="J185" s="237" t="s">
        <v>5994</v>
      </c>
      <c r="K185" s="240" t="str">
        <f>IF(COUNTIF(L185:AY185,"&lt;&gt;")=0,"",SUMPRODUCT(((Recommendations[ImplStatus]="Implemented")+(Recommendations[ImplStatus]="Compensated"))*ISNUMBER(MATCH(Recommendations[Id],L185:AY185,0)))/COUNTIF(L185:AY185,"&lt;&gt;"))</f>
        <v/>
      </c>
      <c r="L185" s="243"/>
      <c r="M185" s="243"/>
      <c r="N185" s="243"/>
      <c r="O185" s="243"/>
      <c r="P185" s="243"/>
      <c r="Q185" s="243"/>
      <c r="R185" s="243"/>
      <c r="S185" s="243"/>
      <c r="T185" s="243"/>
      <c r="U185" s="243"/>
      <c r="V185" s="243"/>
      <c r="W185" s="243"/>
      <c r="X185" s="243"/>
      <c r="Y185" s="243"/>
      <c r="Z185" s="243"/>
      <c r="AA185" s="243"/>
      <c r="AB185" s="243"/>
      <c r="AC185" s="243"/>
      <c r="AD185" s="243"/>
      <c r="AE185" s="243"/>
      <c r="AF185" s="243"/>
      <c r="AG185" s="243"/>
      <c r="AH185" s="243"/>
      <c r="AI185" s="243"/>
      <c r="AJ185" s="243"/>
      <c r="AK185" s="243"/>
      <c r="AL185" s="243"/>
      <c r="AM185" s="243"/>
      <c r="AN185" s="243"/>
      <c r="AO185" s="243"/>
      <c r="AP185" s="243"/>
      <c r="AQ185" s="243"/>
      <c r="AR185" s="243"/>
      <c r="AS185" s="243"/>
      <c r="AT185" s="243"/>
      <c r="AU185" s="243"/>
      <c r="AV185" s="243"/>
      <c r="AW185" s="243"/>
      <c r="AX185" s="243"/>
      <c r="AY185" s="253"/>
    </row>
    <row r="186" spans="1:51" ht="60" customHeight="1" x14ac:dyDescent="0.35">
      <c r="A186" s="249" t="s">
        <v>5995</v>
      </c>
      <c r="B186" s="237" t="s">
        <v>5996</v>
      </c>
      <c r="C186" s="237" t="s">
        <v>5260</v>
      </c>
      <c r="D186" s="237" t="s">
        <v>5997</v>
      </c>
      <c r="E186" s="237" t="s">
        <v>21</v>
      </c>
      <c r="F186" s="237" t="s">
        <v>21</v>
      </c>
      <c r="G186" s="237" t="s">
        <v>21</v>
      </c>
      <c r="H186" s="237" t="s">
        <v>5998</v>
      </c>
      <c r="I186" s="237" t="s">
        <v>21</v>
      </c>
      <c r="J186" s="237" t="s">
        <v>5999</v>
      </c>
      <c r="K186" s="240" t="str">
        <f>IF(COUNTIF(L186:AY186,"&lt;&gt;")=0,"",SUMPRODUCT(((Recommendations[ImplStatus]="Implemented")+(Recommendations[ImplStatus]="Compensated"))*ISNUMBER(MATCH(Recommendations[Id],L186:AY186,0)))/COUNTIF(L186:AY186,"&lt;&gt;"))</f>
        <v/>
      </c>
      <c r="L186" s="243"/>
      <c r="M186" s="243"/>
      <c r="N186" s="243"/>
      <c r="O186" s="243"/>
      <c r="P186" s="243"/>
      <c r="Q186" s="243"/>
      <c r="R186" s="243"/>
      <c r="S186" s="243"/>
      <c r="T186" s="243"/>
      <c r="U186" s="243"/>
      <c r="V186" s="243"/>
      <c r="W186" s="243"/>
      <c r="X186" s="243"/>
      <c r="Y186" s="243"/>
      <c r="Z186" s="243"/>
      <c r="AA186" s="243"/>
      <c r="AB186" s="243"/>
      <c r="AC186" s="243"/>
      <c r="AD186" s="243"/>
      <c r="AE186" s="243"/>
      <c r="AF186" s="243"/>
      <c r="AG186" s="243"/>
      <c r="AH186" s="243"/>
      <c r="AI186" s="243"/>
      <c r="AJ186" s="243"/>
      <c r="AK186" s="243"/>
      <c r="AL186" s="243"/>
      <c r="AM186" s="243"/>
      <c r="AN186" s="243"/>
      <c r="AO186" s="243"/>
      <c r="AP186" s="243"/>
      <c r="AQ186" s="243"/>
      <c r="AR186" s="243"/>
      <c r="AS186" s="243"/>
      <c r="AT186" s="243"/>
      <c r="AU186" s="243"/>
      <c r="AV186" s="243"/>
      <c r="AW186" s="243"/>
      <c r="AX186" s="243"/>
      <c r="AY186" s="253"/>
    </row>
    <row r="187" spans="1:51" ht="60" customHeight="1" outlineLevel="1" x14ac:dyDescent="0.35">
      <c r="A187" s="248" t="s">
        <v>2580</v>
      </c>
      <c r="B187" s="236" t="s">
        <v>6000</v>
      </c>
      <c r="C187" s="236"/>
      <c r="D187" s="236"/>
      <c r="E187" s="236"/>
      <c r="F187" s="236"/>
      <c r="G187" s="236"/>
      <c r="H187" s="236"/>
      <c r="I187" s="236"/>
      <c r="J187" s="236"/>
      <c r="K187" s="239" t="str">
        <f>IF(COUNTIF(L187:AY187,"&lt;&gt;")=0,"",SUMPRODUCT(((Recommendations[ImplStatus]="Implemented")+(Recommendations[ImplStatus]="Compensated"))*ISNUMBER(MATCH(Recommendations[Id],L187:AY187,0)))/COUNTIF(L187:AY187,"&lt;&gt;"))</f>
        <v/>
      </c>
      <c r="L187" s="242"/>
      <c r="M187" s="242"/>
      <c r="N187" s="242"/>
      <c r="O187" s="242"/>
      <c r="P187" s="242"/>
      <c r="Q187" s="242"/>
      <c r="R187" s="242"/>
      <c r="S187" s="242"/>
      <c r="T187" s="242"/>
      <c r="U187" s="242"/>
      <c r="V187" s="242"/>
      <c r="W187" s="242"/>
      <c r="X187" s="242"/>
      <c r="Y187" s="242"/>
      <c r="Z187" s="242"/>
      <c r="AA187" s="242"/>
      <c r="AB187" s="242"/>
      <c r="AC187" s="242"/>
      <c r="AD187" s="242"/>
      <c r="AE187" s="242"/>
      <c r="AF187" s="242"/>
      <c r="AG187" s="242"/>
      <c r="AH187" s="242"/>
      <c r="AI187" s="242"/>
      <c r="AJ187" s="242"/>
      <c r="AK187" s="242"/>
      <c r="AL187" s="242"/>
      <c r="AM187" s="242"/>
      <c r="AN187" s="242"/>
      <c r="AO187" s="242"/>
      <c r="AP187" s="242"/>
      <c r="AQ187" s="242"/>
      <c r="AR187" s="242"/>
      <c r="AS187" s="242"/>
      <c r="AT187" s="242"/>
      <c r="AU187" s="242"/>
      <c r="AV187" s="242"/>
      <c r="AW187" s="242"/>
      <c r="AX187" s="242"/>
      <c r="AY187" s="252"/>
    </row>
    <row r="188" spans="1:51" ht="60" customHeight="1" x14ac:dyDescent="0.35">
      <c r="A188" s="249" t="s">
        <v>6001</v>
      </c>
      <c r="B188" s="237" t="s">
        <v>6002</v>
      </c>
      <c r="C188" s="237" t="s">
        <v>6003</v>
      </c>
      <c r="D188" s="237" t="s">
        <v>6004</v>
      </c>
      <c r="E188" s="237" t="s">
        <v>21</v>
      </c>
      <c r="F188" s="237" t="s">
        <v>6005</v>
      </c>
      <c r="G188" s="237" t="s">
        <v>21</v>
      </c>
      <c r="H188" s="237" t="s">
        <v>6006</v>
      </c>
      <c r="I188" s="237" t="s">
        <v>6007</v>
      </c>
      <c r="J188" s="237" t="s">
        <v>6008</v>
      </c>
      <c r="K188" s="240" t="str">
        <f>IF(COUNTIF(L188:AY188,"&lt;&gt;")=0,"",SUMPRODUCT(((Recommendations[ImplStatus]="Implemented")+(Recommendations[ImplStatus]="Compensated"))*ISNUMBER(MATCH(Recommendations[Id],L188:AY188,0)))/COUNTIF(L188:AY188,"&lt;&gt;"))</f>
        <v/>
      </c>
      <c r="L188" s="243"/>
      <c r="M188" s="243"/>
      <c r="N188" s="243"/>
      <c r="O188" s="243"/>
      <c r="P188" s="243"/>
      <c r="Q188" s="243"/>
      <c r="R188" s="243"/>
      <c r="S188" s="243"/>
      <c r="T188" s="243"/>
      <c r="U188" s="243"/>
      <c r="V188" s="243"/>
      <c r="W188" s="243"/>
      <c r="X188" s="243"/>
      <c r="Y188" s="243"/>
      <c r="Z188" s="243"/>
      <c r="AA188" s="243"/>
      <c r="AB188" s="243"/>
      <c r="AC188" s="243"/>
      <c r="AD188" s="243"/>
      <c r="AE188" s="243"/>
      <c r="AF188" s="243"/>
      <c r="AG188" s="243"/>
      <c r="AH188" s="243"/>
      <c r="AI188" s="243"/>
      <c r="AJ188" s="243"/>
      <c r="AK188" s="243"/>
      <c r="AL188" s="243"/>
      <c r="AM188" s="243"/>
      <c r="AN188" s="243"/>
      <c r="AO188" s="243"/>
      <c r="AP188" s="243"/>
      <c r="AQ188" s="243"/>
      <c r="AR188" s="243"/>
      <c r="AS188" s="243"/>
      <c r="AT188" s="243"/>
      <c r="AU188" s="243"/>
      <c r="AV188" s="243"/>
      <c r="AW188" s="243"/>
      <c r="AX188" s="243"/>
      <c r="AY188" s="253"/>
    </row>
    <row r="189" spans="1:51" ht="60" customHeight="1" x14ac:dyDescent="0.35">
      <c r="A189" s="249" t="s">
        <v>6009</v>
      </c>
      <c r="B189" s="237" t="s">
        <v>6010</v>
      </c>
      <c r="C189" s="237" t="s">
        <v>6011</v>
      </c>
      <c r="D189" s="237" t="s">
        <v>6012</v>
      </c>
      <c r="E189" s="237" t="s">
        <v>21</v>
      </c>
      <c r="F189" s="237" t="s">
        <v>21</v>
      </c>
      <c r="G189" s="237" t="s">
        <v>21</v>
      </c>
      <c r="H189" s="237" t="s">
        <v>6013</v>
      </c>
      <c r="I189" s="237" t="s">
        <v>21</v>
      </c>
      <c r="J189" s="237" t="s">
        <v>6014</v>
      </c>
      <c r="K189" s="240" t="str">
        <f>IF(COUNTIF(L189:AY189,"&lt;&gt;")=0,"",SUMPRODUCT(((Recommendations[ImplStatus]="Implemented")+(Recommendations[ImplStatus]="Compensated"))*ISNUMBER(MATCH(Recommendations[Id],L189:AY189,0)))/COUNTIF(L189:AY189,"&lt;&gt;"))</f>
        <v/>
      </c>
      <c r="L189" s="243"/>
      <c r="M189" s="243"/>
      <c r="N189" s="243"/>
      <c r="O189" s="243"/>
      <c r="P189" s="243"/>
      <c r="Q189" s="243"/>
      <c r="R189" s="243"/>
      <c r="S189" s="243"/>
      <c r="T189" s="243"/>
      <c r="U189" s="243"/>
      <c r="V189" s="243"/>
      <c r="W189" s="243"/>
      <c r="X189" s="243"/>
      <c r="Y189" s="243"/>
      <c r="Z189" s="243"/>
      <c r="AA189" s="243"/>
      <c r="AB189" s="243"/>
      <c r="AC189" s="243"/>
      <c r="AD189" s="243"/>
      <c r="AE189" s="243"/>
      <c r="AF189" s="243"/>
      <c r="AG189" s="243"/>
      <c r="AH189" s="243"/>
      <c r="AI189" s="243"/>
      <c r="AJ189" s="243"/>
      <c r="AK189" s="243"/>
      <c r="AL189" s="243"/>
      <c r="AM189" s="243"/>
      <c r="AN189" s="243"/>
      <c r="AO189" s="243"/>
      <c r="AP189" s="243"/>
      <c r="AQ189" s="243"/>
      <c r="AR189" s="243"/>
      <c r="AS189" s="243"/>
      <c r="AT189" s="243"/>
      <c r="AU189" s="243"/>
      <c r="AV189" s="243"/>
      <c r="AW189" s="243"/>
      <c r="AX189" s="243"/>
      <c r="AY189" s="253"/>
    </row>
    <row r="190" spans="1:51" ht="60" customHeight="1" x14ac:dyDescent="0.35">
      <c r="A190" s="249" t="s">
        <v>6015</v>
      </c>
      <c r="B190" s="237" t="s">
        <v>6016</v>
      </c>
      <c r="C190" s="237" t="s">
        <v>6017</v>
      </c>
      <c r="D190" s="237" t="s">
        <v>6018</v>
      </c>
      <c r="E190" s="237" t="s">
        <v>21</v>
      </c>
      <c r="F190" s="237" t="s">
        <v>6019</v>
      </c>
      <c r="G190" s="237" t="s">
        <v>21</v>
      </c>
      <c r="H190" s="237" t="s">
        <v>6020</v>
      </c>
      <c r="I190" s="237" t="s">
        <v>21</v>
      </c>
      <c r="J190" s="237" t="s">
        <v>6021</v>
      </c>
      <c r="K190" s="240" t="str">
        <f>IF(COUNTIF(L190:AY190,"&lt;&gt;")=0,"",SUMPRODUCT(((Recommendations[ImplStatus]="Implemented")+(Recommendations[ImplStatus]="Compensated"))*ISNUMBER(MATCH(Recommendations[Id],L190:AY190,0)))/COUNTIF(L190:AY190,"&lt;&gt;"))</f>
        <v/>
      </c>
      <c r="L190" s="243"/>
      <c r="M190" s="243"/>
      <c r="N190" s="243"/>
      <c r="O190" s="243"/>
      <c r="P190" s="243"/>
      <c r="Q190" s="243"/>
      <c r="R190" s="243"/>
      <c r="S190" s="243"/>
      <c r="T190" s="243"/>
      <c r="U190" s="243"/>
      <c r="V190" s="243"/>
      <c r="W190" s="243"/>
      <c r="X190" s="243"/>
      <c r="Y190" s="243"/>
      <c r="Z190" s="243"/>
      <c r="AA190" s="243"/>
      <c r="AB190" s="243"/>
      <c r="AC190" s="243"/>
      <c r="AD190" s="243"/>
      <c r="AE190" s="243"/>
      <c r="AF190" s="243"/>
      <c r="AG190" s="243"/>
      <c r="AH190" s="243"/>
      <c r="AI190" s="243"/>
      <c r="AJ190" s="243"/>
      <c r="AK190" s="243"/>
      <c r="AL190" s="243"/>
      <c r="AM190" s="243"/>
      <c r="AN190" s="243"/>
      <c r="AO190" s="243"/>
      <c r="AP190" s="243"/>
      <c r="AQ190" s="243"/>
      <c r="AR190" s="243"/>
      <c r="AS190" s="243"/>
      <c r="AT190" s="243"/>
      <c r="AU190" s="243"/>
      <c r="AV190" s="243"/>
      <c r="AW190" s="243"/>
      <c r="AX190" s="243"/>
      <c r="AY190" s="253"/>
    </row>
    <row r="191" spans="1:51" ht="60" customHeight="1" x14ac:dyDescent="0.35">
      <c r="A191" s="249" t="s">
        <v>6022</v>
      </c>
      <c r="B191" s="237" t="s">
        <v>6023</v>
      </c>
      <c r="C191" s="237" t="s">
        <v>6024</v>
      </c>
      <c r="D191" s="237" t="s">
        <v>21</v>
      </c>
      <c r="E191" s="237" t="s">
        <v>21</v>
      </c>
      <c r="F191" s="237" t="s">
        <v>21</v>
      </c>
      <c r="G191" s="237" t="s">
        <v>21</v>
      </c>
      <c r="H191" s="237" t="s">
        <v>6025</v>
      </c>
      <c r="I191" s="237" t="s">
        <v>21</v>
      </c>
      <c r="J191" s="237" t="s">
        <v>6026</v>
      </c>
      <c r="K191" s="240" t="str">
        <f>IF(COUNTIF(L191:AY191,"&lt;&gt;")=0,"",SUMPRODUCT(((Recommendations[ImplStatus]="Implemented")+(Recommendations[ImplStatus]="Compensated"))*ISNUMBER(MATCH(Recommendations[Id],L191:AY191,0)))/COUNTIF(L191:AY191,"&lt;&gt;"))</f>
        <v/>
      </c>
      <c r="L191" s="243"/>
      <c r="M191" s="243"/>
      <c r="N191" s="243"/>
      <c r="O191" s="243"/>
      <c r="P191" s="243"/>
      <c r="Q191" s="243"/>
      <c r="R191" s="243"/>
      <c r="S191" s="243"/>
      <c r="T191" s="243"/>
      <c r="U191" s="243"/>
      <c r="V191" s="243"/>
      <c r="W191" s="243"/>
      <c r="X191" s="243"/>
      <c r="Y191" s="243"/>
      <c r="Z191" s="243"/>
      <c r="AA191" s="243"/>
      <c r="AB191" s="243"/>
      <c r="AC191" s="243"/>
      <c r="AD191" s="243"/>
      <c r="AE191" s="243"/>
      <c r="AF191" s="243"/>
      <c r="AG191" s="243"/>
      <c r="AH191" s="243"/>
      <c r="AI191" s="243"/>
      <c r="AJ191" s="243"/>
      <c r="AK191" s="243"/>
      <c r="AL191" s="243"/>
      <c r="AM191" s="243"/>
      <c r="AN191" s="243"/>
      <c r="AO191" s="243"/>
      <c r="AP191" s="243"/>
      <c r="AQ191" s="243"/>
      <c r="AR191" s="243"/>
      <c r="AS191" s="243"/>
      <c r="AT191" s="243"/>
      <c r="AU191" s="243"/>
      <c r="AV191" s="243"/>
      <c r="AW191" s="243"/>
      <c r="AX191" s="243"/>
      <c r="AY191" s="253"/>
    </row>
    <row r="192" spans="1:51" ht="60" customHeight="1" x14ac:dyDescent="0.35">
      <c r="A192" s="249" t="s">
        <v>6027</v>
      </c>
      <c r="B192" s="237" t="s">
        <v>6028</v>
      </c>
      <c r="C192" s="237" t="s">
        <v>6029</v>
      </c>
      <c r="D192" s="237" t="s">
        <v>6030</v>
      </c>
      <c r="E192" s="237" t="s">
        <v>6031</v>
      </c>
      <c r="F192" s="237" t="s">
        <v>21</v>
      </c>
      <c r="G192" s="237" t="s">
        <v>21</v>
      </c>
      <c r="H192" s="237" t="s">
        <v>6032</v>
      </c>
      <c r="I192" s="237" t="s">
        <v>21</v>
      </c>
      <c r="J192" s="237" t="s">
        <v>6033</v>
      </c>
      <c r="K192" s="240" t="str">
        <f>IF(COUNTIF(L192:AY192,"&lt;&gt;")=0,"",SUMPRODUCT(((Recommendations[ImplStatus]="Implemented")+(Recommendations[ImplStatus]="Compensated"))*ISNUMBER(MATCH(Recommendations[Id],L192:AY192,0)))/COUNTIF(L192:AY192,"&lt;&gt;"))</f>
        <v/>
      </c>
      <c r="L192" s="243"/>
      <c r="M192" s="243"/>
      <c r="N192" s="243"/>
      <c r="O192" s="243"/>
      <c r="P192" s="243"/>
      <c r="Q192" s="243"/>
      <c r="R192" s="243"/>
      <c r="S192" s="243"/>
      <c r="T192" s="243"/>
      <c r="U192" s="243"/>
      <c r="V192" s="243"/>
      <c r="W192" s="243"/>
      <c r="X192" s="243"/>
      <c r="Y192" s="243"/>
      <c r="Z192" s="243"/>
      <c r="AA192" s="243"/>
      <c r="AB192" s="243"/>
      <c r="AC192" s="243"/>
      <c r="AD192" s="243"/>
      <c r="AE192" s="243"/>
      <c r="AF192" s="243"/>
      <c r="AG192" s="243"/>
      <c r="AH192" s="243"/>
      <c r="AI192" s="243"/>
      <c r="AJ192" s="243"/>
      <c r="AK192" s="243"/>
      <c r="AL192" s="243"/>
      <c r="AM192" s="243"/>
      <c r="AN192" s="243"/>
      <c r="AO192" s="243"/>
      <c r="AP192" s="243"/>
      <c r="AQ192" s="243"/>
      <c r="AR192" s="243"/>
      <c r="AS192" s="243"/>
      <c r="AT192" s="243"/>
      <c r="AU192" s="243"/>
      <c r="AV192" s="243"/>
      <c r="AW192" s="243"/>
      <c r="AX192" s="243"/>
      <c r="AY192" s="253"/>
    </row>
    <row r="193" spans="1:51" ht="60" customHeight="1" outlineLevel="1" x14ac:dyDescent="0.35">
      <c r="A193" s="248" t="s">
        <v>2584</v>
      </c>
      <c r="B193" s="236" t="s">
        <v>6034</v>
      </c>
      <c r="C193" s="236"/>
      <c r="D193" s="236"/>
      <c r="E193" s="236"/>
      <c r="F193" s="236"/>
      <c r="G193" s="236"/>
      <c r="H193" s="236"/>
      <c r="I193" s="236"/>
      <c r="J193" s="236"/>
      <c r="K193" s="239" t="str">
        <f>IF(COUNTIF(L193:AY193,"&lt;&gt;")=0,"",SUMPRODUCT(((Recommendations[ImplStatus]="Implemented")+(Recommendations[ImplStatus]="Compensated"))*ISNUMBER(MATCH(Recommendations[Id],L193:AY193,0)))/COUNTIF(L193:AY193,"&lt;&gt;"))</f>
        <v/>
      </c>
      <c r="L193" s="242"/>
      <c r="M193" s="242"/>
      <c r="N193" s="242"/>
      <c r="O193" s="242"/>
      <c r="P193" s="242"/>
      <c r="Q193" s="242"/>
      <c r="R193" s="242"/>
      <c r="S193" s="242"/>
      <c r="T193" s="242"/>
      <c r="U193" s="242"/>
      <c r="V193" s="242"/>
      <c r="W193" s="242"/>
      <c r="X193" s="242"/>
      <c r="Y193" s="242"/>
      <c r="Z193" s="242"/>
      <c r="AA193" s="242"/>
      <c r="AB193" s="242"/>
      <c r="AC193" s="242"/>
      <c r="AD193" s="242"/>
      <c r="AE193" s="242"/>
      <c r="AF193" s="242"/>
      <c r="AG193" s="242"/>
      <c r="AH193" s="242"/>
      <c r="AI193" s="242"/>
      <c r="AJ193" s="242"/>
      <c r="AK193" s="242"/>
      <c r="AL193" s="242"/>
      <c r="AM193" s="242"/>
      <c r="AN193" s="242"/>
      <c r="AO193" s="242"/>
      <c r="AP193" s="242"/>
      <c r="AQ193" s="242"/>
      <c r="AR193" s="242"/>
      <c r="AS193" s="242"/>
      <c r="AT193" s="242"/>
      <c r="AU193" s="242"/>
      <c r="AV193" s="242"/>
      <c r="AW193" s="242"/>
      <c r="AX193" s="242"/>
      <c r="AY193" s="252"/>
    </row>
    <row r="194" spans="1:51" ht="60" customHeight="1" x14ac:dyDescent="0.35">
      <c r="A194" s="249" t="s">
        <v>6035</v>
      </c>
      <c r="B194" s="237" t="s">
        <v>6036</v>
      </c>
      <c r="C194" s="237" t="s">
        <v>6037</v>
      </c>
      <c r="D194" s="237" t="s">
        <v>6030</v>
      </c>
      <c r="E194" s="237" t="s">
        <v>6031</v>
      </c>
      <c r="F194" s="237" t="s">
        <v>6038</v>
      </c>
      <c r="G194" s="237" t="s">
        <v>21</v>
      </c>
      <c r="H194" s="237" t="s">
        <v>6039</v>
      </c>
      <c r="I194" s="237" t="s">
        <v>21</v>
      </c>
      <c r="J194" s="237" t="s">
        <v>6040</v>
      </c>
      <c r="K194" s="240" t="str">
        <f>IF(COUNTIF(L194:AY194,"&lt;&gt;")=0,"",SUMPRODUCT(((Recommendations[ImplStatus]="Implemented")+(Recommendations[ImplStatus]="Compensated"))*ISNUMBER(MATCH(Recommendations[Id],L194:AY194,0)))/COUNTIF(L194:AY194,"&lt;&gt;"))</f>
        <v/>
      </c>
      <c r="L194" s="243"/>
      <c r="M194" s="243"/>
      <c r="N194" s="243"/>
      <c r="O194" s="243"/>
      <c r="P194" s="243"/>
      <c r="Q194" s="243"/>
      <c r="R194" s="243"/>
      <c r="S194" s="243"/>
      <c r="T194" s="243"/>
      <c r="U194" s="243"/>
      <c r="V194" s="243"/>
      <c r="W194" s="243"/>
      <c r="X194" s="243"/>
      <c r="Y194" s="243"/>
      <c r="Z194" s="243"/>
      <c r="AA194" s="243"/>
      <c r="AB194" s="243"/>
      <c r="AC194" s="243"/>
      <c r="AD194" s="243"/>
      <c r="AE194" s="243"/>
      <c r="AF194" s="243"/>
      <c r="AG194" s="243"/>
      <c r="AH194" s="243"/>
      <c r="AI194" s="243"/>
      <c r="AJ194" s="243"/>
      <c r="AK194" s="243"/>
      <c r="AL194" s="243"/>
      <c r="AM194" s="243"/>
      <c r="AN194" s="243"/>
      <c r="AO194" s="243"/>
      <c r="AP194" s="243"/>
      <c r="AQ194" s="243"/>
      <c r="AR194" s="243"/>
      <c r="AS194" s="243"/>
      <c r="AT194" s="243"/>
      <c r="AU194" s="243"/>
      <c r="AV194" s="243"/>
      <c r="AW194" s="243"/>
      <c r="AX194" s="243"/>
      <c r="AY194" s="253"/>
    </row>
    <row r="195" spans="1:51" ht="60" customHeight="1" x14ac:dyDescent="0.35">
      <c r="A195" s="249" t="s">
        <v>6041</v>
      </c>
      <c r="B195" s="237" t="s">
        <v>6042</v>
      </c>
      <c r="C195" s="237" t="s">
        <v>6043</v>
      </c>
      <c r="D195" s="237" t="s">
        <v>6044</v>
      </c>
      <c r="E195" s="237" t="s">
        <v>21</v>
      </c>
      <c r="F195" s="237" t="s">
        <v>21</v>
      </c>
      <c r="G195" s="237" t="s">
        <v>21</v>
      </c>
      <c r="H195" s="237" t="s">
        <v>6045</v>
      </c>
      <c r="I195" s="237" t="s">
        <v>21</v>
      </c>
      <c r="J195" s="237" t="s">
        <v>6046</v>
      </c>
      <c r="K195" s="240" t="str">
        <f>IF(COUNTIF(L195:AY195,"&lt;&gt;")=0,"",SUMPRODUCT(((Recommendations[ImplStatus]="Implemented")+(Recommendations[ImplStatus]="Compensated"))*ISNUMBER(MATCH(Recommendations[Id],L195:AY195,0)))/COUNTIF(L195:AY195,"&lt;&gt;"))</f>
        <v/>
      </c>
      <c r="L195" s="243"/>
      <c r="M195" s="243"/>
      <c r="N195" s="243"/>
      <c r="O195" s="243"/>
      <c r="P195" s="243"/>
      <c r="Q195" s="243"/>
      <c r="R195" s="243"/>
      <c r="S195" s="243"/>
      <c r="T195" s="243"/>
      <c r="U195" s="243"/>
      <c r="V195" s="243"/>
      <c r="W195" s="243"/>
      <c r="X195" s="243"/>
      <c r="Y195" s="243"/>
      <c r="Z195" s="243"/>
      <c r="AA195" s="243"/>
      <c r="AB195" s="243"/>
      <c r="AC195" s="243"/>
      <c r="AD195" s="243"/>
      <c r="AE195" s="243"/>
      <c r="AF195" s="243"/>
      <c r="AG195" s="243"/>
      <c r="AH195" s="243"/>
      <c r="AI195" s="243"/>
      <c r="AJ195" s="243"/>
      <c r="AK195" s="243"/>
      <c r="AL195" s="243"/>
      <c r="AM195" s="243"/>
      <c r="AN195" s="243"/>
      <c r="AO195" s="243"/>
      <c r="AP195" s="243"/>
      <c r="AQ195" s="243"/>
      <c r="AR195" s="243"/>
      <c r="AS195" s="243"/>
      <c r="AT195" s="243"/>
      <c r="AU195" s="243"/>
      <c r="AV195" s="243"/>
      <c r="AW195" s="243"/>
      <c r="AX195" s="243"/>
      <c r="AY195" s="253"/>
    </row>
    <row r="196" spans="1:51" ht="60" customHeight="1" x14ac:dyDescent="0.35">
      <c r="A196" s="249" t="s">
        <v>6047</v>
      </c>
      <c r="B196" s="237" t="s">
        <v>6048</v>
      </c>
      <c r="C196" s="237" t="s">
        <v>6049</v>
      </c>
      <c r="D196" s="237" t="s">
        <v>21</v>
      </c>
      <c r="E196" s="237" t="s">
        <v>6050</v>
      </c>
      <c r="F196" s="237" t="s">
        <v>21</v>
      </c>
      <c r="G196" s="237" t="s">
        <v>21</v>
      </c>
      <c r="H196" s="237" t="s">
        <v>6051</v>
      </c>
      <c r="I196" s="237" t="s">
        <v>21</v>
      </c>
      <c r="J196" s="237" t="s">
        <v>6052</v>
      </c>
      <c r="K196" s="240" t="str">
        <f>IF(COUNTIF(L196:AY196,"&lt;&gt;")=0,"",SUMPRODUCT(((Recommendations[ImplStatus]="Implemented")+(Recommendations[ImplStatus]="Compensated"))*ISNUMBER(MATCH(Recommendations[Id],L196:AY196,0)))/COUNTIF(L196:AY196,"&lt;&gt;"))</f>
        <v/>
      </c>
      <c r="L196" s="243"/>
      <c r="M196" s="243"/>
      <c r="N196" s="243"/>
      <c r="O196" s="243"/>
      <c r="P196" s="243"/>
      <c r="Q196" s="243"/>
      <c r="R196" s="243"/>
      <c r="S196" s="243"/>
      <c r="T196" s="243"/>
      <c r="U196" s="243"/>
      <c r="V196" s="243"/>
      <c r="W196" s="243"/>
      <c r="X196" s="243"/>
      <c r="Y196" s="243"/>
      <c r="Z196" s="243"/>
      <c r="AA196" s="243"/>
      <c r="AB196" s="243"/>
      <c r="AC196" s="243"/>
      <c r="AD196" s="243"/>
      <c r="AE196" s="243"/>
      <c r="AF196" s="243"/>
      <c r="AG196" s="243"/>
      <c r="AH196" s="243"/>
      <c r="AI196" s="243"/>
      <c r="AJ196" s="243"/>
      <c r="AK196" s="243"/>
      <c r="AL196" s="243"/>
      <c r="AM196" s="243"/>
      <c r="AN196" s="243"/>
      <c r="AO196" s="243"/>
      <c r="AP196" s="243"/>
      <c r="AQ196" s="243"/>
      <c r="AR196" s="243"/>
      <c r="AS196" s="243"/>
      <c r="AT196" s="243"/>
      <c r="AU196" s="243"/>
      <c r="AV196" s="243"/>
      <c r="AW196" s="243"/>
      <c r="AX196" s="243"/>
      <c r="AY196" s="253"/>
    </row>
    <row r="197" spans="1:51" ht="60" customHeight="1" x14ac:dyDescent="0.35">
      <c r="A197" s="249" t="s">
        <v>6053</v>
      </c>
      <c r="B197" s="237" t="s">
        <v>6054</v>
      </c>
      <c r="C197" s="237" t="s">
        <v>6055</v>
      </c>
      <c r="D197" s="237" t="s">
        <v>21</v>
      </c>
      <c r="E197" s="237" t="s">
        <v>21</v>
      </c>
      <c r="F197" s="237" t="s">
        <v>21</v>
      </c>
      <c r="G197" s="237" t="s">
        <v>21</v>
      </c>
      <c r="H197" s="237" t="s">
        <v>6056</v>
      </c>
      <c r="I197" s="237" t="s">
        <v>21</v>
      </c>
      <c r="J197" s="237" t="s">
        <v>6057</v>
      </c>
      <c r="K197" s="240" t="str">
        <f>IF(COUNTIF(L197:AY197,"&lt;&gt;")=0,"",SUMPRODUCT(((Recommendations[ImplStatus]="Implemented")+(Recommendations[ImplStatus]="Compensated"))*ISNUMBER(MATCH(Recommendations[Id],L197:AY197,0)))/COUNTIF(L197:AY197,"&lt;&gt;"))</f>
        <v/>
      </c>
      <c r="L197" s="243"/>
      <c r="M197" s="243"/>
      <c r="N197" s="243"/>
      <c r="O197" s="243"/>
      <c r="P197" s="243"/>
      <c r="Q197" s="243"/>
      <c r="R197" s="243"/>
      <c r="S197" s="243"/>
      <c r="T197" s="243"/>
      <c r="U197" s="243"/>
      <c r="V197" s="243"/>
      <c r="W197" s="243"/>
      <c r="X197" s="243"/>
      <c r="Y197" s="243"/>
      <c r="Z197" s="243"/>
      <c r="AA197" s="243"/>
      <c r="AB197" s="243"/>
      <c r="AC197" s="243"/>
      <c r="AD197" s="243"/>
      <c r="AE197" s="243"/>
      <c r="AF197" s="243"/>
      <c r="AG197" s="243"/>
      <c r="AH197" s="243"/>
      <c r="AI197" s="243"/>
      <c r="AJ197" s="243"/>
      <c r="AK197" s="243"/>
      <c r="AL197" s="243"/>
      <c r="AM197" s="243"/>
      <c r="AN197" s="243"/>
      <c r="AO197" s="243"/>
      <c r="AP197" s="243"/>
      <c r="AQ197" s="243"/>
      <c r="AR197" s="243"/>
      <c r="AS197" s="243"/>
      <c r="AT197" s="243"/>
      <c r="AU197" s="243"/>
      <c r="AV197" s="243"/>
      <c r="AW197" s="243"/>
      <c r="AX197" s="243"/>
      <c r="AY197" s="253"/>
    </row>
    <row r="198" spans="1:51" ht="60" customHeight="1" x14ac:dyDescent="0.35">
      <c r="A198" s="249" t="s">
        <v>6058</v>
      </c>
      <c r="B198" s="237" t="s">
        <v>6059</v>
      </c>
      <c r="C198" s="237" t="s">
        <v>6060</v>
      </c>
      <c r="D198" s="237" t="s">
        <v>6061</v>
      </c>
      <c r="E198" s="237" t="s">
        <v>21</v>
      </c>
      <c r="F198" s="237" t="s">
        <v>21</v>
      </c>
      <c r="G198" s="237" t="s">
        <v>21</v>
      </c>
      <c r="H198" s="237" t="s">
        <v>6062</v>
      </c>
      <c r="I198" s="237" t="s">
        <v>21</v>
      </c>
      <c r="J198" s="237" t="s">
        <v>6063</v>
      </c>
      <c r="K198" s="240" t="str">
        <f>IF(COUNTIF(L198:AY198,"&lt;&gt;")=0,"",SUMPRODUCT(((Recommendations[ImplStatus]="Implemented")+(Recommendations[ImplStatus]="Compensated"))*ISNUMBER(MATCH(Recommendations[Id],L198:AY198,0)))/COUNTIF(L198:AY198,"&lt;&gt;"))</f>
        <v/>
      </c>
      <c r="L198" s="243"/>
      <c r="M198" s="243"/>
      <c r="N198" s="243"/>
      <c r="O198" s="243"/>
      <c r="P198" s="243"/>
      <c r="Q198" s="243"/>
      <c r="R198" s="243"/>
      <c r="S198" s="243"/>
      <c r="T198" s="243"/>
      <c r="U198" s="243"/>
      <c r="V198" s="243"/>
      <c r="W198" s="243"/>
      <c r="X198" s="243"/>
      <c r="Y198" s="243"/>
      <c r="Z198" s="243"/>
      <c r="AA198" s="243"/>
      <c r="AB198" s="243"/>
      <c r="AC198" s="243"/>
      <c r="AD198" s="243"/>
      <c r="AE198" s="243"/>
      <c r="AF198" s="243"/>
      <c r="AG198" s="243"/>
      <c r="AH198" s="243"/>
      <c r="AI198" s="243"/>
      <c r="AJ198" s="243"/>
      <c r="AK198" s="243"/>
      <c r="AL198" s="243"/>
      <c r="AM198" s="243"/>
      <c r="AN198" s="243"/>
      <c r="AO198" s="243"/>
      <c r="AP198" s="243"/>
      <c r="AQ198" s="243"/>
      <c r="AR198" s="243"/>
      <c r="AS198" s="243"/>
      <c r="AT198" s="243"/>
      <c r="AU198" s="243"/>
      <c r="AV198" s="243"/>
      <c r="AW198" s="243"/>
      <c r="AX198" s="243"/>
      <c r="AY198" s="253"/>
    </row>
    <row r="199" spans="1:51" ht="60" customHeight="1" outlineLevel="1" x14ac:dyDescent="0.35">
      <c r="A199" s="248" t="s">
        <v>2588</v>
      </c>
      <c r="B199" s="236" t="s">
        <v>6064</v>
      </c>
      <c r="C199" s="236"/>
      <c r="D199" s="236"/>
      <c r="E199" s="236"/>
      <c r="F199" s="236"/>
      <c r="G199" s="236"/>
      <c r="H199" s="236"/>
      <c r="I199" s="236"/>
      <c r="J199" s="236"/>
      <c r="K199" s="239" t="str">
        <f>IF(COUNTIF(L199:AY199,"&lt;&gt;")=0,"",SUMPRODUCT(((Recommendations[ImplStatus]="Implemented")+(Recommendations[ImplStatus]="Compensated"))*ISNUMBER(MATCH(Recommendations[Id],L199:AY199,0)))/COUNTIF(L199:AY199,"&lt;&gt;"))</f>
        <v/>
      </c>
      <c r="L199" s="242"/>
      <c r="M199" s="242"/>
      <c r="N199" s="242"/>
      <c r="O199" s="242"/>
      <c r="P199" s="242"/>
      <c r="Q199" s="242"/>
      <c r="R199" s="242"/>
      <c r="S199" s="242"/>
      <c r="T199" s="242"/>
      <c r="U199" s="242"/>
      <c r="V199" s="242"/>
      <c r="W199" s="242"/>
      <c r="X199" s="242"/>
      <c r="Y199" s="242"/>
      <c r="Z199" s="242"/>
      <c r="AA199" s="242"/>
      <c r="AB199" s="242"/>
      <c r="AC199" s="242"/>
      <c r="AD199" s="242"/>
      <c r="AE199" s="242"/>
      <c r="AF199" s="242"/>
      <c r="AG199" s="242"/>
      <c r="AH199" s="242"/>
      <c r="AI199" s="242"/>
      <c r="AJ199" s="242"/>
      <c r="AK199" s="242"/>
      <c r="AL199" s="242"/>
      <c r="AM199" s="242"/>
      <c r="AN199" s="242"/>
      <c r="AO199" s="242"/>
      <c r="AP199" s="242"/>
      <c r="AQ199" s="242"/>
      <c r="AR199" s="242"/>
      <c r="AS199" s="242"/>
      <c r="AT199" s="242"/>
      <c r="AU199" s="242"/>
      <c r="AV199" s="242"/>
      <c r="AW199" s="242"/>
      <c r="AX199" s="242"/>
      <c r="AY199" s="252"/>
    </row>
    <row r="200" spans="1:51" ht="60" customHeight="1" x14ac:dyDescent="0.35">
      <c r="A200" s="249" t="s">
        <v>6065</v>
      </c>
      <c r="B200" s="237" t="s">
        <v>6066</v>
      </c>
      <c r="C200" s="237" t="s">
        <v>6067</v>
      </c>
      <c r="D200" s="237" t="s">
        <v>21</v>
      </c>
      <c r="E200" s="237" t="s">
        <v>21</v>
      </c>
      <c r="F200" s="237" t="s">
        <v>21</v>
      </c>
      <c r="G200" s="237" t="s">
        <v>21</v>
      </c>
      <c r="H200" s="237" t="s">
        <v>6068</v>
      </c>
      <c r="I200" s="237" t="s">
        <v>21</v>
      </c>
      <c r="J200" s="237" t="s">
        <v>21</v>
      </c>
      <c r="K200" s="240" t="str">
        <f>IF(COUNTIF(L200:AY200,"&lt;&gt;")=0,"",SUMPRODUCT(((Recommendations[ImplStatus]="Implemented")+(Recommendations[ImplStatus]="Compensated"))*ISNUMBER(MATCH(Recommendations[Id],L200:AY200,0)))/COUNTIF(L200:AY200,"&lt;&gt;"))</f>
        <v/>
      </c>
      <c r="L200" s="243"/>
      <c r="M200" s="243"/>
      <c r="N200" s="243"/>
      <c r="O200" s="243"/>
      <c r="P200" s="243"/>
      <c r="Q200" s="243"/>
      <c r="R200" s="243"/>
      <c r="S200" s="243"/>
      <c r="T200" s="243"/>
      <c r="U200" s="243"/>
      <c r="V200" s="243"/>
      <c r="W200" s="243"/>
      <c r="X200" s="243"/>
      <c r="Y200" s="243"/>
      <c r="Z200" s="243"/>
      <c r="AA200" s="243"/>
      <c r="AB200" s="243"/>
      <c r="AC200" s="243"/>
      <c r="AD200" s="243"/>
      <c r="AE200" s="243"/>
      <c r="AF200" s="243"/>
      <c r="AG200" s="243"/>
      <c r="AH200" s="243"/>
      <c r="AI200" s="243"/>
      <c r="AJ200" s="243"/>
      <c r="AK200" s="243"/>
      <c r="AL200" s="243"/>
      <c r="AM200" s="243"/>
      <c r="AN200" s="243"/>
      <c r="AO200" s="243"/>
      <c r="AP200" s="243"/>
      <c r="AQ200" s="243"/>
      <c r="AR200" s="243"/>
      <c r="AS200" s="243"/>
      <c r="AT200" s="243"/>
      <c r="AU200" s="243"/>
      <c r="AV200" s="243"/>
      <c r="AW200" s="243"/>
      <c r="AX200" s="243"/>
      <c r="AY200" s="253"/>
    </row>
    <row r="201" spans="1:51" ht="60" customHeight="1" x14ac:dyDescent="0.35">
      <c r="A201" s="249" t="s">
        <v>6069</v>
      </c>
      <c r="B201" s="237" t="s">
        <v>6070</v>
      </c>
      <c r="C201" s="237" t="s">
        <v>6071</v>
      </c>
      <c r="D201" s="237" t="s">
        <v>6072</v>
      </c>
      <c r="E201" s="237" t="s">
        <v>21</v>
      </c>
      <c r="F201" s="237" t="s">
        <v>21</v>
      </c>
      <c r="G201" s="237" t="s">
        <v>21</v>
      </c>
      <c r="H201" s="237" t="s">
        <v>6073</v>
      </c>
      <c r="I201" s="237" t="s">
        <v>21</v>
      </c>
      <c r="J201" s="237" t="s">
        <v>6074</v>
      </c>
      <c r="K201" s="240" t="str">
        <f>IF(COUNTIF(L201:AY201,"&lt;&gt;")=0,"",SUMPRODUCT(((Recommendations[ImplStatus]="Implemented")+(Recommendations[ImplStatus]="Compensated"))*ISNUMBER(MATCH(Recommendations[Id],L201:AY201,0)))/COUNTIF(L201:AY201,"&lt;&gt;"))</f>
        <v/>
      </c>
      <c r="L201" s="243"/>
      <c r="M201" s="243"/>
      <c r="N201" s="243"/>
      <c r="O201" s="243"/>
      <c r="P201" s="243"/>
      <c r="Q201" s="243"/>
      <c r="R201" s="243"/>
      <c r="S201" s="243"/>
      <c r="T201" s="243"/>
      <c r="U201" s="243"/>
      <c r="V201" s="243"/>
      <c r="W201" s="243"/>
      <c r="X201" s="243"/>
      <c r="Y201" s="243"/>
      <c r="Z201" s="243"/>
      <c r="AA201" s="243"/>
      <c r="AB201" s="243"/>
      <c r="AC201" s="243"/>
      <c r="AD201" s="243"/>
      <c r="AE201" s="243"/>
      <c r="AF201" s="243"/>
      <c r="AG201" s="243"/>
      <c r="AH201" s="243"/>
      <c r="AI201" s="243"/>
      <c r="AJ201" s="243"/>
      <c r="AK201" s="243"/>
      <c r="AL201" s="243"/>
      <c r="AM201" s="243"/>
      <c r="AN201" s="243"/>
      <c r="AO201" s="243"/>
      <c r="AP201" s="243"/>
      <c r="AQ201" s="243"/>
      <c r="AR201" s="243"/>
      <c r="AS201" s="243"/>
      <c r="AT201" s="243"/>
      <c r="AU201" s="243"/>
      <c r="AV201" s="243"/>
      <c r="AW201" s="243"/>
      <c r="AX201" s="243"/>
      <c r="AY201" s="253"/>
    </row>
    <row r="202" spans="1:51" ht="60" customHeight="1" x14ac:dyDescent="0.35">
      <c r="A202" s="249" t="s">
        <v>6075</v>
      </c>
      <c r="B202" s="237" t="s">
        <v>6076</v>
      </c>
      <c r="C202" s="237" t="s">
        <v>6077</v>
      </c>
      <c r="D202" s="237" t="s">
        <v>21</v>
      </c>
      <c r="E202" s="237" t="s">
        <v>21</v>
      </c>
      <c r="F202" s="237" t="s">
        <v>21</v>
      </c>
      <c r="G202" s="237" t="s">
        <v>21</v>
      </c>
      <c r="H202" s="237" t="s">
        <v>6078</v>
      </c>
      <c r="I202" s="237" t="s">
        <v>21</v>
      </c>
      <c r="J202" s="237" t="s">
        <v>6079</v>
      </c>
      <c r="K202" s="240" t="str">
        <f>IF(COUNTIF(L202:AY202,"&lt;&gt;")=0,"",SUMPRODUCT(((Recommendations[ImplStatus]="Implemented")+(Recommendations[ImplStatus]="Compensated"))*ISNUMBER(MATCH(Recommendations[Id],L202:AY202,0)))/COUNTIF(L202:AY202,"&lt;&gt;"))</f>
        <v/>
      </c>
      <c r="L202" s="243"/>
      <c r="M202" s="243"/>
      <c r="N202" s="243"/>
      <c r="O202" s="243"/>
      <c r="P202" s="243"/>
      <c r="Q202" s="243"/>
      <c r="R202" s="243"/>
      <c r="S202" s="243"/>
      <c r="T202" s="243"/>
      <c r="U202" s="243"/>
      <c r="V202" s="243"/>
      <c r="W202" s="243"/>
      <c r="X202" s="243"/>
      <c r="Y202" s="243"/>
      <c r="Z202" s="243"/>
      <c r="AA202" s="243"/>
      <c r="AB202" s="243"/>
      <c r="AC202" s="243"/>
      <c r="AD202" s="243"/>
      <c r="AE202" s="243"/>
      <c r="AF202" s="243"/>
      <c r="AG202" s="243"/>
      <c r="AH202" s="243"/>
      <c r="AI202" s="243"/>
      <c r="AJ202" s="243"/>
      <c r="AK202" s="243"/>
      <c r="AL202" s="243"/>
      <c r="AM202" s="243"/>
      <c r="AN202" s="243"/>
      <c r="AO202" s="243"/>
      <c r="AP202" s="243"/>
      <c r="AQ202" s="243"/>
      <c r="AR202" s="243"/>
      <c r="AS202" s="243"/>
      <c r="AT202" s="243"/>
      <c r="AU202" s="243"/>
      <c r="AV202" s="243"/>
      <c r="AW202" s="243"/>
      <c r="AX202" s="243"/>
      <c r="AY202" s="253"/>
    </row>
    <row r="203" spans="1:51" ht="60" customHeight="1" x14ac:dyDescent="0.35">
      <c r="A203" s="249" t="s">
        <v>6080</v>
      </c>
      <c r="B203" s="237" t="s">
        <v>6081</v>
      </c>
      <c r="C203" s="237" t="s">
        <v>6082</v>
      </c>
      <c r="D203" s="237" t="s">
        <v>6083</v>
      </c>
      <c r="E203" s="237" t="s">
        <v>21</v>
      </c>
      <c r="F203" s="237" t="s">
        <v>21</v>
      </c>
      <c r="G203" s="237" t="s">
        <v>21</v>
      </c>
      <c r="H203" s="237" t="s">
        <v>6084</v>
      </c>
      <c r="I203" s="237" t="s">
        <v>21</v>
      </c>
      <c r="J203" s="237" t="s">
        <v>6085</v>
      </c>
      <c r="K203" s="240" t="str">
        <f>IF(COUNTIF(L203:AY203,"&lt;&gt;")=0,"",SUMPRODUCT(((Recommendations[ImplStatus]="Implemented")+(Recommendations[ImplStatus]="Compensated"))*ISNUMBER(MATCH(Recommendations[Id],L203:AY203,0)))/COUNTIF(L203:AY203,"&lt;&gt;"))</f>
        <v/>
      </c>
      <c r="L203" s="243"/>
      <c r="M203" s="243"/>
      <c r="N203" s="243"/>
      <c r="O203" s="243"/>
      <c r="P203" s="243"/>
      <c r="Q203" s="243"/>
      <c r="R203" s="243"/>
      <c r="S203" s="243"/>
      <c r="T203" s="243"/>
      <c r="U203" s="243"/>
      <c r="V203" s="243"/>
      <c r="W203" s="243"/>
      <c r="X203" s="243"/>
      <c r="Y203" s="243"/>
      <c r="Z203" s="243"/>
      <c r="AA203" s="243"/>
      <c r="AB203" s="243"/>
      <c r="AC203" s="243"/>
      <c r="AD203" s="243"/>
      <c r="AE203" s="243"/>
      <c r="AF203" s="243"/>
      <c r="AG203" s="243"/>
      <c r="AH203" s="243"/>
      <c r="AI203" s="243"/>
      <c r="AJ203" s="243"/>
      <c r="AK203" s="243"/>
      <c r="AL203" s="243"/>
      <c r="AM203" s="243"/>
      <c r="AN203" s="243"/>
      <c r="AO203" s="243"/>
      <c r="AP203" s="243"/>
      <c r="AQ203" s="243"/>
      <c r="AR203" s="243"/>
      <c r="AS203" s="243"/>
      <c r="AT203" s="243"/>
      <c r="AU203" s="243"/>
      <c r="AV203" s="243"/>
      <c r="AW203" s="243"/>
      <c r="AX203" s="243"/>
      <c r="AY203" s="253"/>
    </row>
    <row r="204" spans="1:51" ht="60" customHeight="1" x14ac:dyDescent="0.35">
      <c r="A204" s="249" t="s">
        <v>6086</v>
      </c>
      <c r="B204" s="237" t="s">
        <v>6087</v>
      </c>
      <c r="C204" s="237" t="s">
        <v>6088</v>
      </c>
      <c r="D204" s="237" t="s">
        <v>21</v>
      </c>
      <c r="E204" s="237" t="s">
        <v>21</v>
      </c>
      <c r="F204" s="237" t="s">
        <v>21</v>
      </c>
      <c r="G204" s="237" t="s">
        <v>21</v>
      </c>
      <c r="H204" s="237" t="s">
        <v>6089</v>
      </c>
      <c r="I204" s="237" t="s">
        <v>21</v>
      </c>
      <c r="J204" s="237" t="s">
        <v>6090</v>
      </c>
      <c r="K204" s="240" t="str">
        <f>IF(COUNTIF(L204:AY204,"&lt;&gt;")=0,"",SUMPRODUCT(((Recommendations[ImplStatus]="Implemented")+(Recommendations[ImplStatus]="Compensated"))*ISNUMBER(MATCH(Recommendations[Id],L204:AY204,0)))/COUNTIF(L204:AY204,"&lt;&gt;"))</f>
        <v/>
      </c>
      <c r="L204" s="243"/>
      <c r="M204" s="243"/>
      <c r="N204" s="243"/>
      <c r="O204" s="243"/>
      <c r="P204" s="243"/>
      <c r="Q204" s="243"/>
      <c r="R204" s="243"/>
      <c r="S204" s="243"/>
      <c r="T204" s="243"/>
      <c r="U204" s="243"/>
      <c r="V204" s="243"/>
      <c r="W204" s="243"/>
      <c r="X204" s="243"/>
      <c r="Y204" s="243"/>
      <c r="Z204" s="243"/>
      <c r="AA204" s="243"/>
      <c r="AB204" s="243"/>
      <c r="AC204" s="243"/>
      <c r="AD204" s="243"/>
      <c r="AE204" s="243"/>
      <c r="AF204" s="243"/>
      <c r="AG204" s="243"/>
      <c r="AH204" s="243"/>
      <c r="AI204" s="243"/>
      <c r="AJ204" s="243"/>
      <c r="AK204" s="243"/>
      <c r="AL204" s="243"/>
      <c r="AM204" s="243"/>
      <c r="AN204" s="243"/>
      <c r="AO204" s="243"/>
      <c r="AP204" s="243"/>
      <c r="AQ204" s="243"/>
      <c r="AR204" s="243"/>
      <c r="AS204" s="243"/>
      <c r="AT204" s="243"/>
      <c r="AU204" s="243"/>
      <c r="AV204" s="243"/>
      <c r="AW204" s="243"/>
      <c r="AX204" s="243"/>
      <c r="AY204" s="253"/>
    </row>
    <row r="205" spans="1:51" ht="60" customHeight="1" x14ac:dyDescent="0.35">
      <c r="A205" s="249" t="s">
        <v>6091</v>
      </c>
      <c r="B205" s="237" t="s">
        <v>6092</v>
      </c>
      <c r="C205" s="237" t="s">
        <v>6093</v>
      </c>
      <c r="D205" s="237" t="s">
        <v>21</v>
      </c>
      <c r="E205" s="237" t="s">
        <v>21</v>
      </c>
      <c r="F205" s="237" t="s">
        <v>21</v>
      </c>
      <c r="G205" s="237" t="s">
        <v>21</v>
      </c>
      <c r="H205" s="237" t="s">
        <v>6094</v>
      </c>
      <c r="I205" s="237" t="s">
        <v>6095</v>
      </c>
      <c r="J205" s="237" t="s">
        <v>6096</v>
      </c>
      <c r="K205" s="240" t="str">
        <f>IF(COUNTIF(L205:AY205,"&lt;&gt;")=0,"",SUMPRODUCT(((Recommendations[ImplStatus]="Implemented")+(Recommendations[ImplStatus]="Compensated"))*ISNUMBER(MATCH(Recommendations[Id],L205:AY205,0)))/COUNTIF(L205:AY205,"&lt;&gt;"))</f>
        <v/>
      </c>
      <c r="L205" s="243"/>
      <c r="M205" s="243"/>
      <c r="N205" s="243"/>
      <c r="O205" s="243"/>
      <c r="P205" s="243"/>
      <c r="Q205" s="243"/>
      <c r="R205" s="243"/>
      <c r="S205" s="243"/>
      <c r="T205" s="243"/>
      <c r="U205" s="243"/>
      <c r="V205" s="243"/>
      <c r="W205" s="243"/>
      <c r="X205" s="243"/>
      <c r="Y205" s="243"/>
      <c r="Z205" s="243"/>
      <c r="AA205" s="243"/>
      <c r="AB205" s="243"/>
      <c r="AC205" s="243"/>
      <c r="AD205" s="243"/>
      <c r="AE205" s="243"/>
      <c r="AF205" s="243"/>
      <c r="AG205" s="243"/>
      <c r="AH205" s="243"/>
      <c r="AI205" s="243"/>
      <c r="AJ205" s="243"/>
      <c r="AK205" s="243"/>
      <c r="AL205" s="243"/>
      <c r="AM205" s="243"/>
      <c r="AN205" s="243"/>
      <c r="AO205" s="243"/>
      <c r="AP205" s="243"/>
      <c r="AQ205" s="243"/>
      <c r="AR205" s="243"/>
      <c r="AS205" s="243"/>
      <c r="AT205" s="243"/>
      <c r="AU205" s="243"/>
      <c r="AV205" s="243"/>
      <c r="AW205" s="243"/>
      <c r="AX205" s="243"/>
      <c r="AY205" s="253"/>
    </row>
    <row r="206" spans="1:51" ht="60" customHeight="1" x14ac:dyDescent="0.35">
      <c r="A206" s="249" t="s">
        <v>6097</v>
      </c>
      <c r="B206" s="237" t="s">
        <v>6098</v>
      </c>
      <c r="C206" s="237" t="s">
        <v>6099</v>
      </c>
      <c r="D206" s="237" t="s">
        <v>21</v>
      </c>
      <c r="E206" s="237" t="s">
        <v>21</v>
      </c>
      <c r="F206" s="237" t="s">
        <v>21</v>
      </c>
      <c r="G206" s="237" t="s">
        <v>21</v>
      </c>
      <c r="H206" s="237" t="s">
        <v>6100</v>
      </c>
      <c r="I206" s="237" t="s">
        <v>21</v>
      </c>
      <c r="J206" s="237" t="s">
        <v>6101</v>
      </c>
      <c r="K206" s="240" t="str">
        <f>IF(COUNTIF(L206:AY206,"&lt;&gt;")=0,"",SUMPRODUCT(((Recommendations[ImplStatus]="Implemented")+(Recommendations[ImplStatus]="Compensated"))*ISNUMBER(MATCH(Recommendations[Id],L206:AY206,0)))/COUNTIF(L206:AY206,"&lt;&gt;"))</f>
        <v/>
      </c>
      <c r="L206" s="243"/>
      <c r="M206" s="243"/>
      <c r="N206" s="243"/>
      <c r="O206" s="243"/>
      <c r="P206" s="243"/>
      <c r="Q206" s="243"/>
      <c r="R206" s="243"/>
      <c r="S206" s="243"/>
      <c r="T206" s="243"/>
      <c r="U206" s="243"/>
      <c r="V206" s="243"/>
      <c r="W206" s="243"/>
      <c r="X206" s="243"/>
      <c r="Y206" s="243"/>
      <c r="Z206" s="243"/>
      <c r="AA206" s="243"/>
      <c r="AB206" s="243"/>
      <c r="AC206" s="243"/>
      <c r="AD206" s="243"/>
      <c r="AE206" s="243"/>
      <c r="AF206" s="243"/>
      <c r="AG206" s="243"/>
      <c r="AH206" s="243"/>
      <c r="AI206" s="243"/>
      <c r="AJ206" s="243"/>
      <c r="AK206" s="243"/>
      <c r="AL206" s="243"/>
      <c r="AM206" s="243"/>
      <c r="AN206" s="243"/>
      <c r="AO206" s="243"/>
      <c r="AP206" s="243"/>
      <c r="AQ206" s="243"/>
      <c r="AR206" s="243"/>
      <c r="AS206" s="243"/>
      <c r="AT206" s="243"/>
      <c r="AU206" s="243"/>
      <c r="AV206" s="243"/>
      <c r="AW206" s="243"/>
      <c r="AX206" s="243"/>
      <c r="AY206" s="253"/>
    </row>
    <row r="207" spans="1:51" ht="60" customHeight="1" x14ac:dyDescent="0.35">
      <c r="A207" s="249" t="s">
        <v>6102</v>
      </c>
      <c r="B207" s="237" t="s">
        <v>6103</v>
      </c>
      <c r="C207" s="237" t="s">
        <v>6099</v>
      </c>
      <c r="D207" s="237" t="s">
        <v>6104</v>
      </c>
      <c r="E207" s="237" t="s">
        <v>21</v>
      </c>
      <c r="F207" s="237" t="s">
        <v>21</v>
      </c>
      <c r="G207" s="237" t="s">
        <v>21</v>
      </c>
      <c r="H207" s="237" t="s">
        <v>6105</v>
      </c>
      <c r="I207" s="237" t="s">
        <v>21</v>
      </c>
      <c r="J207" s="237" t="s">
        <v>6106</v>
      </c>
      <c r="K207" s="240" t="str">
        <f>IF(COUNTIF(L207:AY207,"&lt;&gt;")=0,"",SUMPRODUCT(((Recommendations[ImplStatus]="Implemented")+(Recommendations[ImplStatus]="Compensated"))*ISNUMBER(MATCH(Recommendations[Id],L207:AY207,0)))/COUNTIF(L207:AY207,"&lt;&gt;"))</f>
        <v/>
      </c>
      <c r="L207" s="243"/>
      <c r="M207" s="243"/>
      <c r="N207" s="243"/>
      <c r="O207" s="243"/>
      <c r="P207" s="243"/>
      <c r="Q207" s="243"/>
      <c r="R207" s="243"/>
      <c r="S207" s="243"/>
      <c r="T207" s="243"/>
      <c r="U207" s="243"/>
      <c r="V207" s="243"/>
      <c r="W207" s="243"/>
      <c r="X207" s="243"/>
      <c r="Y207" s="243"/>
      <c r="Z207" s="243"/>
      <c r="AA207" s="243"/>
      <c r="AB207" s="243"/>
      <c r="AC207" s="243"/>
      <c r="AD207" s="243"/>
      <c r="AE207" s="243"/>
      <c r="AF207" s="243"/>
      <c r="AG207" s="243"/>
      <c r="AH207" s="243"/>
      <c r="AI207" s="243"/>
      <c r="AJ207" s="243"/>
      <c r="AK207" s="243"/>
      <c r="AL207" s="243"/>
      <c r="AM207" s="243"/>
      <c r="AN207" s="243"/>
      <c r="AO207" s="243"/>
      <c r="AP207" s="243"/>
      <c r="AQ207" s="243"/>
      <c r="AR207" s="243"/>
      <c r="AS207" s="243"/>
      <c r="AT207" s="243"/>
      <c r="AU207" s="243"/>
      <c r="AV207" s="243"/>
      <c r="AW207" s="243"/>
      <c r="AX207" s="243"/>
      <c r="AY207" s="253"/>
    </row>
    <row r="208" spans="1:51" ht="60" customHeight="1" x14ac:dyDescent="0.35">
      <c r="A208" s="249" t="s">
        <v>6107</v>
      </c>
      <c r="B208" s="237" t="s">
        <v>6108</v>
      </c>
      <c r="C208" s="237" t="s">
        <v>6109</v>
      </c>
      <c r="D208" s="237" t="s">
        <v>6104</v>
      </c>
      <c r="E208" s="237" t="s">
        <v>21</v>
      </c>
      <c r="F208" s="237" t="s">
        <v>6110</v>
      </c>
      <c r="G208" s="237" t="s">
        <v>6111</v>
      </c>
      <c r="H208" s="237" t="s">
        <v>6112</v>
      </c>
      <c r="I208" s="237" t="s">
        <v>6113</v>
      </c>
      <c r="J208" s="237" t="s">
        <v>6114</v>
      </c>
      <c r="K208" s="240" t="str">
        <f>IF(COUNTIF(L208:AY208,"&lt;&gt;")=0,"",SUMPRODUCT(((Recommendations[ImplStatus]="Implemented")+(Recommendations[ImplStatus]="Compensated"))*ISNUMBER(MATCH(Recommendations[Id],L208:AY208,0)))/COUNTIF(L208:AY208,"&lt;&gt;"))</f>
        <v/>
      </c>
      <c r="L208" s="243"/>
      <c r="M208" s="243"/>
      <c r="N208" s="243"/>
      <c r="O208" s="243"/>
      <c r="P208" s="243"/>
      <c r="Q208" s="243"/>
      <c r="R208" s="243"/>
      <c r="S208" s="243"/>
      <c r="T208" s="243"/>
      <c r="U208" s="243"/>
      <c r="V208" s="243"/>
      <c r="W208" s="243"/>
      <c r="X208" s="243"/>
      <c r="Y208" s="243"/>
      <c r="Z208" s="243"/>
      <c r="AA208" s="243"/>
      <c r="AB208" s="243"/>
      <c r="AC208" s="243"/>
      <c r="AD208" s="243"/>
      <c r="AE208" s="243"/>
      <c r="AF208" s="243"/>
      <c r="AG208" s="243"/>
      <c r="AH208" s="243"/>
      <c r="AI208" s="243"/>
      <c r="AJ208" s="243"/>
      <c r="AK208" s="243"/>
      <c r="AL208" s="243"/>
      <c r="AM208" s="243"/>
      <c r="AN208" s="243"/>
      <c r="AO208" s="243"/>
      <c r="AP208" s="243"/>
      <c r="AQ208" s="243"/>
      <c r="AR208" s="243"/>
      <c r="AS208" s="243"/>
      <c r="AT208" s="243"/>
      <c r="AU208" s="243"/>
      <c r="AV208" s="243"/>
      <c r="AW208" s="243"/>
      <c r="AX208" s="243"/>
      <c r="AY208" s="253"/>
    </row>
    <row r="209" spans="1:51" ht="60" customHeight="1" x14ac:dyDescent="0.35">
      <c r="A209" s="249" t="s">
        <v>6115</v>
      </c>
      <c r="B209" s="237" t="s">
        <v>6116</v>
      </c>
      <c r="C209" s="237" t="s">
        <v>6117</v>
      </c>
      <c r="D209" s="237" t="s">
        <v>6118</v>
      </c>
      <c r="E209" s="237" t="s">
        <v>21</v>
      </c>
      <c r="F209" s="237" t="s">
        <v>6110</v>
      </c>
      <c r="G209" s="237" t="s">
        <v>6119</v>
      </c>
      <c r="H209" s="237" t="s">
        <v>6120</v>
      </c>
      <c r="I209" s="237" t="s">
        <v>6113</v>
      </c>
      <c r="J209" s="237" t="s">
        <v>6121</v>
      </c>
      <c r="K209" s="240" t="str">
        <f>IF(COUNTIF(L209:AY209,"&lt;&gt;")=0,"",SUMPRODUCT(((Recommendations[ImplStatus]="Implemented")+(Recommendations[ImplStatus]="Compensated"))*ISNUMBER(MATCH(Recommendations[Id],L209:AY209,0)))/COUNTIF(L209:AY209,"&lt;&gt;"))</f>
        <v/>
      </c>
      <c r="L209" s="243"/>
      <c r="M209" s="243"/>
      <c r="N209" s="243"/>
      <c r="O209" s="243"/>
      <c r="P209" s="243"/>
      <c r="Q209" s="243"/>
      <c r="R209" s="243"/>
      <c r="S209" s="243"/>
      <c r="T209" s="243"/>
      <c r="U209" s="243"/>
      <c r="V209" s="243"/>
      <c r="W209" s="243"/>
      <c r="X209" s="243"/>
      <c r="Y209" s="243"/>
      <c r="Z209" s="243"/>
      <c r="AA209" s="243"/>
      <c r="AB209" s="243"/>
      <c r="AC209" s="243"/>
      <c r="AD209" s="243"/>
      <c r="AE209" s="243"/>
      <c r="AF209" s="243"/>
      <c r="AG209" s="243"/>
      <c r="AH209" s="243"/>
      <c r="AI209" s="243"/>
      <c r="AJ209" s="243"/>
      <c r="AK209" s="243"/>
      <c r="AL209" s="243"/>
      <c r="AM209" s="243"/>
      <c r="AN209" s="243"/>
      <c r="AO209" s="243"/>
      <c r="AP209" s="243"/>
      <c r="AQ209" s="243"/>
      <c r="AR209" s="243"/>
      <c r="AS209" s="243"/>
      <c r="AT209" s="243"/>
      <c r="AU209" s="243"/>
      <c r="AV209" s="243"/>
      <c r="AW209" s="243"/>
      <c r="AX209" s="243"/>
      <c r="AY209" s="253"/>
    </row>
    <row r="210" spans="1:51" ht="60" customHeight="1" outlineLevel="1" x14ac:dyDescent="0.35">
      <c r="A210" s="248" t="s">
        <v>2592</v>
      </c>
      <c r="B210" s="236" t="s">
        <v>6122</v>
      </c>
      <c r="C210" s="236"/>
      <c r="D210" s="236"/>
      <c r="E210" s="236"/>
      <c r="F210" s="236"/>
      <c r="G210" s="236"/>
      <c r="H210" s="236"/>
      <c r="I210" s="236"/>
      <c r="J210" s="236"/>
      <c r="K210" s="239" t="str">
        <f>IF(COUNTIF(L210:AY210,"&lt;&gt;")=0,"",SUMPRODUCT(((Recommendations[ImplStatus]="Implemented")+(Recommendations[ImplStatus]="Compensated"))*ISNUMBER(MATCH(Recommendations[Id],L210:AY210,0)))/COUNTIF(L210:AY210,"&lt;&gt;"))</f>
        <v/>
      </c>
      <c r="L210" s="242"/>
      <c r="M210" s="242"/>
      <c r="N210" s="242"/>
      <c r="O210" s="242"/>
      <c r="P210" s="242"/>
      <c r="Q210" s="242"/>
      <c r="R210" s="242"/>
      <c r="S210" s="242"/>
      <c r="T210" s="242"/>
      <c r="U210" s="242"/>
      <c r="V210" s="242"/>
      <c r="W210" s="242"/>
      <c r="X210" s="242"/>
      <c r="Y210" s="242"/>
      <c r="Z210" s="242"/>
      <c r="AA210" s="242"/>
      <c r="AB210" s="242"/>
      <c r="AC210" s="242"/>
      <c r="AD210" s="242"/>
      <c r="AE210" s="242"/>
      <c r="AF210" s="242"/>
      <c r="AG210" s="242"/>
      <c r="AH210" s="242"/>
      <c r="AI210" s="242"/>
      <c r="AJ210" s="242"/>
      <c r="AK210" s="242"/>
      <c r="AL210" s="242"/>
      <c r="AM210" s="242"/>
      <c r="AN210" s="242"/>
      <c r="AO210" s="242"/>
      <c r="AP210" s="242"/>
      <c r="AQ210" s="242"/>
      <c r="AR210" s="242"/>
      <c r="AS210" s="242"/>
      <c r="AT210" s="242"/>
      <c r="AU210" s="242"/>
      <c r="AV210" s="242"/>
      <c r="AW210" s="242"/>
      <c r="AX210" s="242"/>
      <c r="AY210" s="252"/>
    </row>
    <row r="211" spans="1:51" ht="60" customHeight="1" x14ac:dyDescent="0.35">
      <c r="A211" s="249" t="s">
        <v>6123</v>
      </c>
      <c r="B211" s="237" t="s">
        <v>6124</v>
      </c>
      <c r="C211" s="237" t="s">
        <v>6125</v>
      </c>
      <c r="D211" s="237" t="s">
        <v>6126</v>
      </c>
      <c r="E211" s="237" t="s">
        <v>21</v>
      </c>
      <c r="F211" s="237" t="s">
        <v>21</v>
      </c>
      <c r="G211" s="237" t="s">
        <v>6127</v>
      </c>
      <c r="H211" s="237" t="s">
        <v>6128</v>
      </c>
      <c r="I211" s="237" t="s">
        <v>6129</v>
      </c>
      <c r="J211" s="237" t="s">
        <v>6130</v>
      </c>
      <c r="K211" s="240" t="str">
        <f>IF(COUNTIF(L211:AY211,"&lt;&gt;")=0,"",SUMPRODUCT(((Recommendations[ImplStatus]="Implemented")+(Recommendations[ImplStatus]="Compensated"))*ISNUMBER(MATCH(Recommendations[Id],L211:AY211,0)))/COUNTIF(L211:AY211,"&lt;&gt;"))</f>
        <v/>
      </c>
      <c r="L211" s="243"/>
      <c r="M211" s="243"/>
      <c r="N211" s="243"/>
      <c r="O211" s="243"/>
      <c r="P211" s="243"/>
      <c r="Q211" s="243"/>
      <c r="R211" s="243"/>
      <c r="S211" s="243"/>
      <c r="T211" s="243"/>
      <c r="U211" s="243"/>
      <c r="V211" s="243"/>
      <c r="W211" s="243"/>
      <c r="X211" s="243"/>
      <c r="Y211" s="243"/>
      <c r="Z211" s="243"/>
      <c r="AA211" s="243"/>
      <c r="AB211" s="243"/>
      <c r="AC211" s="243"/>
      <c r="AD211" s="243"/>
      <c r="AE211" s="243"/>
      <c r="AF211" s="243"/>
      <c r="AG211" s="243"/>
      <c r="AH211" s="243"/>
      <c r="AI211" s="243"/>
      <c r="AJ211" s="243"/>
      <c r="AK211" s="243"/>
      <c r="AL211" s="243"/>
      <c r="AM211" s="243"/>
      <c r="AN211" s="243"/>
      <c r="AO211" s="243"/>
      <c r="AP211" s="243"/>
      <c r="AQ211" s="243"/>
      <c r="AR211" s="243"/>
      <c r="AS211" s="243"/>
      <c r="AT211" s="243"/>
      <c r="AU211" s="243"/>
      <c r="AV211" s="243"/>
      <c r="AW211" s="243"/>
      <c r="AX211" s="243"/>
      <c r="AY211" s="253"/>
    </row>
    <row r="212" spans="1:51" ht="60" customHeight="1" x14ac:dyDescent="0.35">
      <c r="A212" s="249" t="s">
        <v>6131</v>
      </c>
      <c r="B212" s="237" t="s">
        <v>6132</v>
      </c>
      <c r="C212" s="237" t="s">
        <v>6133</v>
      </c>
      <c r="D212" s="237" t="s">
        <v>6134</v>
      </c>
      <c r="E212" s="237" t="s">
        <v>21</v>
      </c>
      <c r="F212" s="237" t="s">
        <v>6135</v>
      </c>
      <c r="G212" s="237" t="s">
        <v>21</v>
      </c>
      <c r="H212" s="237" t="s">
        <v>21</v>
      </c>
      <c r="I212" s="237" t="s">
        <v>21</v>
      </c>
      <c r="J212" s="237" t="s">
        <v>6136</v>
      </c>
      <c r="K212" s="240" t="str">
        <f>IF(COUNTIF(L212:AY212,"&lt;&gt;")=0,"",SUMPRODUCT(((Recommendations[ImplStatus]="Implemented")+(Recommendations[ImplStatus]="Compensated"))*ISNUMBER(MATCH(Recommendations[Id],L212:AY212,0)))/COUNTIF(L212:AY212,"&lt;&gt;"))</f>
        <v/>
      </c>
      <c r="L212" s="243"/>
      <c r="M212" s="243"/>
      <c r="N212" s="243"/>
      <c r="O212" s="243"/>
      <c r="P212" s="243"/>
      <c r="Q212" s="243"/>
      <c r="R212" s="243"/>
      <c r="S212" s="243"/>
      <c r="T212" s="243"/>
      <c r="U212" s="243"/>
      <c r="V212" s="243"/>
      <c r="W212" s="243"/>
      <c r="X212" s="243"/>
      <c r="Y212" s="243"/>
      <c r="Z212" s="243"/>
      <c r="AA212" s="243"/>
      <c r="AB212" s="243"/>
      <c r="AC212" s="243"/>
      <c r="AD212" s="243"/>
      <c r="AE212" s="243"/>
      <c r="AF212" s="243"/>
      <c r="AG212" s="243"/>
      <c r="AH212" s="243"/>
      <c r="AI212" s="243"/>
      <c r="AJ212" s="243"/>
      <c r="AK212" s="243"/>
      <c r="AL212" s="243"/>
      <c r="AM212" s="243"/>
      <c r="AN212" s="243"/>
      <c r="AO212" s="243"/>
      <c r="AP212" s="243"/>
      <c r="AQ212" s="243"/>
      <c r="AR212" s="243"/>
      <c r="AS212" s="243"/>
      <c r="AT212" s="243"/>
      <c r="AU212" s="243"/>
      <c r="AV212" s="243"/>
      <c r="AW212" s="243"/>
      <c r="AX212" s="243"/>
      <c r="AY212" s="253"/>
    </row>
    <row r="213" spans="1:51" ht="60" customHeight="1" x14ac:dyDescent="0.35">
      <c r="A213" s="249" t="s">
        <v>6137</v>
      </c>
      <c r="B213" s="237" t="s">
        <v>6138</v>
      </c>
      <c r="C213" s="237" t="s">
        <v>6139</v>
      </c>
      <c r="D213" s="237" t="s">
        <v>6140</v>
      </c>
      <c r="E213" s="237" t="s">
        <v>21</v>
      </c>
      <c r="F213" s="237" t="s">
        <v>6141</v>
      </c>
      <c r="G213" s="237" t="s">
        <v>21</v>
      </c>
      <c r="H213" s="237" t="s">
        <v>6142</v>
      </c>
      <c r="I213" s="237" t="s">
        <v>21</v>
      </c>
      <c r="J213" s="237" t="s">
        <v>6143</v>
      </c>
      <c r="K213" s="240" t="str">
        <f>IF(COUNTIF(L213:AY213,"&lt;&gt;")=0,"",SUMPRODUCT(((Recommendations[ImplStatus]="Implemented")+(Recommendations[ImplStatus]="Compensated"))*ISNUMBER(MATCH(Recommendations[Id],L213:AY213,0)))/COUNTIF(L213:AY213,"&lt;&gt;"))</f>
        <v/>
      </c>
      <c r="L213" s="243"/>
      <c r="M213" s="243"/>
      <c r="N213" s="243"/>
      <c r="O213" s="243"/>
      <c r="P213" s="243"/>
      <c r="Q213" s="243"/>
      <c r="R213" s="243"/>
      <c r="S213" s="243"/>
      <c r="T213" s="243"/>
      <c r="U213" s="243"/>
      <c r="V213" s="243"/>
      <c r="W213" s="243"/>
      <c r="X213" s="243"/>
      <c r="Y213" s="243"/>
      <c r="Z213" s="243"/>
      <c r="AA213" s="243"/>
      <c r="AB213" s="243"/>
      <c r="AC213" s="243"/>
      <c r="AD213" s="243"/>
      <c r="AE213" s="243"/>
      <c r="AF213" s="243"/>
      <c r="AG213" s="243"/>
      <c r="AH213" s="243"/>
      <c r="AI213" s="243"/>
      <c r="AJ213" s="243"/>
      <c r="AK213" s="243"/>
      <c r="AL213" s="243"/>
      <c r="AM213" s="243"/>
      <c r="AN213" s="243"/>
      <c r="AO213" s="243"/>
      <c r="AP213" s="243"/>
      <c r="AQ213" s="243"/>
      <c r="AR213" s="243"/>
      <c r="AS213" s="243"/>
      <c r="AT213" s="243"/>
      <c r="AU213" s="243"/>
      <c r="AV213" s="243"/>
      <c r="AW213" s="243"/>
      <c r="AX213" s="243"/>
      <c r="AY213" s="253"/>
    </row>
    <row r="214" spans="1:51" ht="60" customHeight="1" x14ac:dyDescent="0.35">
      <c r="A214" s="249" t="s">
        <v>6144</v>
      </c>
      <c r="B214" s="237" t="s">
        <v>6145</v>
      </c>
      <c r="C214" s="237" t="s">
        <v>6146</v>
      </c>
      <c r="D214" s="237" t="s">
        <v>6147</v>
      </c>
      <c r="E214" s="237" t="s">
        <v>21</v>
      </c>
      <c r="F214" s="237" t="s">
        <v>21</v>
      </c>
      <c r="G214" s="237" t="s">
        <v>21</v>
      </c>
      <c r="H214" s="237" t="s">
        <v>6148</v>
      </c>
      <c r="I214" s="237" t="s">
        <v>5483</v>
      </c>
      <c r="J214" s="237" t="s">
        <v>6149</v>
      </c>
      <c r="K214" s="240" t="str">
        <f>IF(COUNTIF(L214:AY214,"&lt;&gt;")=0,"",SUMPRODUCT(((Recommendations[ImplStatus]="Implemented")+(Recommendations[ImplStatus]="Compensated"))*ISNUMBER(MATCH(Recommendations[Id],L214:AY214,0)))/COUNTIF(L214:AY214,"&lt;&gt;"))</f>
        <v/>
      </c>
      <c r="L214" s="243"/>
      <c r="M214" s="243"/>
      <c r="N214" s="243"/>
      <c r="O214" s="243"/>
      <c r="P214" s="243"/>
      <c r="Q214" s="243"/>
      <c r="R214" s="243"/>
      <c r="S214" s="243"/>
      <c r="T214" s="243"/>
      <c r="U214" s="243"/>
      <c r="V214" s="243"/>
      <c r="W214" s="243"/>
      <c r="X214" s="243"/>
      <c r="Y214" s="243"/>
      <c r="Z214" s="243"/>
      <c r="AA214" s="243"/>
      <c r="AB214" s="243"/>
      <c r="AC214" s="243"/>
      <c r="AD214" s="243"/>
      <c r="AE214" s="243"/>
      <c r="AF214" s="243"/>
      <c r="AG214" s="243"/>
      <c r="AH214" s="243"/>
      <c r="AI214" s="243"/>
      <c r="AJ214" s="243"/>
      <c r="AK214" s="243"/>
      <c r="AL214" s="243"/>
      <c r="AM214" s="243"/>
      <c r="AN214" s="243"/>
      <c r="AO214" s="243"/>
      <c r="AP214" s="243"/>
      <c r="AQ214" s="243"/>
      <c r="AR214" s="243"/>
      <c r="AS214" s="243"/>
      <c r="AT214" s="243"/>
      <c r="AU214" s="243"/>
      <c r="AV214" s="243"/>
      <c r="AW214" s="243"/>
      <c r="AX214" s="243"/>
      <c r="AY214" s="253"/>
    </row>
    <row r="215" spans="1:51" ht="60" customHeight="1" x14ac:dyDescent="0.35">
      <c r="A215" s="249" t="s">
        <v>6150</v>
      </c>
      <c r="B215" s="237" t="s">
        <v>6151</v>
      </c>
      <c r="C215" s="237" t="s">
        <v>6152</v>
      </c>
      <c r="D215" s="237" t="s">
        <v>6153</v>
      </c>
      <c r="E215" s="237" t="s">
        <v>21</v>
      </c>
      <c r="F215" s="237" t="s">
        <v>21</v>
      </c>
      <c r="G215" s="237" t="s">
        <v>21</v>
      </c>
      <c r="H215" s="237" t="s">
        <v>6154</v>
      </c>
      <c r="I215" s="237" t="s">
        <v>21</v>
      </c>
      <c r="J215" s="237" t="s">
        <v>6155</v>
      </c>
      <c r="K215" s="240" t="str">
        <f>IF(COUNTIF(L215:AY215,"&lt;&gt;")=0,"",SUMPRODUCT(((Recommendations[ImplStatus]="Implemented")+(Recommendations[ImplStatus]="Compensated"))*ISNUMBER(MATCH(Recommendations[Id],L215:AY215,0)))/COUNTIF(L215:AY215,"&lt;&gt;"))</f>
        <v/>
      </c>
      <c r="L215" s="243"/>
      <c r="M215" s="243"/>
      <c r="N215" s="243"/>
      <c r="O215" s="243"/>
      <c r="P215" s="243"/>
      <c r="Q215" s="243"/>
      <c r="R215" s="243"/>
      <c r="S215" s="243"/>
      <c r="T215" s="243"/>
      <c r="U215" s="243"/>
      <c r="V215" s="243"/>
      <c r="W215" s="243"/>
      <c r="X215" s="243"/>
      <c r="Y215" s="243"/>
      <c r="Z215" s="243"/>
      <c r="AA215" s="243"/>
      <c r="AB215" s="243"/>
      <c r="AC215" s="243"/>
      <c r="AD215" s="243"/>
      <c r="AE215" s="243"/>
      <c r="AF215" s="243"/>
      <c r="AG215" s="243"/>
      <c r="AH215" s="243"/>
      <c r="AI215" s="243"/>
      <c r="AJ215" s="243"/>
      <c r="AK215" s="243"/>
      <c r="AL215" s="243"/>
      <c r="AM215" s="243"/>
      <c r="AN215" s="243"/>
      <c r="AO215" s="243"/>
      <c r="AP215" s="243"/>
      <c r="AQ215" s="243"/>
      <c r="AR215" s="243"/>
      <c r="AS215" s="243"/>
      <c r="AT215" s="243"/>
      <c r="AU215" s="243"/>
      <c r="AV215" s="243"/>
      <c r="AW215" s="243"/>
      <c r="AX215" s="243"/>
      <c r="AY215" s="253"/>
    </row>
    <row r="216" spans="1:51" ht="60" customHeight="1" outlineLevel="1" x14ac:dyDescent="0.35">
      <c r="A216" s="247" t="s">
        <v>6156</v>
      </c>
      <c r="B216" s="235" t="s">
        <v>6157</v>
      </c>
      <c r="C216" s="235"/>
      <c r="D216" s="235"/>
      <c r="E216" s="235"/>
      <c r="F216" s="235"/>
      <c r="G216" s="235"/>
      <c r="H216" s="235"/>
      <c r="I216" s="235"/>
      <c r="J216" s="235"/>
      <c r="K216" s="238" t="str">
        <f>IF(COUNTIF(L216:AY216,"&lt;&gt;")=0,"",SUMPRODUCT(((Recommendations[ImplStatus]="Implemented")+(Recommendations[ImplStatus]="Compensated"))*ISNUMBER(MATCH(Recommendations[Id],L216:AY216,0)))/COUNTIF(L216:AY216,"&lt;&gt;"))</f>
        <v/>
      </c>
      <c r="L216" s="241"/>
      <c r="M216" s="241"/>
      <c r="N216" s="241"/>
      <c r="O216" s="241"/>
      <c r="P216" s="241"/>
      <c r="Q216" s="241"/>
      <c r="R216" s="241"/>
      <c r="S216" s="241"/>
      <c r="T216" s="241"/>
      <c r="U216" s="241"/>
      <c r="V216" s="241"/>
      <c r="W216" s="241"/>
      <c r="X216" s="241"/>
      <c r="Y216" s="241"/>
      <c r="Z216" s="241"/>
      <c r="AA216" s="241"/>
      <c r="AB216" s="241"/>
      <c r="AC216" s="241"/>
      <c r="AD216" s="241"/>
      <c r="AE216" s="241"/>
      <c r="AF216" s="241"/>
      <c r="AG216" s="241"/>
      <c r="AH216" s="241"/>
      <c r="AI216" s="241"/>
      <c r="AJ216" s="241"/>
      <c r="AK216" s="241"/>
      <c r="AL216" s="241"/>
      <c r="AM216" s="241"/>
      <c r="AN216" s="241"/>
      <c r="AO216" s="241"/>
      <c r="AP216" s="241"/>
      <c r="AQ216" s="241"/>
      <c r="AR216" s="241"/>
      <c r="AS216" s="241"/>
      <c r="AT216" s="241"/>
      <c r="AU216" s="241"/>
      <c r="AV216" s="241"/>
      <c r="AW216" s="241"/>
      <c r="AX216" s="241"/>
      <c r="AY216" s="251"/>
    </row>
    <row r="217" spans="1:51" ht="60" customHeight="1" outlineLevel="1" x14ac:dyDescent="0.35">
      <c r="A217" s="248" t="s">
        <v>2606</v>
      </c>
      <c r="B217" s="236" t="s">
        <v>6158</v>
      </c>
      <c r="C217" s="236"/>
      <c r="D217" s="236"/>
      <c r="E217" s="236"/>
      <c r="F217" s="236"/>
      <c r="G217" s="236"/>
      <c r="H217" s="236"/>
      <c r="I217" s="236"/>
      <c r="J217" s="236"/>
      <c r="K217" s="239" t="str">
        <f>IF(COUNTIF(L217:AY217,"&lt;&gt;")=0,"",SUMPRODUCT(((Recommendations[ImplStatus]="Implemented")+(Recommendations[ImplStatus]="Compensated"))*ISNUMBER(MATCH(Recommendations[Id],L217:AY217,0)))/COUNTIF(L217:AY217,"&lt;&gt;"))</f>
        <v/>
      </c>
      <c r="L217" s="242"/>
      <c r="M217" s="242"/>
      <c r="N217" s="242"/>
      <c r="O217" s="242"/>
      <c r="P217" s="242"/>
      <c r="Q217" s="242"/>
      <c r="R217" s="242"/>
      <c r="S217" s="242"/>
      <c r="T217" s="242"/>
      <c r="U217" s="242"/>
      <c r="V217" s="242"/>
      <c r="W217" s="242"/>
      <c r="X217" s="242"/>
      <c r="Y217" s="242"/>
      <c r="Z217" s="242"/>
      <c r="AA217" s="242"/>
      <c r="AB217" s="242"/>
      <c r="AC217" s="242"/>
      <c r="AD217" s="242"/>
      <c r="AE217" s="242"/>
      <c r="AF217" s="242"/>
      <c r="AG217" s="242"/>
      <c r="AH217" s="242"/>
      <c r="AI217" s="242"/>
      <c r="AJ217" s="242"/>
      <c r="AK217" s="242"/>
      <c r="AL217" s="242"/>
      <c r="AM217" s="242"/>
      <c r="AN217" s="242"/>
      <c r="AO217" s="242"/>
      <c r="AP217" s="242"/>
      <c r="AQ217" s="242"/>
      <c r="AR217" s="242"/>
      <c r="AS217" s="242"/>
      <c r="AT217" s="242"/>
      <c r="AU217" s="242"/>
      <c r="AV217" s="242"/>
      <c r="AW217" s="242"/>
      <c r="AX217" s="242"/>
      <c r="AY217" s="252"/>
    </row>
    <row r="218" spans="1:51" ht="60" customHeight="1" x14ac:dyDescent="0.35">
      <c r="A218" s="249" t="s">
        <v>6159</v>
      </c>
      <c r="B218" s="237" t="s">
        <v>6160</v>
      </c>
      <c r="C218" s="237" t="s">
        <v>6161</v>
      </c>
      <c r="D218" s="237" t="s">
        <v>5255</v>
      </c>
      <c r="E218" s="237" t="s">
        <v>5041</v>
      </c>
      <c r="F218" s="237" t="s">
        <v>21</v>
      </c>
      <c r="G218" s="237" t="s">
        <v>21</v>
      </c>
      <c r="H218" s="237" t="s">
        <v>6162</v>
      </c>
      <c r="I218" s="237" t="s">
        <v>21</v>
      </c>
      <c r="J218" s="237" t="s">
        <v>6163</v>
      </c>
      <c r="K218" s="240" t="str">
        <f>IF(COUNTIF(L218:AY218,"&lt;&gt;")=0,"",SUMPRODUCT(((Recommendations[ImplStatus]="Implemented")+(Recommendations[ImplStatus]="Compensated"))*ISNUMBER(MATCH(Recommendations[Id],L218:AY218,0)))/COUNTIF(L218:AY218,"&lt;&gt;"))</f>
        <v/>
      </c>
      <c r="L218" s="243"/>
      <c r="M218" s="243"/>
      <c r="N218" s="243"/>
      <c r="O218" s="243"/>
      <c r="P218" s="243"/>
      <c r="Q218" s="243"/>
      <c r="R218" s="243"/>
      <c r="S218" s="243"/>
      <c r="T218" s="243"/>
      <c r="U218" s="243"/>
      <c r="V218" s="243"/>
      <c r="W218" s="243"/>
      <c r="X218" s="243"/>
      <c r="Y218" s="243"/>
      <c r="Z218" s="243"/>
      <c r="AA218" s="243"/>
      <c r="AB218" s="243"/>
      <c r="AC218" s="243"/>
      <c r="AD218" s="243"/>
      <c r="AE218" s="243"/>
      <c r="AF218" s="243"/>
      <c r="AG218" s="243"/>
      <c r="AH218" s="243"/>
      <c r="AI218" s="243"/>
      <c r="AJ218" s="243"/>
      <c r="AK218" s="243"/>
      <c r="AL218" s="243"/>
      <c r="AM218" s="243"/>
      <c r="AN218" s="243"/>
      <c r="AO218" s="243"/>
      <c r="AP218" s="243"/>
      <c r="AQ218" s="243"/>
      <c r="AR218" s="243"/>
      <c r="AS218" s="243"/>
      <c r="AT218" s="243"/>
      <c r="AU218" s="243"/>
      <c r="AV218" s="243"/>
      <c r="AW218" s="243"/>
      <c r="AX218" s="243"/>
      <c r="AY218" s="253"/>
    </row>
    <row r="219" spans="1:51" ht="60" customHeight="1" x14ac:dyDescent="0.35">
      <c r="A219" s="249" t="s">
        <v>6164</v>
      </c>
      <c r="B219" s="237" t="s">
        <v>6165</v>
      </c>
      <c r="C219" s="237" t="s">
        <v>5046</v>
      </c>
      <c r="D219" s="237" t="s">
        <v>5047</v>
      </c>
      <c r="E219" s="237" t="s">
        <v>21</v>
      </c>
      <c r="F219" s="237" t="s">
        <v>5049</v>
      </c>
      <c r="G219" s="237" t="s">
        <v>21</v>
      </c>
      <c r="H219" s="237" t="s">
        <v>6166</v>
      </c>
      <c r="I219" s="237" t="s">
        <v>21</v>
      </c>
      <c r="J219" s="237" t="s">
        <v>6167</v>
      </c>
      <c r="K219" s="240" t="str">
        <f>IF(COUNTIF(L219:AY219,"&lt;&gt;")=0,"",SUMPRODUCT(((Recommendations[ImplStatus]="Implemented")+(Recommendations[ImplStatus]="Compensated"))*ISNUMBER(MATCH(Recommendations[Id],L219:AY219,0)))/COUNTIF(L219:AY219,"&lt;&gt;"))</f>
        <v/>
      </c>
      <c r="L219" s="243"/>
      <c r="M219" s="243"/>
      <c r="N219" s="243"/>
      <c r="O219" s="243"/>
      <c r="P219" s="243"/>
      <c r="Q219" s="243"/>
      <c r="R219" s="243"/>
      <c r="S219" s="243"/>
      <c r="T219" s="243"/>
      <c r="U219" s="243"/>
      <c r="V219" s="243"/>
      <c r="W219" s="243"/>
      <c r="X219" s="243"/>
      <c r="Y219" s="243"/>
      <c r="Z219" s="243"/>
      <c r="AA219" s="243"/>
      <c r="AB219" s="243"/>
      <c r="AC219" s="243"/>
      <c r="AD219" s="243"/>
      <c r="AE219" s="243"/>
      <c r="AF219" s="243"/>
      <c r="AG219" s="243"/>
      <c r="AH219" s="243"/>
      <c r="AI219" s="243"/>
      <c r="AJ219" s="243"/>
      <c r="AK219" s="243"/>
      <c r="AL219" s="243"/>
      <c r="AM219" s="243"/>
      <c r="AN219" s="243"/>
      <c r="AO219" s="243"/>
      <c r="AP219" s="243"/>
      <c r="AQ219" s="243"/>
      <c r="AR219" s="243"/>
      <c r="AS219" s="243"/>
      <c r="AT219" s="243"/>
      <c r="AU219" s="243"/>
      <c r="AV219" s="243"/>
      <c r="AW219" s="243"/>
      <c r="AX219" s="243"/>
      <c r="AY219" s="253"/>
    </row>
    <row r="220" spans="1:51" ht="60" customHeight="1" outlineLevel="1" x14ac:dyDescent="0.35">
      <c r="A220" s="248" t="s">
        <v>2610</v>
      </c>
      <c r="B220" s="236" t="s">
        <v>6168</v>
      </c>
      <c r="C220" s="236"/>
      <c r="D220" s="236"/>
      <c r="E220" s="236"/>
      <c r="F220" s="236"/>
      <c r="G220" s="236"/>
      <c r="H220" s="236"/>
      <c r="I220" s="236"/>
      <c r="J220" s="236"/>
      <c r="K220" s="239" t="str">
        <f>IF(COUNTIF(L220:AY220,"&lt;&gt;")=0,"",SUMPRODUCT(((Recommendations[ImplStatus]="Implemented")+(Recommendations[ImplStatus]="Compensated"))*ISNUMBER(MATCH(Recommendations[Id],L220:AY220,0)))/COUNTIF(L220:AY220,"&lt;&gt;"))</f>
        <v/>
      </c>
      <c r="L220" s="242"/>
      <c r="M220" s="242"/>
      <c r="N220" s="242"/>
      <c r="O220" s="242"/>
      <c r="P220" s="242"/>
      <c r="Q220" s="242"/>
      <c r="R220" s="242"/>
      <c r="S220" s="242"/>
      <c r="T220" s="242"/>
      <c r="U220" s="242"/>
      <c r="V220" s="242"/>
      <c r="W220" s="242"/>
      <c r="X220" s="242"/>
      <c r="Y220" s="242"/>
      <c r="Z220" s="242"/>
      <c r="AA220" s="242"/>
      <c r="AB220" s="242"/>
      <c r="AC220" s="242"/>
      <c r="AD220" s="242"/>
      <c r="AE220" s="242"/>
      <c r="AF220" s="242"/>
      <c r="AG220" s="242"/>
      <c r="AH220" s="242"/>
      <c r="AI220" s="242"/>
      <c r="AJ220" s="242"/>
      <c r="AK220" s="242"/>
      <c r="AL220" s="242"/>
      <c r="AM220" s="242"/>
      <c r="AN220" s="242"/>
      <c r="AO220" s="242"/>
      <c r="AP220" s="242"/>
      <c r="AQ220" s="242"/>
      <c r="AR220" s="242"/>
      <c r="AS220" s="242"/>
      <c r="AT220" s="242"/>
      <c r="AU220" s="242"/>
      <c r="AV220" s="242"/>
      <c r="AW220" s="242"/>
      <c r="AX220" s="242"/>
      <c r="AY220" s="252"/>
    </row>
    <row r="221" spans="1:51" ht="60" customHeight="1" x14ac:dyDescent="0.35">
      <c r="A221" s="249" t="s">
        <v>6169</v>
      </c>
      <c r="B221" s="237" t="s">
        <v>6170</v>
      </c>
      <c r="C221" s="237" t="s">
        <v>6171</v>
      </c>
      <c r="D221" s="237" t="s">
        <v>6172</v>
      </c>
      <c r="E221" s="237" t="s">
        <v>21</v>
      </c>
      <c r="F221" s="237" t="s">
        <v>21</v>
      </c>
      <c r="G221" s="237" t="s">
        <v>21</v>
      </c>
      <c r="H221" s="237" t="s">
        <v>6173</v>
      </c>
      <c r="I221" s="237" t="s">
        <v>21</v>
      </c>
      <c r="J221" s="237" t="s">
        <v>6174</v>
      </c>
      <c r="K221" s="240">
        <f>IF(COUNTIF(L221:AY221,"&lt;&gt;")=0,"",SUMPRODUCT(((Recommendations[ImplStatus]="Implemented")+(Recommendations[ImplStatus]="Compensated"))*ISNUMBER(MATCH(Recommendations[Id],L221:AY221,0)))/COUNTIF(L221:AY221,"&lt;&gt;"))</f>
        <v>0</v>
      </c>
      <c r="L221" s="243" t="s">
        <v>51</v>
      </c>
      <c r="M221" s="243" t="s">
        <v>66</v>
      </c>
      <c r="N221" s="243" t="s">
        <v>69</v>
      </c>
      <c r="O221" s="243" t="s">
        <v>72</v>
      </c>
      <c r="P221" s="243" t="s">
        <v>79</v>
      </c>
      <c r="Q221" s="243" t="s">
        <v>82</v>
      </c>
      <c r="R221" s="243" t="s">
        <v>85</v>
      </c>
      <c r="S221" s="243" t="s">
        <v>88</v>
      </c>
      <c r="T221" s="243" t="s">
        <v>91</v>
      </c>
      <c r="U221" s="243" t="s">
        <v>94</v>
      </c>
      <c r="V221" s="243" t="s">
        <v>110</v>
      </c>
      <c r="W221" s="243" t="s">
        <v>142</v>
      </c>
      <c r="X221" s="243" t="s">
        <v>152</v>
      </c>
      <c r="Y221" s="243" t="s">
        <v>228</v>
      </c>
      <c r="Z221" s="243" t="s">
        <v>238</v>
      </c>
      <c r="AA221" s="243" t="s">
        <v>265</v>
      </c>
      <c r="AB221" s="243" t="s">
        <v>268</v>
      </c>
      <c r="AC221" s="243" t="s">
        <v>273</v>
      </c>
      <c r="AD221" s="243" t="s">
        <v>284</v>
      </c>
      <c r="AE221" s="243" t="s">
        <v>287</v>
      </c>
      <c r="AF221" s="243" t="s">
        <v>290</v>
      </c>
      <c r="AG221" s="243" t="s">
        <v>293</v>
      </c>
      <c r="AH221" s="243" t="s">
        <v>296</v>
      </c>
      <c r="AI221" s="243" t="s">
        <v>328</v>
      </c>
      <c r="AJ221" s="243" t="s">
        <v>333</v>
      </c>
      <c r="AK221" s="243" t="s">
        <v>480</v>
      </c>
      <c r="AL221" s="243" t="s">
        <v>485</v>
      </c>
      <c r="AM221" s="243" t="s">
        <v>489</v>
      </c>
      <c r="AN221" s="243" t="s">
        <v>493</v>
      </c>
      <c r="AO221" s="243" t="s">
        <v>497</v>
      </c>
      <c r="AP221" s="243" t="s">
        <v>501</v>
      </c>
      <c r="AQ221" s="243" t="s">
        <v>505</v>
      </c>
      <c r="AR221" s="243" t="s">
        <v>509</v>
      </c>
      <c r="AS221" s="243" t="s">
        <v>513</v>
      </c>
      <c r="AT221" s="243" t="s">
        <v>517</v>
      </c>
      <c r="AU221" s="243" t="s">
        <v>521</v>
      </c>
      <c r="AV221" s="243" t="s">
        <v>525</v>
      </c>
      <c r="AW221" s="243" t="s">
        <v>529</v>
      </c>
      <c r="AX221" s="243" t="s">
        <v>533</v>
      </c>
      <c r="AY221" s="253" t="s">
        <v>932</v>
      </c>
    </row>
    <row r="222" spans="1:51" ht="60" customHeight="1" x14ac:dyDescent="0.35">
      <c r="A222" s="249" t="s">
        <v>6175</v>
      </c>
      <c r="B222" s="237" t="s">
        <v>6176</v>
      </c>
      <c r="C222" s="237" t="s">
        <v>6177</v>
      </c>
      <c r="D222" s="237" t="s">
        <v>6178</v>
      </c>
      <c r="E222" s="237" t="s">
        <v>21</v>
      </c>
      <c r="F222" s="237" t="s">
        <v>21</v>
      </c>
      <c r="G222" s="237" t="s">
        <v>21</v>
      </c>
      <c r="H222" s="237" t="s">
        <v>6179</v>
      </c>
      <c r="I222" s="237" t="s">
        <v>21</v>
      </c>
      <c r="J222" s="237" t="s">
        <v>6180</v>
      </c>
      <c r="K222" s="240" t="str">
        <f>IF(COUNTIF(L222:AY222,"&lt;&gt;")=0,"",SUMPRODUCT(((Recommendations[ImplStatus]="Implemented")+(Recommendations[ImplStatus]="Compensated"))*ISNUMBER(MATCH(Recommendations[Id],L222:AY222,0)))/COUNTIF(L222:AY222,"&lt;&gt;"))</f>
        <v/>
      </c>
      <c r="L222" s="243"/>
      <c r="M222" s="243"/>
      <c r="N222" s="243"/>
      <c r="O222" s="243"/>
      <c r="P222" s="243"/>
      <c r="Q222" s="243"/>
      <c r="R222" s="243"/>
      <c r="S222" s="243"/>
      <c r="T222" s="243"/>
      <c r="U222" s="243"/>
      <c r="V222" s="243"/>
      <c r="W222" s="243"/>
      <c r="X222" s="243"/>
      <c r="Y222" s="243"/>
      <c r="Z222" s="243"/>
      <c r="AA222" s="243"/>
      <c r="AB222" s="243"/>
      <c r="AC222" s="243"/>
      <c r="AD222" s="243"/>
      <c r="AE222" s="243"/>
      <c r="AF222" s="243"/>
      <c r="AG222" s="243"/>
      <c r="AH222" s="243"/>
      <c r="AI222" s="243"/>
      <c r="AJ222" s="243"/>
      <c r="AK222" s="243"/>
      <c r="AL222" s="243"/>
      <c r="AM222" s="243"/>
      <c r="AN222" s="243"/>
      <c r="AO222" s="243"/>
      <c r="AP222" s="243"/>
      <c r="AQ222" s="243"/>
      <c r="AR222" s="243"/>
      <c r="AS222" s="243"/>
      <c r="AT222" s="243"/>
      <c r="AU222" s="243"/>
      <c r="AV222" s="243"/>
      <c r="AW222" s="243"/>
      <c r="AX222" s="243"/>
      <c r="AY222" s="253"/>
    </row>
    <row r="223" spans="1:51" ht="60" customHeight="1" x14ac:dyDescent="0.35">
      <c r="A223" s="249" t="s">
        <v>6181</v>
      </c>
      <c r="B223" s="237" t="s">
        <v>6182</v>
      </c>
      <c r="C223" s="237" t="s">
        <v>6183</v>
      </c>
      <c r="D223" s="237" t="s">
        <v>21</v>
      </c>
      <c r="E223" s="237" t="s">
        <v>6184</v>
      </c>
      <c r="F223" s="237" t="s">
        <v>21</v>
      </c>
      <c r="G223" s="237" t="s">
        <v>21</v>
      </c>
      <c r="H223" s="237" t="s">
        <v>6185</v>
      </c>
      <c r="I223" s="237" t="s">
        <v>21</v>
      </c>
      <c r="J223" s="237" t="s">
        <v>6186</v>
      </c>
      <c r="K223" s="240" t="str">
        <f>IF(COUNTIF(L223:AY223,"&lt;&gt;")=0,"",SUMPRODUCT(((Recommendations[ImplStatus]="Implemented")+(Recommendations[ImplStatus]="Compensated"))*ISNUMBER(MATCH(Recommendations[Id],L223:AY223,0)))/COUNTIF(L223:AY223,"&lt;&gt;"))</f>
        <v/>
      </c>
      <c r="L223" s="243"/>
      <c r="M223" s="243"/>
      <c r="N223" s="243"/>
      <c r="O223" s="243"/>
      <c r="P223" s="243"/>
      <c r="Q223" s="243"/>
      <c r="R223" s="243"/>
      <c r="S223" s="243"/>
      <c r="T223" s="243"/>
      <c r="U223" s="243"/>
      <c r="V223" s="243"/>
      <c r="W223" s="243"/>
      <c r="X223" s="243"/>
      <c r="Y223" s="243"/>
      <c r="Z223" s="243"/>
      <c r="AA223" s="243"/>
      <c r="AB223" s="243"/>
      <c r="AC223" s="243"/>
      <c r="AD223" s="243"/>
      <c r="AE223" s="243"/>
      <c r="AF223" s="243"/>
      <c r="AG223" s="243"/>
      <c r="AH223" s="243"/>
      <c r="AI223" s="243"/>
      <c r="AJ223" s="243"/>
      <c r="AK223" s="243"/>
      <c r="AL223" s="243"/>
      <c r="AM223" s="243"/>
      <c r="AN223" s="243"/>
      <c r="AO223" s="243"/>
      <c r="AP223" s="243"/>
      <c r="AQ223" s="243"/>
      <c r="AR223" s="243"/>
      <c r="AS223" s="243"/>
      <c r="AT223" s="243"/>
      <c r="AU223" s="243"/>
      <c r="AV223" s="243"/>
      <c r="AW223" s="243"/>
      <c r="AX223" s="243"/>
      <c r="AY223" s="253"/>
    </row>
    <row r="224" spans="1:51" ht="60" customHeight="1" x14ac:dyDescent="0.35">
      <c r="A224" s="249" t="s">
        <v>6187</v>
      </c>
      <c r="B224" s="237" t="s">
        <v>6188</v>
      </c>
      <c r="C224" s="237" t="s">
        <v>6189</v>
      </c>
      <c r="D224" s="237" t="s">
        <v>21</v>
      </c>
      <c r="E224" s="237" t="s">
        <v>21</v>
      </c>
      <c r="F224" s="237" t="s">
        <v>21</v>
      </c>
      <c r="G224" s="237" t="s">
        <v>21</v>
      </c>
      <c r="H224" s="237" t="s">
        <v>6190</v>
      </c>
      <c r="I224" s="237" t="s">
        <v>21</v>
      </c>
      <c r="J224" s="237" t="s">
        <v>6191</v>
      </c>
      <c r="K224" s="240" t="str">
        <f>IF(COUNTIF(L224:AY224,"&lt;&gt;")=0,"",SUMPRODUCT(((Recommendations[ImplStatus]="Implemented")+(Recommendations[ImplStatus]="Compensated"))*ISNUMBER(MATCH(Recommendations[Id],L224:AY224,0)))/COUNTIF(L224:AY224,"&lt;&gt;"))</f>
        <v/>
      </c>
      <c r="L224" s="243"/>
      <c r="M224" s="243"/>
      <c r="N224" s="243"/>
      <c r="O224" s="243"/>
      <c r="P224" s="243"/>
      <c r="Q224" s="243"/>
      <c r="R224" s="243"/>
      <c r="S224" s="243"/>
      <c r="T224" s="243"/>
      <c r="U224" s="243"/>
      <c r="V224" s="243"/>
      <c r="W224" s="243"/>
      <c r="X224" s="243"/>
      <c r="Y224" s="243"/>
      <c r="Z224" s="243"/>
      <c r="AA224" s="243"/>
      <c r="AB224" s="243"/>
      <c r="AC224" s="243"/>
      <c r="AD224" s="243"/>
      <c r="AE224" s="243"/>
      <c r="AF224" s="243"/>
      <c r="AG224" s="243"/>
      <c r="AH224" s="243"/>
      <c r="AI224" s="243"/>
      <c r="AJ224" s="243"/>
      <c r="AK224" s="243"/>
      <c r="AL224" s="243"/>
      <c r="AM224" s="243"/>
      <c r="AN224" s="243"/>
      <c r="AO224" s="243"/>
      <c r="AP224" s="243"/>
      <c r="AQ224" s="243"/>
      <c r="AR224" s="243"/>
      <c r="AS224" s="243"/>
      <c r="AT224" s="243"/>
      <c r="AU224" s="243"/>
      <c r="AV224" s="243"/>
      <c r="AW224" s="243"/>
      <c r="AX224" s="243"/>
      <c r="AY224" s="253"/>
    </row>
    <row r="225" spans="1:51" ht="60" customHeight="1" x14ac:dyDescent="0.35">
      <c r="A225" s="249" t="s">
        <v>6192</v>
      </c>
      <c r="B225" s="237" t="s">
        <v>6193</v>
      </c>
      <c r="C225" s="237" t="s">
        <v>6194</v>
      </c>
      <c r="D225" s="237" t="s">
        <v>21</v>
      </c>
      <c r="E225" s="237" t="s">
        <v>21</v>
      </c>
      <c r="F225" s="237" t="s">
        <v>21</v>
      </c>
      <c r="G225" s="237" t="s">
        <v>21</v>
      </c>
      <c r="H225" s="237" t="s">
        <v>6195</v>
      </c>
      <c r="I225" s="237" t="s">
        <v>21</v>
      </c>
      <c r="J225" s="237" t="s">
        <v>21</v>
      </c>
      <c r="K225" s="240" t="str">
        <f>IF(COUNTIF(L225:AY225,"&lt;&gt;")=0,"",SUMPRODUCT(((Recommendations[ImplStatus]="Implemented")+(Recommendations[ImplStatus]="Compensated"))*ISNUMBER(MATCH(Recommendations[Id],L225:AY225,0)))/COUNTIF(L225:AY225,"&lt;&gt;"))</f>
        <v/>
      </c>
      <c r="L225" s="243"/>
      <c r="M225" s="243"/>
      <c r="N225" s="243"/>
      <c r="O225" s="243"/>
      <c r="P225" s="243"/>
      <c r="Q225" s="243"/>
      <c r="R225" s="243"/>
      <c r="S225" s="243"/>
      <c r="T225" s="243"/>
      <c r="U225" s="243"/>
      <c r="V225" s="243"/>
      <c r="W225" s="243"/>
      <c r="X225" s="243"/>
      <c r="Y225" s="243"/>
      <c r="Z225" s="243"/>
      <c r="AA225" s="243"/>
      <c r="AB225" s="243"/>
      <c r="AC225" s="243"/>
      <c r="AD225" s="243"/>
      <c r="AE225" s="243"/>
      <c r="AF225" s="243"/>
      <c r="AG225" s="243"/>
      <c r="AH225" s="243"/>
      <c r="AI225" s="243"/>
      <c r="AJ225" s="243"/>
      <c r="AK225" s="243"/>
      <c r="AL225" s="243"/>
      <c r="AM225" s="243"/>
      <c r="AN225" s="243"/>
      <c r="AO225" s="243"/>
      <c r="AP225" s="243"/>
      <c r="AQ225" s="243"/>
      <c r="AR225" s="243"/>
      <c r="AS225" s="243"/>
      <c r="AT225" s="243"/>
      <c r="AU225" s="243"/>
      <c r="AV225" s="243"/>
      <c r="AW225" s="243"/>
      <c r="AX225" s="243"/>
      <c r="AY225" s="253"/>
    </row>
    <row r="226" spans="1:51" ht="60" customHeight="1" x14ac:dyDescent="0.35">
      <c r="A226" s="249" t="s">
        <v>6196</v>
      </c>
      <c r="B226" s="237" t="s">
        <v>6197</v>
      </c>
      <c r="C226" s="237" t="s">
        <v>6198</v>
      </c>
      <c r="D226" s="237" t="s">
        <v>21</v>
      </c>
      <c r="E226" s="237" t="s">
        <v>21</v>
      </c>
      <c r="F226" s="237" t="s">
        <v>21</v>
      </c>
      <c r="G226" s="237" t="s">
        <v>21</v>
      </c>
      <c r="H226" s="237" t="s">
        <v>6199</v>
      </c>
      <c r="I226" s="237" t="s">
        <v>21</v>
      </c>
      <c r="J226" s="237" t="s">
        <v>6200</v>
      </c>
      <c r="K226" s="240" t="str">
        <f>IF(COUNTIF(L226:AY226,"&lt;&gt;")=0,"",SUMPRODUCT(((Recommendations[ImplStatus]="Implemented")+(Recommendations[ImplStatus]="Compensated"))*ISNUMBER(MATCH(Recommendations[Id],L226:AY226,0)))/COUNTIF(L226:AY226,"&lt;&gt;"))</f>
        <v/>
      </c>
      <c r="L226" s="243"/>
      <c r="M226" s="243"/>
      <c r="N226" s="243"/>
      <c r="O226" s="243"/>
      <c r="P226" s="243"/>
      <c r="Q226" s="243"/>
      <c r="R226" s="243"/>
      <c r="S226" s="243"/>
      <c r="T226" s="243"/>
      <c r="U226" s="243"/>
      <c r="V226" s="243"/>
      <c r="W226" s="243"/>
      <c r="X226" s="243"/>
      <c r="Y226" s="243"/>
      <c r="Z226" s="243"/>
      <c r="AA226" s="243"/>
      <c r="AB226" s="243"/>
      <c r="AC226" s="243"/>
      <c r="AD226" s="243"/>
      <c r="AE226" s="243"/>
      <c r="AF226" s="243"/>
      <c r="AG226" s="243"/>
      <c r="AH226" s="243"/>
      <c r="AI226" s="243"/>
      <c r="AJ226" s="243"/>
      <c r="AK226" s="243"/>
      <c r="AL226" s="243"/>
      <c r="AM226" s="243"/>
      <c r="AN226" s="243"/>
      <c r="AO226" s="243"/>
      <c r="AP226" s="243"/>
      <c r="AQ226" s="243"/>
      <c r="AR226" s="243"/>
      <c r="AS226" s="243"/>
      <c r="AT226" s="243"/>
      <c r="AU226" s="243"/>
      <c r="AV226" s="243"/>
      <c r="AW226" s="243"/>
      <c r="AX226" s="243"/>
      <c r="AY226" s="253"/>
    </row>
    <row r="227" spans="1:51" ht="60" customHeight="1" x14ac:dyDescent="0.35">
      <c r="A227" s="249" t="s">
        <v>6201</v>
      </c>
      <c r="B227" s="237" t="s">
        <v>6202</v>
      </c>
      <c r="C227" s="237" t="s">
        <v>6203</v>
      </c>
      <c r="D227" s="237" t="s">
        <v>21</v>
      </c>
      <c r="E227" s="237" t="s">
        <v>21</v>
      </c>
      <c r="F227" s="237" t="s">
        <v>21</v>
      </c>
      <c r="G227" s="237" t="s">
        <v>21</v>
      </c>
      <c r="H227" s="237" t="s">
        <v>6204</v>
      </c>
      <c r="I227" s="237" t="s">
        <v>21</v>
      </c>
      <c r="J227" s="237" t="s">
        <v>6205</v>
      </c>
      <c r="K227" s="240" t="str">
        <f>IF(COUNTIF(L227:AY227,"&lt;&gt;")=0,"",SUMPRODUCT(((Recommendations[ImplStatus]="Implemented")+(Recommendations[ImplStatus]="Compensated"))*ISNUMBER(MATCH(Recommendations[Id],L227:AY227,0)))/COUNTIF(L227:AY227,"&lt;&gt;"))</f>
        <v/>
      </c>
      <c r="L227" s="243"/>
      <c r="M227" s="243"/>
      <c r="N227" s="243"/>
      <c r="O227" s="243"/>
      <c r="P227" s="243"/>
      <c r="Q227" s="243"/>
      <c r="R227" s="243"/>
      <c r="S227" s="243"/>
      <c r="T227" s="243"/>
      <c r="U227" s="243"/>
      <c r="V227" s="243"/>
      <c r="W227" s="243"/>
      <c r="X227" s="243"/>
      <c r="Y227" s="243"/>
      <c r="Z227" s="243"/>
      <c r="AA227" s="243"/>
      <c r="AB227" s="243"/>
      <c r="AC227" s="243"/>
      <c r="AD227" s="243"/>
      <c r="AE227" s="243"/>
      <c r="AF227" s="243"/>
      <c r="AG227" s="243"/>
      <c r="AH227" s="243"/>
      <c r="AI227" s="243"/>
      <c r="AJ227" s="243"/>
      <c r="AK227" s="243"/>
      <c r="AL227" s="243"/>
      <c r="AM227" s="243"/>
      <c r="AN227" s="243"/>
      <c r="AO227" s="243"/>
      <c r="AP227" s="243"/>
      <c r="AQ227" s="243"/>
      <c r="AR227" s="243"/>
      <c r="AS227" s="243"/>
      <c r="AT227" s="243"/>
      <c r="AU227" s="243"/>
      <c r="AV227" s="243"/>
      <c r="AW227" s="243"/>
      <c r="AX227" s="243"/>
      <c r="AY227" s="253"/>
    </row>
    <row r="228" spans="1:51" ht="60" customHeight="1" x14ac:dyDescent="0.35">
      <c r="A228" s="249" t="s">
        <v>6206</v>
      </c>
      <c r="B228" s="237" t="s">
        <v>6207</v>
      </c>
      <c r="C228" s="237" t="s">
        <v>6208</v>
      </c>
      <c r="D228" s="237" t="s">
        <v>21</v>
      </c>
      <c r="E228" s="237" t="s">
        <v>21</v>
      </c>
      <c r="F228" s="237" t="s">
        <v>21</v>
      </c>
      <c r="G228" s="237" t="s">
        <v>21</v>
      </c>
      <c r="H228" s="237" t="s">
        <v>6209</v>
      </c>
      <c r="I228" s="237" t="s">
        <v>21</v>
      </c>
      <c r="J228" s="237" t="s">
        <v>6210</v>
      </c>
      <c r="K228" s="240" t="str">
        <f>IF(COUNTIF(L228:AY228,"&lt;&gt;")=0,"",SUMPRODUCT(((Recommendations[ImplStatus]="Implemented")+(Recommendations[ImplStatus]="Compensated"))*ISNUMBER(MATCH(Recommendations[Id],L228:AY228,0)))/COUNTIF(L228:AY228,"&lt;&gt;"))</f>
        <v/>
      </c>
      <c r="L228" s="243"/>
      <c r="M228" s="243"/>
      <c r="N228" s="243"/>
      <c r="O228" s="243"/>
      <c r="P228" s="243"/>
      <c r="Q228" s="243"/>
      <c r="R228" s="243"/>
      <c r="S228" s="243"/>
      <c r="T228" s="243"/>
      <c r="U228" s="243"/>
      <c r="V228" s="243"/>
      <c r="W228" s="243"/>
      <c r="X228" s="243"/>
      <c r="Y228" s="243"/>
      <c r="Z228" s="243"/>
      <c r="AA228" s="243"/>
      <c r="AB228" s="243"/>
      <c r="AC228" s="243"/>
      <c r="AD228" s="243"/>
      <c r="AE228" s="243"/>
      <c r="AF228" s="243"/>
      <c r="AG228" s="243"/>
      <c r="AH228" s="243"/>
      <c r="AI228" s="243"/>
      <c r="AJ228" s="243"/>
      <c r="AK228" s="243"/>
      <c r="AL228" s="243"/>
      <c r="AM228" s="243"/>
      <c r="AN228" s="243"/>
      <c r="AO228" s="243"/>
      <c r="AP228" s="243"/>
      <c r="AQ228" s="243"/>
      <c r="AR228" s="243"/>
      <c r="AS228" s="243"/>
      <c r="AT228" s="243"/>
      <c r="AU228" s="243"/>
      <c r="AV228" s="243"/>
      <c r="AW228" s="243"/>
      <c r="AX228" s="243"/>
      <c r="AY228" s="253"/>
    </row>
    <row r="229" spans="1:51" ht="60" customHeight="1" x14ac:dyDescent="0.35">
      <c r="A229" s="249" t="s">
        <v>6211</v>
      </c>
      <c r="B229" s="237" t="s">
        <v>6212</v>
      </c>
      <c r="C229" s="237" t="s">
        <v>6213</v>
      </c>
      <c r="D229" s="237" t="s">
        <v>21</v>
      </c>
      <c r="E229" s="237" t="s">
        <v>21</v>
      </c>
      <c r="F229" s="237" t="s">
        <v>21</v>
      </c>
      <c r="G229" s="237" t="s">
        <v>21</v>
      </c>
      <c r="H229" s="237" t="s">
        <v>6214</v>
      </c>
      <c r="I229" s="237" t="s">
        <v>21</v>
      </c>
      <c r="J229" s="237" t="s">
        <v>6215</v>
      </c>
      <c r="K229" s="240">
        <f>IF(COUNTIF(L229:AY229,"&lt;&gt;")=0,"",SUMPRODUCT(((Recommendations[ImplStatus]="Implemented")+(Recommendations[ImplStatus]="Compensated"))*ISNUMBER(MATCH(Recommendations[Id],L229:AY229,0)))/COUNTIF(L229:AY229,"&lt;&gt;"))</f>
        <v>0</v>
      </c>
      <c r="L229" s="243" t="s">
        <v>51</v>
      </c>
      <c r="M229" s="243" t="s">
        <v>66</v>
      </c>
      <c r="N229" s="243" t="s">
        <v>69</v>
      </c>
      <c r="O229" s="243" t="s">
        <v>72</v>
      </c>
      <c r="P229" s="243" t="s">
        <v>79</v>
      </c>
      <c r="Q229" s="243" t="s">
        <v>82</v>
      </c>
      <c r="R229" s="243" t="s">
        <v>85</v>
      </c>
      <c r="S229" s="243" t="s">
        <v>88</v>
      </c>
      <c r="T229" s="243" t="s">
        <v>91</v>
      </c>
      <c r="U229" s="243" t="s">
        <v>94</v>
      </c>
      <c r="V229" s="243" t="s">
        <v>110</v>
      </c>
      <c r="W229" s="243" t="s">
        <v>142</v>
      </c>
      <c r="X229" s="243" t="s">
        <v>152</v>
      </c>
      <c r="Y229" s="243" t="s">
        <v>228</v>
      </c>
      <c r="Z229" s="243" t="s">
        <v>238</v>
      </c>
      <c r="AA229" s="243" t="s">
        <v>265</v>
      </c>
      <c r="AB229" s="243" t="s">
        <v>268</v>
      </c>
      <c r="AC229" s="243" t="s">
        <v>273</v>
      </c>
      <c r="AD229" s="243" t="s">
        <v>284</v>
      </c>
      <c r="AE229" s="243" t="s">
        <v>287</v>
      </c>
      <c r="AF229" s="243" t="s">
        <v>290</v>
      </c>
      <c r="AG229" s="243" t="s">
        <v>293</v>
      </c>
      <c r="AH229" s="243" t="s">
        <v>296</v>
      </c>
      <c r="AI229" s="243" t="s">
        <v>1316</v>
      </c>
      <c r="AJ229" s="243" t="s">
        <v>1321</v>
      </c>
      <c r="AK229" s="243" t="s">
        <v>1325</v>
      </c>
      <c r="AL229" s="243" t="s">
        <v>1334</v>
      </c>
      <c r="AM229" s="243" t="s">
        <v>1338</v>
      </c>
      <c r="AN229" s="243" t="s">
        <v>1341</v>
      </c>
      <c r="AO229" s="243" t="s">
        <v>1348</v>
      </c>
      <c r="AP229" s="243" t="s">
        <v>1352</v>
      </c>
      <c r="AQ229" s="243" t="s">
        <v>1356</v>
      </c>
      <c r="AR229" s="243" t="s">
        <v>1359</v>
      </c>
      <c r="AS229" s="243" t="s">
        <v>1363</v>
      </c>
      <c r="AT229" s="243" t="s">
        <v>1366</v>
      </c>
      <c r="AU229" s="243" t="s">
        <v>1370</v>
      </c>
      <c r="AV229" s="243" t="s">
        <v>1374</v>
      </c>
      <c r="AW229" s="243" t="s">
        <v>1378</v>
      </c>
      <c r="AX229" s="243" t="s">
        <v>1382</v>
      </c>
      <c r="AY229" s="253" t="s">
        <v>1386</v>
      </c>
    </row>
    <row r="230" spans="1:51" ht="60" customHeight="1" outlineLevel="1" x14ac:dyDescent="0.35">
      <c r="A230" s="248" t="s">
        <v>2614</v>
      </c>
      <c r="B230" s="236" t="s">
        <v>6216</v>
      </c>
      <c r="C230" s="236"/>
      <c r="D230" s="236"/>
      <c r="E230" s="236"/>
      <c r="F230" s="236"/>
      <c r="G230" s="236"/>
      <c r="H230" s="236"/>
      <c r="I230" s="236"/>
      <c r="J230" s="236"/>
      <c r="K230" s="239" t="str">
        <f>IF(COUNTIF(L230:AY230,"&lt;&gt;")=0,"",SUMPRODUCT(((Recommendations[ImplStatus]="Implemented")+(Recommendations[ImplStatus]="Compensated"))*ISNUMBER(MATCH(Recommendations[Id],L230:AY230,0)))/COUNTIF(L230:AY230,"&lt;&gt;"))</f>
        <v/>
      </c>
      <c r="L230" s="242"/>
      <c r="M230" s="242"/>
      <c r="N230" s="242"/>
      <c r="O230" s="242"/>
      <c r="P230" s="242"/>
      <c r="Q230" s="242"/>
      <c r="R230" s="242"/>
      <c r="S230" s="242"/>
      <c r="T230" s="242"/>
      <c r="U230" s="242"/>
      <c r="V230" s="242"/>
      <c r="W230" s="242"/>
      <c r="X230" s="242"/>
      <c r="Y230" s="242"/>
      <c r="Z230" s="242"/>
      <c r="AA230" s="242"/>
      <c r="AB230" s="242"/>
      <c r="AC230" s="242"/>
      <c r="AD230" s="242"/>
      <c r="AE230" s="242"/>
      <c r="AF230" s="242"/>
      <c r="AG230" s="242"/>
      <c r="AH230" s="242"/>
      <c r="AI230" s="242"/>
      <c r="AJ230" s="242"/>
      <c r="AK230" s="242"/>
      <c r="AL230" s="242"/>
      <c r="AM230" s="242"/>
      <c r="AN230" s="242"/>
      <c r="AO230" s="242"/>
      <c r="AP230" s="242"/>
      <c r="AQ230" s="242"/>
      <c r="AR230" s="242"/>
      <c r="AS230" s="242"/>
      <c r="AT230" s="242"/>
      <c r="AU230" s="242"/>
      <c r="AV230" s="242"/>
      <c r="AW230" s="242"/>
      <c r="AX230" s="242"/>
      <c r="AY230" s="252"/>
    </row>
    <row r="231" spans="1:51" ht="60" customHeight="1" x14ac:dyDescent="0.35">
      <c r="A231" s="249" t="s">
        <v>6217</v>
      </c>
      <c r="B231" s="237" t="s">
        <v>6218</v>
      </c>
      <c r="C231" s="237" t="s">
        <v>6219</v>
      </c>
      <c r="D231" s="237" t="s">
        <v>6220</v>
      </c>
      <c r="E231" s="237" t="s">
        <v>21</v>
      </c>
      <c r="F231" s="237" t="s">
        <v>21</v>
      </c>
      <c r="G231" s="237" t="s">
        <v>21</v>
      </c>
      <c r="H231" s="237" t="s">
        <v>6221</v>
      </c>
      <c r="I231" s="237" t="s">
        <v>21</v>
      </c>
      <c r="J231" s="237" t="s">
        <v>6222</v>
      </c>
      <c r="K231" s="240" t="str">
        <f>IF(COUNTIF(L231:AY231,"&lt;&gt;")=0,"",SUMPRODUCT(((Recommendations[ImplStatus]="Implemented")+(Recommendations[ImplStatus]="Compensated"))*ISNUMBER(MATCH(Recommendations[Id],L231:AY231,0)))/COUNTIF(L231:AY231,"&lt;&gt;"))</f>
        <v/>
      </c>
      <c r="L231" s="243"/>
      <c r="M231" s="243"/>
      <c r="N231" s="243"/>
      <c r="O231" s="243"/>
      <c r="P231" s="243"/>
      <c r="Q231" s="243"/>
      <c r="R231" s="243"/>
      <c r="S231" s="243"/>
      <c r="T231" s="243"/>
      <c r="U231" s="243"/>
      <c r="V231" s="243"/>
      <c r="W231" s="243"/>
      <c r="X231" s="243"/>
      <c r="Y231" s="243"/>
      <c r="Z231" s="243"/>
      <c r="AA231" s="243"/>
      <c r="AB231" s="243"/>
      <c r="AC231" s="243"/>
      <c r="AD231" s="243"/>
      <c r="AE231" s="243"/>
      <c r="AF231" s="243"/>
      <c r="AG231" s="243"/>
      <c r="AH231" s="243"/>
      <c r="AI231" s="243"/>
      <c r="AJ231" s="243"/>
      <c r="AK231" s="243"/>
      <c r="AL231" s="243"/>
      <c r="AM231" s="243"/>
      <c r="AN231" s="243"/>
      <c r="AO231" s="243"/>
      <c r="AP231" s="243"/>
      <c r="AQ231" s="243"/>
      <c r="AR231" s="243"/>
      <c r="AS231" s="243"/>
      <c r="AT231" s="243"/>
      <c r="AU231" s="243"/>
      <c r="AV231" s="243"/>
      <c r="AW231" s="243"/>
      <c r="AX231" s="243"/>
      <c r="AY231" s="253"/>
    </row>
    <row r="232" spans="1:51" ht="60" customHeight="1" x14ac:dyDescent="0.35">
      <c r="A232" s="249" t="s">
        <v>6223</v>
      </c>
      <c r="B232" s="237" t="s">
        <v>6224</v>
      </c>
      <c r="C232" s="237" t="s">
        <v>6225</v>
      </c>
      <c r="D232" s="237" t="s">
        <v>6226</v>
      </c>
      <c r="E232" s="237" t="s">
        <v>21</v>
      </c>
      <c r="F232" s="237" t="s">
        <v>21</v>
      </c>
      <c r="G232" s="237" t="s">
        <v>21</v>
      </c>
      <c r="H232" s="237" t="s">
        <v>6227</v>
      </c>
      <c r="I232" s="237" t="s">
        <v>21</v>
      </c>
      <c r="J232" s="237" t="s">
        <v>6228</v>
      </c>
      <c r="K232" s="240" t="str">
        <f>IF(COUNTIF(L232:AY232,"&lt;&gt;")=0,"",SUMPRODUCT(((Recommendations[ImplStatus]="Implemented")+(Recommendations[ImplStatus]="Compensated"))*ISNUMBER(MATCH(Recommendations[Id],L232:AY232,0)))/COUNTIF(L232:AY232,"&lt;&gt;"))</f>
        <v/>
      </c>
      <c r="L232" s="243"/>
      <c r="M232" s="243"/>
      <c r="N232" s="243"/>
      <c r="O232" s="243"/>
      <c r="P232" s="243"/>
      <c r="Q232" s="243"/>
      <c r="R232" s="243"/>
      <c r="S232" s="243"/>
      <c r="T232" s="243"/>
      <c r="U232" s="243"/>
      <c r="V232" s="243"/>
      <c r="W232" s="243"/>
      <c r="X232" s="243"/>
      <c r="Y232" s="243"/>
      <c r="Z232" s="243"/>
      <c r="AA232" s="243"/>
      <c r="AB232" s="243"/>
      <c r="AC232" s="243"/>
      <c r="AD232" s="243"/>
      <c r="AE232" s="243"/>
      <c r="AF232" s="243"/>
      <c r="AG232" s="243"/>
      <c r="AH232" s="243"/>
      <c r="AI232" s="243"/>
      <c r="AJ232" s="243"/>
      <c r="AK232" s="243"/>
      <c r="AL232" s="243"/>
      <c r="AM232" s="243"/>
      <c r="AN232" s="243"/>
      <c r="AO232" s="243"/>
      <c r="AP232" s="243"/>
      <c r="AQ232" s="243"/>
      <c r="AR232" s="243"/>
      <c r="AS232" s="243"/>
      <c r="AT232" s="243"/>
      <c r="AU232" s="243"/>
      <c r="AV232" s="243"/>
      <c r="AW232" s="243"/>
      <c r="AX232" s="243"/>
      <c r="AY232" s="253"/>
    </row>
    <row r="233" spans="1:51" ht="60" customHeight="1" x14ac:dyDescent="0.35">
      <c r="A233" s="249" t="s">
        <v>6229</v>
      </c>
      <c r="B233" s="237" t="s">
        <v>6230</v>
      </c>
      <c r="C233" s="237" t="s">
        <v>6231</v>
      </c>
      <c r="D233" s="237" t="s">
        <v>6232</v>
      </c>
      <c r="E233" s="237" t="s">
        <v>21</v>
      </c>
      <c r="F233" s="237" t="s">
        <v>21</v>
      </c>
      <c r="G233" s="237" t="s">
        <v>21</v>
      </c>
      <c r="H233" s="237" t="s">
        <v>6233</v>
      </c>
      <c r="I233" s="237" t="s">
        <v>21</v>
      </c>
      <c r="J233" s="237" t="s">
        <v>6234</v>
      </c>
      <c r="K233" s="240" t="str">
        <f>IF(COUNTIF(L233:AY233,"&lt;&gt;")=0,"",SUMPRODUCT(((Recommendations[ImplStatus]="Implemented")+(Recommendations[ImplStatus]="Compensated"))*ISNUMBER(MATCH(Recommendations[Id],L233:AY233,0)))/COUNTIF(L233:AY233,"&lt;&gt;"))</f>
        <v/>
      </c>
      <c r="L233" s="243"/>
      <c r="M233" s="243"/>
      <c r="N233" s="243"/>
      <c r="O233" s="243"/>
      <c r="P233" s="243"/>
      <c r="Q233" s="243"/>
      <c r="R233" s="243"/>
      <c r="S233" s="243"/>
      <c r="T233" s="243"/>
      <c r="U233" s="243"/>
      <c r="V233" s="243"/>
      <c r="W233" s="243"/>
      <c r="X233" s="243"/>
      <c r="Y233" s="243"/>
      <c r="Z233" s="243"/>
      <c r="AA233" s="243"/>
      <c r="AB233" s="243"/>
      <c r="AC233" s="243"/>
      <c r="AD233" s="243"/>
      <c r="AE233" s="243"/>
      <c r="AF233" s="243"/>
      <c r="AG233" s="243"/>
      <c r="AH233" s="243"/>
      <c r="AI233" s="243"/>
      <c r="AJ233" s="243"/>
      <c r="AK233" s="243"/>
      <c r="AL233" s="243"/>
      <c r="AM233" s="243"/>
      <c r="AN233" s="243"/>
      <c r="AO233" s="243"/>
      <c r="AP233" s="243"/>
      <c r="AQ233" s="243"/>
      <c r="AR233" s="243"/>
      <c r="AS233" s="243"/>
      <c r="AT233" s="243"/>
      <c r="AU233" s="243"/>
      <c r="AV233" s="243"/>
      <c r="AW233" s="243"/>
      <c r="AX233" s="243"/>
      <c r="AY233" s="253"/>
    </row>
    <row r="234" spans="1:51" ht="60" customHeight="1" x14ac:dyDescent="0.35">
      <c r="A234" s="249" t="s">
        <v>6235</v>
      </c>
      <c r="B234" s="237" t="s">
        <v>6236</v>
      </c>
      <c r="C234" s="237" t="s">
        <v>6237</v>
      </c>
      <c r="D234" s="237" t="s">
        <v>6238</v>
      </c>
      <c r="E234" s="237" t="s">
        <v>21</v>
      </c>
      <c r="F234" s="237" t="s">
        <v>21</v>
      </c>
      <c r="G234" s="237" t="s">
        <v>21</v>
      </c>
      <c r="H234" s="237" t="s">
        <v>6239</v>
      </c>
      <c r="I234" s="237" t="s">
        <v>21</v>
      </c>
      <c r="J234" s="237" t="s">
        <v>6240</v>
      </c>
      <c r="K234" s="240" t="str">
        <f>IF(COUNTIF(L234:AY234,"&lt;&gt;")=0,"",SUMPRODUCT(((Recommendations[ImplStatus]="Implemented")+(Recommendations[ImplStatus]="Compensated"))*ISNUMBER(MATCH(Recommendations[Id],L234:AY234,0)))/COUNTIF(L234:AY234,"&lt;&gt;"))</f>
        <v/>
      </c>
      <c r="L234" s="243"/>
      <c r="M234" s="243"/>
      <c r="N234" s="243"/>
      <c r="O234" s="243"/>
      <c r="P234" s="243"/>
      <c r="Q234" s="243"/>
      <c r="R234" s="243"/>
      <c r="S234" s="243"/>
      <c r="T234" s="243"/>
      <c r="U234" s="243"/>
      <c r="V234" s="243"/>
      <c r="W234" s="243"/>
      <c r="X234" s="243"/>
      <c r="Y234" s="243"/>
      <c r="Z234" s="243"/>
      <c r="AA234" s="243"/>
      <c r="AB234" s="243"/>
      <c r="AC234" s="243"/>
      <c r="AD234" s="243"/>
      <c r="AE234" s="243"/>
      <c r="AF234" s="243"/>
      <c r="AG234" s="243"/>
      <c r="AH234" s="243"/>
      <c r="AI234" s="243"/>
      <c r="AJ234" s="243"/>
      <c r="AK234" s="243"/>
      <c r="AL234" s="243"/>
      <c r="AM234" s="243"/>
      <c r="AN234" s="243"/>
      <c r="AO234" s="243"/>
      <c r="AP234" s="243"/>
      <c r="AQ234" s="243"/>
      <c r="AR234" s="243"/>
      <c r="AS234" s="243"/>
      <c r="AT234" s="243"/>
      <c r="AU234" s="243"/>
      <c r="AV234" s="243"/>
      <c r="AW234" s="243"/>
      <c r="AX234" s="243"/>
      <c r="AY234" s="253"/>
    </row>
    <row r="235" spans="1:51" ht="60" customHeight="1" outlineLevel="1" x14ac:dyDescent="0.35">
      <c r="A235" s="248" t="s">
        <v>2618</v>
      </c>
      <c r="B235" s="236" t="s">
        <v>6241</v>
      </c>
      <c r="C235" s="236"/>
      <c r="D235" s="236"/>
      <c r="E235" s="236"/>
      <c r="F235" s="236"/>
      <c r="G235" s="236"/>
      <c r="H235" s="236"/>
      <c r="I235" s="236"/>
      <c r="J235" s="236"/>
      <c r="K235" s="239" t="str">
        <f>IF(COUNTIF(L235:AY235,"&lt;&gt;")=0,"",SUMPRODUCT(((Recommendations[ImplStatus]="Implemented")+(Recommendations[ImplStatus]="Compensated"))*ISNUMBER(MATCH(Recommendations[Id],L235:AY235,0)))/COUNTIF(L235:AY235,"&lt;&gt;"))</f>
        <v/>
      </c>
      <c r="L235" s="242"/>
      <c r="M235" s="242"/>
      <c r="N235" s="242"/>
      <c r="O235" s="242"/>
      <c r="P235" s="242"/>
      <c r="Q235" s="242"/>
      <c r="R235" s="242"/>
      <c r="S235" s="242"/>
      <c r="T235" s="242"/>
      <c r="U235" s="242"/>
      <c r="V235" s="242"/>
      <c r="W235" s="242"/>
      <c r="X235" s="242"/>
      <c r="Y235" s="242"/>
      <c r="Z235" s="242"/>
      <c r="AA235" s="242"/>
      <c r="AB235" s="242"/>
      <c r="AC235" s="242"/>
      <c r="AD235" s="242"/>
      <c r="AE235" s="242"/>
      <c r="AF235" s="242"/>
      <c r="AG235" s="242"/>
      <c r="AH235" s="242"/>
      <c r="AI235" s="242"/>
      <c r="AJ235" s="242"/>
      <c r="AK235" s="242"/>
      <c r="AL235" s="242"/>
      <c r="AM235" s="242"/>
      <c r="AN235" s="242"/>
      <c r="AO235" s="242"/>
      <c r="AP235" s="242"/>
      <c r="AQ235" s="242"/>
      <c r="AR235" s="242"/>
      <c r="AS235" s="242"/>
      <c r="AT235" s="242"/>
      <c r="AU235" s="242"/>
      <c r="AV235" s="242"/>
      <c r="AW235" s="242"/>
      <c r="AX235" s="242"/>
      <c r="AY235" s="252"/>
    </row>
    <row r="236" spans="1:51" ht="60" customHeight="1" x14ac:dyDescent="0.35">
      <c r="A236" s="249" t="s">
        <v>6242</v>
      </c>
      <c r="B236" s="237" t="s">
        <v>6243</v>
      </c>
      <c r="C236" s="237" t="s">
        <v>6244</v>
      </c>
      <c r="D236" s="237" t="s">
        <v>6245</v>
      </c>
      <c r="E236" s="237" t="s">
        <v>21</v>
      </c>
      <c r="F236" s="237" t="s">
        <v>21</v>
      </c>
      <c r="G236" s="237" t="s">
        <v>21</v>
      </c>
      <c r="H236" s="237" t="s">
        <v>6246</v>
      </c>
      <c r="I236" s="237" t="s">
        <v>21</v>
      </c>
      <c r="J236" s="237" t="s">
        <v>6247</v>
      </c>
      <c r="K236" s="240" t="str">
        <f>IF(COUNTIF(L236:AY236,"&lt;&gt;")=0,"",SUMPRODUCT(((Recommendations[ImplStatus]="Implemented")+(Recommendations[ImplStatus]="Compensated"))*ISNUMBER(MATCH(Recommendations[Id],L236:AY236,0)))/COUNTIF(L236:AY236,"&lt;&gt;"))</f>
        <v/>
      </c>
      <c r="L236" s="243"/>
      <c r="M236" s="243"/>
      <c r="N236" s="243"/>
      <c r="O236" s="243"/>
      <c r="P236" s="243"/>
      <c r="Q236" s="243"/>
      <c r="R236" s="243"/>
      <c r="S236" s="243"/>
      <c r="T236" s="243"/>
      <c r="U236" s="243"/>
      <c r="V236" s="243"/>
      <c r="W236" s="243"/>
      <c r="X236" s="243"/>
      <c r="Y236" s="243"/>
      <c r="Z236" s="243"/>
      <c r="AA236" s="243"/>
      <c r="AB236" s="243"/>
      <c r="AC236" s="243"/>
      <c r="AD236" s="243"/>
      <c r="AE236" s="243"/>
      <c r="AF236" s="243"/>
      <c r="AG236" s="243"/>
      <c r="AH236" s="243"/>
      <c r="AI236" s="243"/>
      <c r="AJ236" s="243"/>
      <c r="AK236" s="243"/>
      <c r="AL236" s="243"/>
      <c r="AM236" s="243"/>
      <c r="AN236" s="243"/>
      <c r="AO236" s="243"/>
      <c r="AP236" s="243"/>
      <c r="AQ236" s="243"/>
      <c r="AR236" s="243"/>
      <c r="AS236" s="243"/>
      <c r="AT236" s="243"/>
      <c r="AU236" s="243"/>
      <c r="AV236" s="243"/>
      <c r="AW236" s="243"/>
      <c r="AX236" s="243"/>
      <c r="AY236" s="253"/>
    </row>
    <row r="237" spans="1:51" ht="60" customHeight="1" x14ac:dyDescent="0.35">
      <c r="A237" s="249" t="s">
        <v>6248</v>
      </c>
      <c r="B237" s="237" t="s">
        <v>6249</v>
      </c>
      <c r="C237" s="237" t="s">
        <v>6250</v>
      </c>
      <c r="D237" s="237" t="s">
        <v>6251</v>
      </c>
      <c r="E237" s="237" t="s">
        <v>21</v>
      </c>
      <c r="F237" s="237" t="s">
        <v>21</v>
      </c>
      <c r="G237" s="237" t="s">
        <v>6252</v>
      </c>
      <c r="H237" s="237" t="s">
        <v>6253</v>
      </c>
      <c r="I237" s="237" t="s">
        <v>5483</v>
      </c>
      <c r="J237" s="237" t="s">
        <v>6254</v>
      </c>
      <c r="K237" s="240" t="str">
        <f>IF(COUNTIF(L237:AY237,"&lt;&gt;")=0,"",SUMPRODUCT(((Recommendations[ImplStatus]="Implemented")+(Recommendations[ImplStatus]="Compensated"))*ISNUMBER(MATCH(Recommendations[Id],L237:AY237,0)))/COUNTIF(L237:AY237,"&lt;&gt;"))</f>
        <v/>
      </c>
      <c r="L237" s="243"/>
      <c r="M237" s="243"/>
      <c r="N237" s="243"/>
      <c r="O237" s="243"/>
      <c r="P237" s="243"/>
      <c r="Q237" s="243"/>
      <c r="R237" s="243"/>
      <c r="S237" s="243"/>
      <c r="T237" s="243"/>
      <c r="U237" s="243"/>
      <c r="V237" s="243"/>
      <c r="W237" s="243"/>
      <c r="X237" s="243"/>
      <c r="Y237" s="243"/>
      <c r="Z237" s="243"/>
      <c r="AA237" s="243"/>
      <c r="AB237" s="243"/>
      <c r="AC237" s="243"/>
      <c r="AD237" s="243"/>
      <c r="AE237" s="243"/>
      <c r="AF237" s="243"/>
      <c r="AG237" s="243"/>
      <c r="AH237" s="243"/>
      <c r="AI237" s="243"/>
      <c r="AJ237" s="243"/>
      <c r="AK237" s="243"/>
      <c r="AL237" s="243"/>
      <c r="AM237" s="243"/>
      <c r="AN237" s="243"/>
      <c r="AO237" s="243"/>
      <c r="AP237" s="243"/>
      <c r="AQ237" s="243"/>
      <c r="AR237" s="243"/>
      <c r="AS237" s="243"/>
      <c r="AT237" s="243"/>
      <c r="AU237" s="243"/>
      <c r="AV237" s="243"/>
      <c r="AW237" s="243"/>
      <c r="AX237" s="243"/>
      <c r="AY237" s="253"/>
    </row>
    <row r="238" spans="1:51" ht="60" customHeight="1" x14ac:dyDescent="0.35">
      <c r="A238" s="249" t="s">
        <v>6255</v>
      </c>
      <c r="B238" s="237" t="s">
        <v>6256</v>
      </c>
      <c r="C238" s="237" t="s">
        <v>6257</v>
      </c>
      <c r="D238" s="237" t="s">
        <v>21</v>
      </c>
      <c r="E238" s="237" t="s">
        <v>21</v>
      </c>
      <c r="F238" s="237" t="s">
        <v>21</v>
      </c>
      <c r="G238" s="237" t="s">
        <v>21</v>
      </c>
      <c r="H238" s="237" t="s">
        <v>6258</v>
      </c>
      <c r="I238" s="237" t="s">
        <v>6259</v>
      </c>
      <c r="J238" s="237" t="s">
        <v>6260</v>
      </c>
      <c r="K238" s="240" t="str">
        <f>IF(COUNTIF(L238:AY238,"&lt;&gt;")=0,"",SUMPRODUCT(((Recommendations[ImplStatus]="Implemented")+(Recommendations[ImplStatus]="Compensated"))*ISNUMBER(MATCH(Recommendations[Id],L238:AY238,0)))/COUNTIF(L238:AY238,"&lt;&gt;"))</f>
        <v/>
      </c>
      <c r="L238" s="243"/>
      <c r="M238" s="243"/>
      <c r="N238" s="243"/>
      <c r="O238" s="243"/>
      <c r="P238" s="243"/>
      <c r="Q238" s="243"/>
      <c r="R238" s="243"/>
      <c r="S238" s="243"/>
      <c r="T238" s="243"/>
      <c r="U238" s="243"/>
      <c r="V238" s="243"/>
      <c r="W238" s="243"/>
      <c r="X238" s="243"/>
      <c r="Y238" s="243"/>
      <c r="Z238" s="243"/>
      <c r="AA238" s="243"/>
      <c r="AB238" s="243"/>
      <c r="AC238" s="243"/>
      <c r="AD238" s="243"/>
      <c r="AE238" s="243"/>
      <c r="AF238" s="243"/>
      <c r="AG238" s="243"/>
      <c r="AH238" s="243"/>
      <c r="AI238" s="243"/>
      <c r="AJ238" s="243"/>
      <c r="AK238" s="243"/>
      <c r="AL238" s="243"/>
      <c r="AM238" s="243"/>
      <c r="AN238" s="243"/>
      <c r="AO238" s="243"/>
      <c r="AP238" s="243"/>
      <c r="AQ238" s="243"/>
      <c r="AR238" s="243"/>
      <c r="AS238" s="243"/>
      <c r="AT238" s="243"/>
      <c r="AU238" s="243"/>
      <c r="AV238" s="243"/>
      <c r="AW238" s="243"/>
      <c r="AX238" s="243"/>
      <c r="AY238" s="253"/>
    </row>
    <row r="239" spans="1:51" ht="60" customHeight="1" x14ac:dyDescent="0.35">
      <c r="A239" s="249" t="s">
        <v>6261</v>
      </c>
      <c r="B239" s="237" t="s">
        <v>6262</v>
      </c>
      <c r="C239" s="237" t="s">
        <v>6263</v>
      </c>
      <c r="D239" s="237" t="s">
        <v>21</v>
      </c>
      <c r="E239" s="237" t="s">
        <v>21</v>
      </c>
      <c r="F239" s="237" t="s">
        <v>21</v>
      </c>
      <c r="G239" s="237" t="s">
        <v>21</v>
      </c>
      <c r="H239" s="237" t="s">
        <v>6264</v>
      </c>
      <c r="I239" s="237" t="s">
        <v>5483</v>
      </c>
      <c r="J239" s="237" t="s">
        <v>6265</v>
      </c>
      <c r="K239" s="240" t="str">
        <f>IF(COUNTIF(L239:AY239,"&lt;&gt;")=0,"",SUMPRODUCT(((Recommendations[ImplStatus]="Implemented")+(Recommendations[ImplStatus]="Compensated"))*ISNUMBER(MATCH(Recommendations[Id],L239:AY239,0)))/COUNTIF(L239:AY239,"&lt;&gt;"))</f>
        <v/>
      </c>
      <c r="L239" s="243"/>
      <c r="M239" s="243"/>
      <c r="N239" s="243"/>
      <c r="O239" s="243"/>
      <c r="P239" s="243"/>
      <c r="Q239" s="243"/>
      <c r="R239" s="243"/>
      <c r="S239" s="243"/>
      <c r="T239" s="243"/>
      <c r="U239" s="243"/>
      <c r="V239" s="243"/>
      <c r="W239" s="243"/>
      <c r="X239" s="243"/>
      <c r="Y239" s="243"/>
      <c r="Z239" s="243"/>
      <c r="AA239" s="243"/>
      <c r="AB239" s="243"/>
      <c r="AC239" s="243"/>
      <c r="AD239" s="243"/>
      <c r="AE239" s="243"/>
      <c r="AF239" s="243"/>
      <c r="AG239" s="243"/>
      <c r="AH239" s="243"/>
      <c r="AI239" s="243"/>
      <c r="AJ239" s="243"/>
      <c r="AK239" s="243"/>
      <c r="AL239" s="243"/>
      <c r="AM239" s="243"/>
      <c r="AN239" s="243"/>
      <c r="AO239" s="243"/>
      <c r="AP239" s="243"/>
      <c r="AQ239" s="243"/>
      <c r="AR239" s="243"/>
      <c r="AS239" s="243"/>
      <c r="AT239" s="243"/>
      <c r="AU239" s="243"/>
      <c r="AV239" s="243"/>
      <c r="AW239" s="243"/>
      <c r="AX239" s="243"/>
      <c r="AY239" s="253"/>
    </row>
    <row r="240" spans="1:51" ht="60" customHeight="1" x14ac:dyDescent="0.35">
      <c r="A240" s="249" t="s">
        <v>6266</v>
      </c>
      <c r="B240" s="237" t="s">
        <v>6267</v>
      </c>
      <c r="C240" s="237" t="s">
        <v>6268</v>
      </c>
      <c r="D240" s="237" t="s">
        <v>6269</v>
      </c>
      <c r="E240" s="237" t="s">
        <v>21</v>
      </c>
      <c r="F240" s="237" t="s">
        <v>21</v>
      </c>
      <c r="G240" s="237" t="s">
        <v>21</v>
      </c>
      <c r="H240" s="237" t="s">
        <v>6270</v>
      </c>
      <c r="I240" s="237" t="s">
        <v>21</v>
      </c>
      <c r="J240" s="237" t="s">
        <v>6271</v>
      </c>
      <c r="K240" s="240" t="str">
        <f>IF(COUNTIF(L240:AY240,"&lt;&gt;")=0,"",SUMPRODUCT(((Recommendations[ImplStatus]="Implemented")+(Recommendations[ImplStatus]="Compensated"))*ISNUMBER(MATCH(Recommendations[Id],L240:AY240,0)))/COUNTIF(L240:AY240,"&lt;&gt;"))</f>
        <v/>
      </c>
      <c r="L240" s="243"/>
      <c r="M240" s="243"/>
      <c r="N240" s="243"/>
      <c r="O240" s="243"/>
      <c r="P240" s="243"/>
      <c r="Q240" s="243"/>
      <c r="R240" s="243"/>
      <c r="S240" s="243"/>
      <c r="T240" s="243"/>
      <c r="U240" s="243"/>
      <c r="V240" s="243"/>
      <c r="W240" s="243"/>
      <c r="X240" s="243"/>
      <c r="Y240" s="243"/>
      <c r="Z240" s="243"/>
      <c r="AA240" s="243"/>
      <c r="AB240" s="243"/>
      <c r="AC240" s="243"/>
      <c r="AD240" s="243"/>
      <c r="AE240" s="243"/>
      <c r="AF240" s="243"/>
      <c r="AG240" s="243"/>
      <c r="AH240" s="243"/>
      <c r="AI240" s="243"/>
      <c r="AJ240" s="243"/>
      <c r="AK240" s="243"/>
      <c r="AL240" s="243"/>
      <c r="AM240" s="243"/>
      <c r="AN240" s="243"/>
      <c r="AO240" s="243"/>
      <c r="AP240" s="243"/>
      <c r="AQ240" s="243"/>
      <c r="AR240" s="243"/>
      <c r="AS240" s="243"/>
      <c r="AT240" s="243"/>
      <c r="AU240" s="243"/>
      <c r="AV240" s="243"/>
      <c r="AW240" s="243"/>
      <c r="AX240" s="243"/>
      <c r="AY240" s="253"/>
    </row>
    <row r="241" spans="1:51" ht="60" customHeight="1" outlineLevel="1" x14ac:dyDescent="0.35">
      <c r="A241" s="248" t="s">
        <v>2622</v>
      </c>
      <c r="B241" s="236" t="s">
        <v>6272</v>
      </c>
      <c r="C241" s="236"/>
      <c r="D241" s="236"/>
      <c r="E241" s="236"/>
      <c r="F241" s="236"/>
      <c r="G241" s="236"/>
      <c r="H241" s="236"/>
      <c r="I241" s="236"/>
      <c r="J241" s="236"/>
      <c r="K241" s="239" t="str">
        <f>IF(COUNTIF(L241:AY241,"&lt;&gt;")=0,"",SUMPRODUCT(((Recommendations[ImplStatus]="Implemented")+(Recommendations[ImplStatus]="Compensated"))*ISNUMBER(MATCH(Recommendations[Id],L241:AY241,0)))/COUNTIF(L241:AY241,"&lt;&gt;"))</f>
        <v/>
      </c>
      <c r="L241" s="242"/>
      <c r="M241" s="242"/>
      <c r="N241" s="242"/>
      <c r="O241" s="242"/>
      <c r="P241" s="242"/>
      <c r="Q241" s="242"/>
      <c r="R241" s="242"/>
      <c r="S241" s="242"/>
      <c r="T241" s="242"/>
      <c r="U241" s="242"/>
      <c r="V241" s="242"/>
      <c r="W241" s="242"/>
      <c r="X241" s="242"/>
      <c r="Y241" s="242"/>
      <c r="Z241" s="242"/>
      <c r="AA241" s="242"/>
      <c r="AB241" s="242"/>
      <c r="AC241" s="242"/>
      <c r="AD241" s="242"/>
      <c r="AE241" s="242"/>
      <c r="AF241" s="242"/>
      <c r="AG241" s="242"/>
      <c r="AH241" s="242"/>
      <c r="AI241" s="242"/>
      <c r="AJ241" s="242"/>
      <c r="AK241" s="242"/>
      <c r="AL241" s="242"/>
      <c r="AM241" s="242"/>
      <c r="AN241" s="242"/>
      <c r="AO241" s="242"/>
      <c r="AP241" s="242"/>
      <c r="AQ241" s="242"/>
      <c r="AR241" s="242"/>
      <c r="AS241" s="242"/>
      <c r="AT241" s="242"/>
      <c r="AU241" s="242"/>
      <c r="AV241" s="242"/>
      <c r="AW241" s="242"/>
      <c r="AX241" s="242"/>
      <c r="AY241" s="252"/>
    </row>
    <row r="242" spans="1:51" ht="60" customHeight="1" x14ac:dyDescent="0.35">
      <c r="A242" s="249" t="s">
        <v>6273</v>
      </c>
      <c r="B242" s="237" t="s">
        <v>6274</v>
      </c>
      <c r="C242" s="237" t="s">
        <v>6275</v>
      </c>
      <c r="D242" s="237" t="s">
        <v>21</v>
      </c>
      <c r="E242" s="237" t="s">
        <v>21</v>
      </c>
      <c r="F242" s="237" t="s">
        <v>6276</v>
      </c>
      <c r="G242" s="237" t="s">
        <v>21</v>
      </c>
      <c r="H242" s="237" t="s">
        <v>6277</v>
      </c>
      <c r="I242" s="237" t="s">
        <v>21</v>
      </c>
      <c r="J242" s="237" t="s">
        <v>6278</v>
      </c>
      <c r="K242" s="240" t="str">
        <f>IF(COUNTIF(L242:AY242,"&lt;&gt;")=0,"",SUMPRODUCT(((Recommendations[ImplStatus]="Implemented")+(Recommendations[ImplStatus]="Compensated"))*ISNUMBER(MATCH(Recommendations[Id],L242:AY242,0)))/COUNTIF(L242:AY242,"&lt;&gt;"))</f>
        <v/>
      </c>
      <c r="L242" s="243"/>
      <c r="M242" s="243"/>
      <c r="N242" s="243"/>
      <c r="O242" s="243"/>
      <c r="P242" s="243"/>
      <c r="Q242" s="243"/>
      <c r="R242" s="243"/>
      <c r="S242" s="243"/>
      <c r="T242" s="243"/>
      <c r="U242" s="243"/>
      <c r="V242" s="243"/>
      <c r="W242" s="243"/>
      <c r="X242" s="243"/>
      <c r="Y242" s="243"/>
      <c r="Z242" s="243"/>
      <c r="AA242" s="243"/>
      <c r="AB242" s="243"/>
      <c r="AC242" s="243"/>
      <c r="AD242" s="243"/>
      <c r="AE242" s="243"/>
      <c r="AF242" s="243"/>
      <c r="AG242" s="243"/>
      <c r="AH242" s="243"/>
      <c r="AI242" s="243"/>
      <c r="AJ242" s="243"/>
      <c r="AK242" s="243"/>
      <c r="AL242" s="243"/>
      <c r="AM242" s="243"/>
      <c r="AN242" s="243"/>
      <c r="AO242" s="243"/>
      <c r="AP242" s="243"/>
      <c r="AQ242" s="243"/>
      <c r="AR242" s="243"/>
      <c r="AS242" s="243"/>
      <c r="AT242" s="243"/>
      <c r="AU242" s="243"/>
      <c r="AV242" s="243"/>
      <c r="AW242" s="243"/>
      <c r="AX242" s="243"/>
      <c r="AY242" s="253"/>
    </row>
    <row r="243" spans="1:51" ht="60" customHeight="1" outlineLevel="1" x14ac:dyDescent="0.35">
      <c r="A243" s="248" t="s">
        <v>2626</v>
      </c>
      <c r="B243" s="236" t="s">
        <v>6279</v>
      </c>
      <c r="C243" s="236"/>
      <c r="D243" s="236"/>
      <c r="E243" s="236"/>
      <c r="F243" s="236"/>
      <c r="G243" s="236"/>
      <c r="H243" s="236"/>
      <c r="I243" s="236"/>
      <c r="J243" s="236"/>
      <c r="K243" s="239" t="str">
        <f>IF(COUNTIF(L243:AY243,"&lt;&gt;")=0,"",SUMPRODUCT(((Recommendations[ImplStatus]="Implemented")+(Recommendations[ImplStatus]="Compensated"))*ISNUMBER(MATCH(Recommendations[Id],L243:AY243,0)))/COUNTIF(L243:AY243,"&lt;&gt;"))</f>
        <v/>
      </c>
      <c r="L243" s="242"/>
      <c r="M243" s="242"/>
      <c r="N243" s="242"/>
      <c r="O243" s="242"/>
      <c r="P243" s="242"/>
      <c r="Q243" s="242"/>
      <c r="R243" s="242"/>
      <c r="S243" s="242"/>
      <c r="T243" s="242"/>
      <c r="U243" s="242"/>
      <c r="V243" s="242"/>
      <c r="W243" s="242"/>
      <c r="X243" s="242"/>
      <c r="Y243" s="242"/>
      <c r="Z243" s="242"/>
      <c r="AA243" s="242"/>
      <c r="AB243" s="242"/>
      <c r="AC243" s="242"/>
      <c r="AD243" s="242"/>
      <c r="AE243" s="242"/>
      <c r="AF243" s="242"/>
      <c r="AG243" s="242"/>
      <c r="AH243" s="242"/>
      <c r="AI243" s="242"/>
      <c r="AJ243" s="242"/>
      <c r="AK243" s="242"/>
      <c r="AL243" s="242"/>
      <c r="AM243" s="242"/>
      <c r="AN243" s="242"/>
      <c r="AO243" s="242"/>
      <c r="AP243" s="242"/>
      <c r="AQ243" s="242"/>
      <c r="AR243" s="242"/>
      <c r="AS243" s="242"/>
      <c r="AT243" s="242"/>
      <c r="AU243" s="242"/>
      <c r="AV243" s="242"/>
      <c r="AW243" s="242"/>
      <c r="AX243" s="242"/>
      <c r="AY243" s="252"/>
    </row>
    <row r="244" spans="1:51" ht="60" customHeight="1" x14ac:dyDescent="0.35">
      <c r="A244" s="249" t="s">
        <v>6280</v>
      </c>
      <c r="B244" s="237" t="s">
        <v>6281</v>
      </c>
      <c r="C244" s="237" t="s">
        <v>6282</v>
      </c>
      <c r="D244" s="237" t="s">
        <v>21</v>
      </c>
      <c r="E244" s="237" t="s">
        <v>21</v>
      </c>
      <c r="F244" s="237" t="s">
        <v>6283</v>
      </c>
      <c r="G244" s="237" t="s">
        <v>21</v>
      </c>
      <c r="H244" s="237" t="s">
        <v>6284</v>
      </c>
      <c r="I244" s="237" t="s">
        <v>6285</v>
      </c>
      <c r="J244" s="237" t="s">
        <v>6286</v>
      </c>
      <c r="K244" s="240">
        <f>IF(COUNTIF(L244:AY244,"&lt;&gt;")=0,"",SUMPRODUCT(((Recommendations[ImplStatus]="Implemented")+(Recommendations[ImplStatus]="Compensated"))*ISNUMBER(MATCH(Recommendations[Id],L244:AY244,0)))/COUNTIF(L244:AY244,"&lt;&gt;"))</f>
        <v>0</v>
      </c>
      <c r="L244" s="243" t="s">
        <v>1040</v>
      </c>
      <c r="M244" s="243" t="s">
        <v>1060</v>
      </c>
      <c r="N244" s="243"/>
      <c r="O244" s="243"/>
      <c r="P244" s="243"/>
      <c r="Q244" s="243"/>
      <c r="R244" s="243"/>
      <c r="S244" s="243"/>
      <c r="T244" s="243"/>
      <c r="U244" s="243"/>
      <c r="V244" s="243"/>
      <c r="W244" s="243"/>
      <c r="X244" s="243"/>
      <c r="Y244" s="243"/>
      <c r="Z244" s="243"/>
      <c r="AA244" s="243"/>
      <c r="AB244" s="243"/>
      <c r="AC244" s="243"/>
      <c r="AD244" s="243"/>
      <c r="AE244" s="243"/>
      <c r="AF244" s="243"/>
      <c r="AG244" s="243"/>
      <c r="AH244" s="243"/>
      <c r="AI244" s="243"/>
      <c r="AJ244" s="243"/>
      <c r="AK244" s="243"/>
      <c r="AL244" s="243"/>
      <c r="AM244" s="243"/>
      <c r="AN244" s="243"/>
      <c r="AO244" s="243"/>
      <c r="AP244" s="243"/>
      <c r="AQ244" s="243"/>
      <c r="AR244" s="243"/>
      <c r="AS244" s="243"/>
      <c r="AT244" s="243"/>
      <c r="AU244" s="243"/>
      <c r="AV244" s="243"/>
      <c r="AW244" s="243"/>
      <c r="AX244" s="243"/>
      <c r="AY244" s="253"/>
    </row>
    <row r="245" spans="1:51" ht="60" customHeight="1" x14ac:dyDescent="0.35">
      <c r="A245" s="249" t="s">
        <v>6287</v>
      </c>
      <c r="B245" s="237" t="s">
        <v>6288</v>
      </c>
      <c r="C245" s="237" t="s">
        <v>6289</v>
      </c>
      <c r="D245" s="237" t="s">
        <v>6290</v>
      </c>
      <c r="E245" s="237" t="s">
        <v>21</v>
      </c>
      <c r="F245" s="237" t="s">
        <v>21</v>
      </c>
      <c r="G245" s="237" t="s">
        <v>21</v>
      </c>
      <c r="H245" s="237" t="s">
        <v>6291</v>
      </c>
      <c r="I245" s="237" t="s">
        <v>21</v>
      </c>
      <c r="J245" s="237" t="s">
        <v>6292</v>
      </c>
      <c r="K245" s="240">
        <f>IF(COUNTIF(L245:AY245,"&lt;&gt;")=0,"",SUMPRODUCT(((Recommendations[ImplStatus]="Implemented")+(Recommendations[ImplStatus]="Compensated"))*ISNUMBER(MATCH(Recommendations[Id],L245:AY245,0)))/COUNTIF(L245:AY245,"&lt;&gt;"))</f>
        <v>0</v>
      </c>
      <c r="L245" s="243" t="s">
        <v>1060</v>
      </c>
      <c r="M245" s="243"/>
      <c r="N245" s="243"/>
      <c r="O245" s="243"/>
      <c r="P245" s="243"/>
      <c r="Q245" s="243"/>
      <c r="R245" s="243"/>
      <c r="S245" s="243"/>
      <c r="T245" s="243"/>
      <c r="U245" s="243"/>
      <c r="V245" s="243"/>
      <c r="W245" s="243"/>
      <c r="X245" s="243"/>
      <c r="Y245" s="243"/>
      <c r="Z245" s="243"/>
      <c r="AA245" s="243"/>
      <c r="AB245" s="243"/>
      <c r="AC245" s="243"/>
      <c r="AD245" s="243"/>
      <c r="AE245" s="243"/>
      <c r="AF245" s="243"/>
      <c r="AG245" s="243"/>
      <c r="AH245" s="243"/>
      <c r="AI245" s="243"/>
      <c r="AJ245" s="243"/>
      <c r="AK245" s="243"/>
      <c r="AL245" s="243"/>
      <c r="AM245" s="243"/>
      <c r="AN245" s="243"/>
      <c r="AO245" s="243"/>
      <c r="AP245" s="243"/>
      <c r="AQ245" s="243"/>
      <c r="AR245" s="243"/>
      <c r="AS245" s="243"/>
      <c r="AT245" s="243"/>
      <c r="AU245" s="243"/>
      <c r="AV245" s="243"/>
      <c r="AW245" s="243"/>
      <c r="AX245" s="243"/>
      <c r="AY245" s="253"/>
    </row>
    <row r="246" spans="1:51" ht="60" customHeight="1" x14ac:dyDescent="0.35">
      <c r="A246" s="249" t="s">
        <v>6293</v>
      </c>
      <c r="B246" s="237" t="s">
        <v>6294</v>
      </c>
      <c r="C246" s="237" t="s">
        <v>6295</v>
      </c>
      <c r="D246" s="237" t="s">
        <v>21</v>
      </c>
      <c r="E246" s="237" t="s">
        <v>21</v>
      </c>
      <c r="F246" s="237" t="s">
        <v>21</v>
      </c>
      <c r="G246" s="237" t="s">
        <v>21</v>
      </c>
      <c r="H246" s="237" t="s">
        <v>6296</v>
      </c>
      <c r="I246" s="237" t="s">
        <v>21</v>
      </c>
      <c r="J246" s="237" t="s">
        <v>6297</v>
      </c>
      <c r="K246" s="240" t="str">
        <f>IF(COUNTIF(L246:AY246,"&lt;&gt;")=0,"",SUMPRODUCT(((Recommendations[ImplStatus]="Implemented")+(Recommendations[ImplStatus]="Compensated"))*ISNUMBER(MATCH(Recommendations[Id],L246:AY246,0)))/COUNTIF(L246:AY246,"&lt;&gt;"))</f>
        <v/>
      </c>
      <c r="L246" s="243"/>
      <c r="M246" s="243"/>
      <c r="N246" s="243"/>
      <c r="O246" s="243"/>
      <c r="P246" s="243"/>
      <c r="Q246" s="243"/>
      <c r="R246" s="243"/>
      <c r="S246" s="243"/>
      <c r="T246" s="243"/>
      <c r="U246" s="243"/>
      <c r="V246" s="243"/>
      <c r="W246" s="243"/>
      <c r="X246" s="243"/>
      <c r="Y246" s="243"/>
      <c r="Z246" s="243"/>
      <c r="AA246" s="243"/>
      <c r="AB246" s="243"/>
      <c r="AC246" s="243"/>
      <c r="AD246" s="243"/>
      <c r="AE246" s="243"/>
      <c r="AF246" s="243"/>
      <c r="AG246" s="243"/>
      <c r="AH246" s="243"/>
      <c r="AI246" s="243"/>
      <c r="AJ246" s="243"/>
      <c r="AK246" s="243"/>
      <c r="AL246" s="243"/>
      <c r="AM246" s="243"/>
      <c r="AN246" s="243"/>
      <c r="AO246" s="243"/>
      <c r="AP246" s="243"/>
      <c r="AQ246" s="243"/>
      <c r="AR246" s="243"/>
      <c r="AS246" s="243"/>
      <c r="AT246" s="243"/>
      <c r="AU246" s="243"/>
      <c r="AV246" s="243"/>
      <c r="AW246" s="243"/>
      <c r="AX246" s="243"/>
      <c r="AY246" s="253"/>
    </row>
    <row r="247" spans="1:51" ht="60" customHeight="1" outlineLevel="1" x14ac:dyDescent="0.35">
      <c r="A247" s="248" t="s">
        <v>2630</v>
      </c>
      <c r="B247" s="236" t="s">
        <v>6298</v>
      </c>
      <c r="C247" s="236"/>
      <c r="D247" s="236"/>
      <c r="E247" s="236"/>
      <c r="F247" s="236"/>
      <c r="G247" s="236"/>
      <c r="H247" s="236"/>
      <c r="I247" s="236"/>
      <c r="J247" s="236"/>
      <c r="K247" s="239" t="str">
        <f>IF(COUNTIF(L247:AY247,"&lt;&gt;")=0,"",SUMPRODUCT(((Recommendations[ImplStatus]="Implemented")+(Recommendations[ImplStatus]="Compensated"))*ISNUMBER(MATCH(Recommendations[Id],L247:AY247,0)))/COUNTIF(L247:AY247,"&lt;&gt;"))</f>
        <v/>
      </c>
      <c r="L247" s="242"/>
      <c r="M247" s="242"/>
      <c r="N247" s="242"/>
      <c r="O247" s="242"/>
      <c r="P247" s="242"/>
      <c r="Q247" s="242"/>
      <c r="R247" s="242"/>
      <c r="S247" s="242"/>
      <c r="T247" s="242"/>
      <c r="U247" s="242"/>
      <c r="V247" s="242"/>
      <c r="W247" s="242"/>
      <c r="X247" s="242"/>
      <c r="Y247" s="242"/>
      <c r="Z247" s="242"/>
      <c r="AA247" s="242"/>
      <c r="AB247" s="242"/>
      <c r="AC247" s="242"/>
      <c r="AD247" s="242"/>
      <c r="AE247" s="242"/>
      <c r="AF247" s="242"/>
      <c r="AG247" s="242"/>
      <c r="AH247" s="242"/>
      <c r="AI247" s="242"/>
      <c r="AJ247" s="242"/>
      <c r="AK247" s="242"/>
      <c r="AL247" s="242"/>
      <c r="AM247" s="242"/>
      <c r="AN247" s="242"/>
      <c r="AO247" s="242"/>
      <c r="AP247" s="242"/>
      <c r="AQ247" s="242"/>
      <c r="AR247" s="242"/>
      <c r="AS247" s="242"/>
      <c r="AT247" s="242"/>
      <c r="AU247" s="242"/>
      <c r="AV247" s="242"/>
      <c r="AW247" s="242"/>
      <c r="AX247" s="242"/>
      <c r="AY247" s="252"/>
    </row>
    <row r="248" spans="1:51" ht="60" customHeight="1" x14ac:dyDescent="0.35">
      <c r="A248" s="249" t="s">
        <v>6299</v>
      </c>
      <c r="B248" s="237" t="s">
        <v>6300</v>
      </c>
      <c r="C248" s="237" t="s">
        <v>6301</v>
      </c>
      <c r="D248" s="237" t="s">
        <v>6302</v>
      </c>
      <c r="E248" s="237" t="s">
        <v>21</v>
      </c>
      <c r="F248" s="237" t="s">
        <v>21</v>
      </c>
      <c r="G248" s="237" t="s">
        <v>21</v>
      </c>
      <c r="H248" s="237" t="s">
        <v>6303</v>
      </c>
      <c r="I248" s="237" t="s">
        <v>6304</v>
      </c>
      <c r="J248" s="237" t="s">
        <v>6305</v>
      </c>
      <c r="K248" s="240" t="str">
        <f>IF(COUNTIF(L248:AY248,"&lt;&gt;")=0,"",SUMPRODUCT(((Recommendations[ImplStatus]="Implemented")+(Recommendations[ImplStatus]="Compensated"))*ISNUMBER(MATCH(Recommendations[Id],L248:AY248,0)))/COUNTIF(L248:AY248,"&lt;&gt;"))</f>
        <v/>
      </c>
      <c r="L248" s="243"/>
      <c r="M248" s="243"/>
      <c r="N248" s="243"/>
      <c r="O248" s="243"/>
      <c r="P248" s="243"/>
      <c r="Q248" s="243"/>
      <c r="R248" s="243"/>
      <c r="S248" s="243"/>
      <c r="T248" s="243"/>
      <c r="U248" s="243"/>
      <c r="V248" s="243"/>
      <c r="W248" s="243"/>
      <c r="X248" s="243"/>
      <c r="Y248" s="243"/>
      <c r="Z248" s="243"/>
      <c r="AA248" s="243"/>
      <c r="AB248" s="243"/>
      <c r="AC248" s="243"/>
      <c r="AD248" s="243"/>
      <c r="AE248" s="243"/>
      <c r="AF248" s="243"/>
      <c r="AG248" s="243"/>
      <c r="AH248" s="243"/>
      <c r="AI248" s="243"/>
      <c r="AJ248" s="243"/>
      <c r="AK248" s="243"/>
      <c r="AL248" s="243"/>
      <c r="AM248" s="243"/>
      <c r="AN248" s="243"/>
      <c r="AO248" s="243"/>
      <c r="AP248" s="243"/>
      <c r="AQ248" s="243"/>
      <c r="AR248" s="243"/>
      <c r="AS248" s="243"/>
      <c r="AT248" s="243"/>
      <c r="AU248" s="243"/>
      <c r="AV248" s="243"/>
      <c r="AW248" s="243"/>
      <c r="AX248" s="243"/>
      <c r="AY248" s="253"/>
    </row>
    <row r="249" spans="1:51" ht="60" customHeight="1" x14ac:dyDescent="0.35">
      <c r="A249" s="249" t="s">
        <v>6306</v>
      </c>
      <c r="B249" s="237" t="s">
        <v>6307</v>
      </c>
      <c r="C249" s="237" t="s">
        <v>6301</v>
      </c>
      <c r="D249" s="237" t="s">
        <v>6308</v>
      </c>
      <c r="E249" s="237" t="s">
        <v>21</v>
      </c>
      <c r="F249" s="237" t="s">
        <v>21</v>
      </c>
      <c r="G249" s="237" t="s">
        <v>21</v>
      </c>
      <c r="H249" s="237" t="s">
        <v>6303</v>
      </c>
      <c r="I249" s="237" t="s">
        <v>6309</v>
      </c>
      <c r="J249" s="237" t="s">
        <v>6310</v>
      </c>
      <c r="K249" s="240">
        <f>IF(COUNTIF(L249:AY249,"&lt;&gt;")=0,"",SUMPRODUCT(((Recommendations[ImplStatus]="Implemented")+(Recommendations[ImplStatus]="Compensated"))*ISNUMBER(MATCH(Recommendations[Id],L249:AY249,0)))/COUNTIF(L249:AY249,"&lt;&gt;"))</f>
        <v>0</v>
      </c>
      <c r="L249" s="243" t="s">
        <v>195</v>
      </c>
      <c r="M249" s="243" t="s">
        <v>200</v>
      </c>
      <c r="N249" s="243" t="s">
        <v>380</v>
      </c>
      <c r="O249" s="243" t="s">
        <v>1032</v>
      </c>
      <c r="P249" s="243" t="s">
        <v>1037</v>
      </c>
      <c r="Q249" s="243" t="s">
        <v>1437</v>
      </c>
      <c r="R249" s="243" t="s">
        <v>1797</v>
      </c>
      <c r="S249" s="243"/>
      <c r="T249" s="243"/>
      <c r="U249" s="243"/>
      <c r="V249" s="243"/>
      <c r="W249" s="243"/>
      <c r="X249" s="243"/>
      <c r="Y249" s="243"/>
      <c r="Z249" s="243"/>
      <c r="AA249" s="243"/>
      <c r="AB249" s="243"/>
      <c r="AC249" s="243"/>
      <c r="AD249" s="243"/>
      <c r="AE249" s="243"/>
      <c r="AF249" s="243"/>
      <c r="AG249" s="243"/>
      <c r="AH249" s="243"/>
      <c r="AI249" s="243"/>
      <c r="AJ249" s="243"/>
      <c r="AK249" s="243"/>
      <c r="AL249" s="243"/>
      <c r="AM249" s="243"/>
      <c r="AN249" s="243"/>
      <c r="AO249" s="243"/>
      <c r="AP249" s="243"/>
      <c r="AQ249" s="243"/>
      <c r="AR249" s="243"/>
      <c r="AS249" s="243"/>
      <c r="AT249" s="243"/>
      <c r="AU249" s="243"/>
      <c r="AV249" s="243"/>
      <c r="AW249" s="243"/>
      <c r="AX249" s="243"/>
      <c r="AY249" s="253"/>
    </row>
    <row r="250" spans="1:51" ht="60" customHeight="1" x14ac:dyDescent="0.35">
      <c r="A250" s="249" t="s">
        <v>6311</v>
      </c>
      <c r="B250" s="237" t="s">
        <v>6312</v>
      </c>
      <c r="C250" s="237" t="s">
        <v>6313</v>
      </c>
      <c r="D250" s="237" t="s">
        <v>6314</v>
      </c>
      <c r="E250" s="237" t="s">
        <v>21</v>
      </c>
      <c r="F250" s="237" t="s">
        <v>21</v>
      </c>
      <c r="G250" s="237" t="s">
        <v>21</v>
      </c>
      <c r="H250" s="237" t="s">
        <v>6315</v>
      </c>
      <c r="I250" s="237" t="s">
        <v>21</v>
      </c>
      <c r="J250" s="237" t="s">
        <v>6316</v>
      </c>
      <c r="K250" s="240" t="str">
        <f>IF(COUNTIF(L250:AY250,"&lt;&gt;")=0,"",SUMPRODUCT(((Recommendations[ImplStatus]="Implemented")+(Recommendations[ImplStatus]="Compensated"))*ISNUMBER(MATCH(Recommendations[Id],L250:AY250,0)))/COUNTIF(L250:AY250,"&lt;&gt;"))</f>
        <v/>
      </c>
      <c r="L250" s="243"/>
      <c r="M250" s="243"/>
      <c r="N250" s="243"/>
      <c r="O250" s="243"/>
      <c r="P250" s="243"/>
      <c r="Q250" s="243"/>
      <c r="R250" s="243"/>
      <c r="S250" s="243"/>
      <c r="T250" s="243"/>
      <c r="U250" s="243"/>
      <c r="V250" s="243"/>
      <c r="W250" s="243"/>
      <c r="X250" s="243"/>
      <c r="Y250" s="243"/>
      <c r="Z250" s="243"/>
      <c r="AA250" s="243"/>
      <c r="AB250" s="243"/>
      <c r="AC250" s="243"/>
      <c r="AD250" s="243"/>
      <c r="AE250" s="243"/>
      <c r="AF250" s="243"/>
      <c r="AG250" s="243"/>
      <c r="AH250" s="243"/>
      <c r="AI250" s="243"/>
      <c r="AJ250" s="243"/>
      <c r="AK250" s="243"/>
      <c r="AL250" s="243"/>
      <c r="AM250" s="243"/>
      <c r="AN250" s="243"/>
      <c r="AO250" s="243"/>
      <c r="AP250" s="243"/>
      <c r="AQ250" s="243"/>
      <c r="AR250" s="243"/>
      <c r="AS250" s="243"/>
      <c r="AT250" s="243"/>
      <c r="AU250" s="243"/>
      <c r="AV250" s="243"/>
      <c r="AW250" s="243"/>
      <c r="AX250" s="243"/>
      <c r="AY250" s="253"/>
    </row>
    <row r="251" spans="1:51" ht="60" customHeight="1" outlineLevel="1" x14ac:dyDescent="0.35">
      <c r="A251" s="247" t="s">
        <v>6317</v>
      </c>
      <c r="B251" s="235" t="s">
        <v>6318</v>
      </c>
      <c r="C251" s="235"/>
      <c r="D251" s="235"/>
      <c r="E251" s="235"/>
      <c r="F251" s="235"/>
      <c r="G251" s="235"/>
      <c r="H251" s="235"/>
      <c r="I251" s="235"/>
      <c r="J251" s="235"/>
      <c r="K251" s="238" t="str">
        <f>IF(COUNTIF(L251:AY251,"&lt;&gt;")=0,"",SUMPRODUCT(((Recommendations[ImplStatus]="Implemented")+(Recommendations[ImplStatus]="Compensated"))*ISNUMBER(MATCH(Recommendations[Id],L251:AY251,0)))/COUNTIF(L251:AY251,"&lt;&gt;"))</f>
        <v/>
      </c>
      <c r="L251" s="241"/>
      <c r="M251" s="241"/>
      <c r="N251" s="241"/>
      <c r="O251" s="241"/>
      <c r="P251" s="241"/>
      <c r="Q251" s="241"/>
      <c r="R251" s="241"/>
      <c r="S251" s="241"/>
      <c r="T251" s="241"/>
      <c r="U251" s="241"/>
      <c r="V251" s="241"/>
      <c r="W251" s="241"/>
      <c r="X251" s="241"/>
      <c r="Y251" s="241"/>
      <c r="Z251" s="241"/>
      <c r="AA251" s="241"/>
      <c r="AB251" s="241"/>
      <c r="AC251" s="241"/>
      <c r="AD251" s="241"/>
      <c r="AE251" s="241"/>
      <c r="AF251" s="241"/>
      <c r="AG251" s="241"/>
      <c r="AH251" s="241"/>
      <c r="AI251" s="241"/>
      <c r="AJ251" s="241"/>
      <c r="AK251" s="241"/>
      <c r="AL251" s="241"/>
      <c r="AM251" s="241"/>
      <c r="AN251" s="241"/>
      <c r="AO251" s="241"/>
      <c r="AP251" s="241"/>
      <c r="AQ251" s="241"/>
      <c r="AR251" s="241"/>
      <c r="AS251" s="241"/>
      <c r="AT251" s="241"/>
      <c r="AU251" s="241"/>
      <c r="AV251" s="241"/>
      <c r="AW251" s="241"/>
      <c r="AX251" s="241"/>
      <c r="AY251" s="251"/>
    </row>
    <row r="252" spans="1:51" ht="60" customHeight="1" outlineLevel="1" x14ac:dyDescent="0.35">
      <c r="A252" s="248" t="s">
        <v>2636</v>
      </c>
      <c r="B252" s="236" t="s">
        <v>6319</v>
      </c>
      <c r="C252" s="236"/>
      <c r="D252" s="236"/>
      <c r="E252" s="236"/>
      <c r="F252" s="236"/>
      <c r="G252" s="236"/>
      <c r="H252" s="236"/>
      <c r="I252" s="236"/>
      <c r="J252" s="236"/>
      <c r="K252" s="239" t="str">
        <f>IF(COUNTIF(L252:AY252,"&lt;&gt;")=0,"",SUMPRODUCT(((Recommendations[ImplStatus]="Implemented")+(Recommendations[ImplStatus]="Compensated"))*ISNUMBER(MATCH(Recommendations[Id],L252:AY252,0)))/COUNTIF(L252:AY252,"&lt;&gt;"))</f>
        <v/>
      </c>
      <c r="L252" s="242"/>
      <c r="M252" s="242"/>
      <c r="N252" s="242"/>
      <c r="O252" s="242"/>
      <c r="P252" s="242"/>
      <c r="Q252" s="242"/>
      <c r="R252" s="242"/>
      <c r="S252" s="242"/>
      <c r="T252" s="242"/>
      <c r="U252" s="242"/>
      <c r="V252" s="242"/>
      <c r="W252" s="242"/>
      <c r="X252" s="242"/>
      <c r="Y252" s="242"/>
      <c r="Z252" s="242"/>
      <c r="AA252" s="242"/>
      <c r="AB252" s="242"/>
      <c r="AC252" s="242"/>
      <c r="AD252" s="242"/>
      <c r="AE252" s="242"/>
      <c r="AF252" s="242"/>
      <c r="AG252" s="242"/>
      <c r="AH252" s="242"/>
      <c r="AI252" s="242"/>
      <c r="AJ252" s="242"/>
      <c r="AK252" s="242"/>
      <c r="AL252" s="242"/>
      <c r="AM252" s="242"/>
      <c r="AN252" s="242"/>
      <c r="AO252" s="242"/>
      <c r="AP252" s="242"/>
      <c r="AQ252" s="242"/>
      <c r="AR252" s="242"/>
      <c r="AS252" s="242"/>
      <c r="AT252" s="242"/>
      <c r="AU252" s="242"/>
      <c r="AV252" s="242"/>
      <c r="AW252" s="242"/>
      <c r="AX252" s="242"/>
      <c r="AY252" s="252"/>
    </row>
    <row r="253" spans="1:51" ht="60" customHeight="1" x14ac:dyDescent="0.35">
      <c r="A253" s="249" t="s">
        <v>6320</v>
      </c>
      <c r="B253" s="237" t="s">
        <v>6321</v>
      </c>
      <c r="C253" s="237" t="s">
        <v>6322</v>
      </c>
      <c r="D253" s="237" t="s">
        <v>5255</v>
      </c>
      <c r="E253" s="237" t="s">
        <v>5041</v>
      </c>
      <c r="F253" s="237" t="s">
        <v>21</v>
      </c>
      <c r="G253" s="237" t="s">
        <v>21</v>
      </c>
      <c r="H253" s="237" t="s">
        <v>6323</v>
      </c>
      <c r="I253" s="237" t="s">
        <v>21</v>
      </c>
      <c r="J253" s="237" t="s">
        <v>6324</v>
      </c>
      <c r="K253" s="240" t="str">
        <f>IF(COUNTIF(L253:AY253,"&lt;&gt;")=0,"",SUMPRODUCT(((Recommendations[ImplStatus]="Implemented")+(Recommendations[ImplStatus]="Compensated"))*ISNUMBER(MATCH(Recommendations[Id],L253:AY253,0)))/COUNTIF(L253:AY253,"&lt;&gt;"))</f>
        <v/>
      </c>
      <c r="L253" s="243"/>
      <c r="M253" s="243"/>
      <c r="N253" s="243"/>
      <c r="O253" s="243"/>
      <c r="P253" s="243"/>
      <c r="Q253" s="243"/>
      <c r="R253" s="243"/>
      <c r="S253" s="243"/>
      <c r="T253" s="243"/>
      <c r="U253" s="243"/>
      <c r="V253" s="243"/>
      <c r="W253" s="243"/>
      <c r="X253" s="243"/>
      <c r="Y253" s="243"/>
      <c r="Z253" s="243"/>
      <c r="AA253" s="243"/>
      <c r="AB253" s="243"/>
      <c r="AC253" s="243"/>
      <c r="AD253" s="243"/>
      <c r="AE253" s="243"/>
      <c r="AF253" s="243"/>
      <c r="AG253" s="243"/>
      <c r="AH253" s="243"/>
      <c r="AI253" s="243"/>
      <c r="AJ253" s="243"/>
      <c r="AK253" s="243"/>
      <c r="AL253" s="243"/>
      <c r="AM253" s="243"/>
      <c r="AN253" s="243"/>
      <c r="AO253" s="243"/>
      <c r="AP253" s="243"/>
      <c r="AQ253" s="243"/>
      <c r="AR253" s="243"/>
      <c r="AS253" s="243"/>
      <c r="AT253" s="243"/>
      <c r="AU253" s="243"/>
      <c r="AV253" s="243"/>
      <c r="AW253" s="243"/>
      <c r="AX253" s="243"/>
      <c r="AY253" s="253"/>
    </row>
    <row r="254" spans="1:51" ht="60" customHeight="1" x14ac:dyDescent="0.35">
      <c r="A254" s="249" t="s">
        <v>6325</v>
      </c>
      <c r="B254" s="237" t="s">
        <v>6326</v>
      </c>
      <c r="C254" s="237" t="s">
        <v>5046</v>
      </c>
      <c r="D254" s="237" t="s">
        <v>5047</v>
      </c>
      <c r="E254" s="237" t="s">
        <v>21</v>
      </c>
      <c r="F254" s="237" t="s">
        <v>5049</v>
      </c>
      <c r="G254" s="237" t="s">
        <v>21</v>
      </c>
      <c r="H254" s="237" t="s">
        <v>6327</v>
      </c>
      <c r="I254" s="237" t="s">
        <v>21</v>
      </c>
      <c r="J254" s="237" t="s">
        <v>6328</v>
      </c>
      <c r="K254" s="240" t="str">
        <f>IF(COUNTIF(L254:AY254,"&lt;&gt;")=0,"",SUMPRODUCT(((Recommendations[ImplStatus]="Implemented")+(Recommendations[ImplStatus]="Compensated"))*ISNUMBER(MATCH(Recommendations[Id],L254:AY254,0)))/COUNTIF(L254:AY254,"&lt;&gt;"))</f>
        <v/>
      </c>
      <c r="L254" s="243"/>
      <c r="M254" s="243"/>
      <c r="N254" s="243"/>
      <c r="O254" s="243"/>
      <c r="P254" s="243"/>
      <c r="Q254" s="243"/>
      <c r="R254" s="243"/>
      <c r="S254" s="243"/>
      <c r="T254" s="243"/>
      <c r="U254" s="243"/>
      <c r="V254" s="243"/>
      <c r="W254" s="243"/>
      <c r="X254" s="243"/>
      <c r="Y254" s="243"/>
      <c r="Z254" s="243"/>
      <c r="AA254" s="243"/>
      <c r="AB254" s="243"/>
      <c r="AC254" s="243"/>
      <c r="AD254" s="243"/>
      <c r="AE254" s="243"/>
      <c r="AF254" s="243"/>
      <c r="AG254" s="243"/>
      <c r="AH254" s="243"/>
      <c r="AI254" s="243"/>
      <c r="AJ254" s="243"/>
      <c r="AK254" s="243"/>
      <c r="AL254" s="243"/>
      <c r="AM254" s="243"/>
      <c r="AN254" s="243"/>
      <c r="AO254" s="243"/>
      <c r="AP254" s="243"/>
      <c r="AQ254" s="243"/>
      <c r="AR254" s="243"/>
      <c r="AS254" s="243"/>
      <c r="AT254" s="243"/>
      <c r="AU254" s="243"/>
      <c r="AV254" s="243"/>
      <c r="AW254" s="243"/>
      <c r="AX254" s="243"/>
      <c r="AY254" s="253"/>
    </row>
    <row r="255" spans="1:51" ht="60" customHeight="1" outlineLevel="1" x14ac:dyDescent="0.35">
      <c r="A255" s="248" t="s">
        <v>2640</v>
      </c>
      <c r="B255" s="236" t="s">
        <v>6329</v>
      </c>
      <c r="C255" s="236"/>
      <c r="D255" s="236"/>
      <c r="E255" s="236"/>
      <c r="F255" s="236"/>
      <c r="G255" s="236"/>
      <c r="H255" s="236"/>
      <c r="I255" s="236"/>
      <c r="J255" s="236"/>
      <c r="K255" s="239" t="str">
        <f>IF(COUNTIF(L255:AY255,"&lt;&gt;")=0,"",SUMPRODUCT(((Recommendations[ImplStatus]="Implemented")+(Recommendations[ImplStatus]="Compensated"))*ISNUMBER(MATCH(Recommendations[Id],L255:AY255,0)))/COUNTIF(L255:AY255,"&lt;&gt;"))</f>
        <v/>
      </c>
      <c r="L255" s="242"/>
      <c r="M255" s="242"/>
      <c r="N255" s="242"/>
      <c r="O255" s="242"/>
      <c r="P255" s="242"/>
      <c r="Q255" s="242"/>
      <c r="R255" s="242"/>
      <c r="S255" s="242"/>
      <c r="T255" s="242"/>
      <c r="U255" s="242"/>
      <c r="V255" s="242"/>
      <c r="W255" s="242"/>
      <c r="X255" s="242"/>
      <c r="Y255" s="242"/>
      <c r="Z255" s="242"/>
      <c r="AA255" s="242"/>
      <c r="AB255" s="242"/>
      <c r="AC255" s="242"/>
      <c r="AD255" s="242"/>
      <c r="AE255" s="242"/>
      <c r="AF255" s="242"/>
      <c r="AG255" s="242"/>
      <c r="AH255" s="242"/>
      <c r="AI255" s="242"/>
      <c r="AJ255" s="242"/>
      <c r="AK255" s="242"/>
      <c r="AL255" s="242"/>
      <c r="AM255" s="242"/>
      <c r="AN255" s="242"/>
      <c r="AO255" s="242"/>
      <c r="AP255" s="242"/>
      <c r="AQ255" s="242"/>
      <c r="AR255" s="242"/>
      <c r="AS255" s="242"/>
      <c r="AT255" s="242"/>
      <c r="AU255" s="242"/>
      <c r="AV255" s="242"/>
      <c r="AW255" s="242"/>
      <c r="AX255" s="242"/>
      <c r="AY255" s="252"/>
    </row>
    <row r="256" spans="1:51" ht="60" customHeight="1" x14ac:dyDescent="0.35">
      <c r="A256" s="249" t="s">
        <v>6330</v>
      </c>
      <c r="B256" s="237" t="s">
        <v>6331</v>
      </c>
      <c r="C256" s="237" t="s">
        <v>6332</v>
      </c>
      <c r="D256" s="237" t="s">
        <v>6333</v>
      </c>
      <c r="E256" s="237" t="s">
        <v>6334</v>
      </c>
      <c r="F256" s="237" t="s">
        <v>6335</v>
      </c>
      <c r="G256" s="237" t="s">
        <v>21</v>
      </c>
      <c r="H256" s="237" t="s">
        <v>6336</v>
      </c>
      <c r="I256" s="237" t="s">
        <v>21</v>
      </c>
      <c r="J256" s="237" t="s">
        <v>6337</v>
      </c>
      <c r="K256" s="240" t="str">
        <f>IF(COUNTIF(L256:AY256,"&lt;&gt;")=0,"",SUMPRODUCT(((Recommendations[ImplStatus]="Implemented")+(Recommendations[ImplStatus]="Compensated"))*ISNUMBER(MATCH(Recommendations[Id],L256:AY256,0)))/COUNTIF(L256:AY256,"&lt;&gt;"))</f>
        <v/>
      </c>
      <c r="L256" s="243"/>
      <c r="M256" s="243"/>
      <c r="N256" s="243"/>
      <c r="O256" s="243"/>
      <c r="P256" s="243"/>
      <c r="Q256" s="243"/>
      <c r="R256" s="243"/>
      <c r="S256" s="243"/>
      <c r="T256" s="243"/>
      <c r="U256" s="243"/>
      <c r="V256" s="243"/>
      <c r="W256" s="243"/>
      <c r="X256" s="243"/>
      <c r="Y256" s="243"/>
      <c r="Z256" s="243"/>
      <c r="AA256" s="243"/>
      <c r="AB256" s="243"/>
      <c r="AC256" s="243"/>
      <c r="AD256" s="243"/>
      <c r="AE256" s="243"/>
      <c r="AF256" s="243"/>
      <c r="AG256" s="243"/>
      <c r="AH256" s="243"/>
      <c r="AI256" s="243"/>
      <c r="AJ256" s="243"/>
      <c r="AK256" s="243"/>
      <c r="AL256" s="243"/>
      <c r="AM256" s="243"/>
      <c r="AN256" s="243"/>
      <c r="AO256" s="243"/>
      <c r="AP256" s="243"/>
      <c r="AQ256" s="243"/>
      <c r="AR256" s="243"/>
      <c r="AS256" s="243"/>
      <c r="AT256" s="243"/>
      <c r="AU256" s="243"/>
      <c r="AV256" s="243"/>
      <c r="AW256" s="243"/>
      <c r="AX256" s="243"/>
      <c r="AY256" s="253"/>
    </row>
    <row r="257" spans="1:51" ht="60" customHeight="1" x14ac:dyDescent="0.35">
      <c r="A257" s="249" t="s">
        <v>6338</v>
      </c>
      <c r="B257" s="237" t="s">
        <v>6339</v>
      </c>
      <c r="C257" s="237" t="s">
        <v>6340</v>
      </c>
      <c r="D257" s="237" t="s">
        <v>6341</v>
      </c>
      <c r="E257" s="237" t="s">
        <v>21</v>
      </c>
      <c r="F257" s="237" t="s">
        <v>21</v>
      </c>
      <c r="G257" s="237" t="s">
        <v>21</v>
      </c>
      <c r="H257" s="237" t="s">
        <v>6342</v>
      </c>
      <c r="I257" s="237" t="s">
        <v>21</v>
      </c>
      <c r="J257" s="237" t="s">
        <v>6343</v>
      </c>
      <c r="K257" s="240" t="str">
        <f>IF(COUNTIF(L257:AY257,"&lt;&gt;")=0,"",SUMPRODUCT(((Recommendations[ImplStatus]="Implemented")+(Recommendations[ImplStatus]="Compensated"))*ISNUMBER(MATCH(Recommendations[Id],L257:AY257,0)))/COUNTIF(L257:AY257,"&lt;&gt;"))</f>
        <v/>
      </c>
      <c r="L257" s="243"/>
      <c r="M257" s="243"/>
      <c r="N257" s="243"/>
      <c r="O257" s="243"/>
      <c r="P257" s="243"/>
      <c r="Q257" s="243"/>
      <c r="R257" s="243"/>
      <c r="S257" s="243"/>
      <c r="T257" s="243"/>
      <c r="U257" s="243"/>
      <c r="V257" s="243"/>
      <c r="W257" s="243"/>
      <c r="X257" s="243"/>
      <c r="Y257" s="243"/>
      <c r="Z257" s="243"/>
      <c r="AA257" s="243"/>
      <c r="AB257" s="243"/>
      <c r="AC257" s="243"/>
      <c r="AD257" s="243"/>
      <c r="AE257" s="243"/>
      <c r="AF257" s="243"/>
      <c r="AG257" s="243"/>
      <c r="AH257" s="243"/>
      <c r="AI257" s="243"/>
      <c r="AJ257" s="243"/>
      <c r="AK257" s="243"/>
      <c r="AL257" s="243"/>
      <c r="AM257" s="243"/>
      <c r="AN257" s="243"/>
      <c r="AO257" s="243"/>
      <c r="AP257" s="243"/>
      <c r="AQ257" s="243"/>
      <c r="AR257" s="243"/>
      <c r="AS257" s="243"/>
      <c r="AT257" s="243"/>
      <c r="AU257" s="243"/>
      <c r="AV257" s="243"/>
      <c r="AW257" s="243"/>
      <c r="AX257" s="243"/>
      <c r="AY257" s="253"/>
    </row>
    <row r="258" spans="1:51" ht="60" customHeight="1" outlineLevel="1" x14ac:dyDescent="0.35">
      <c r="A258" s="248" t="s">
        <v>2645</v>
      </c>
      <c r="B258" s="236" t="s">
        <v>6344</v>
      </c>
      <c r="C258" s="236"/>
      <c r="D258" s="236"/>
      <c r="E258" s="236"/>
      <c r="F258" s="236"/>
      <c r="G258" s="236"/>
      <c r="H258" s="236"/>
      <c r="I258" s="236"/>
      <c r="J258" s="236"/>
      <c r="K258" s="239" t="str">
        <f>IF(COUNTIF(L258:AY258,"&lt;&gt;")=0,"",SUMPRODUCT(((Recommendations[ImplStatus]="Implemented")+(Recommendations[ImplStatus]="Compensated"))*ISNUMBER(MATCH(Recommendations[Id],L258:AY258,0)))/COUNTIF(L258:AY258,"&lt;&gt;"))</f>
        <v/>
      </c>
      <c r="L258" s="242"/>
      <c r="M258" s="242"/>
      <c r="N258" s="242"/>
      <c r="O258" s="242"/>
      <c r="P258" s="242"/>
      <c r="Q258" s="242"/>
      <c r="R258" s="242"/>
      <c r="S258" s="242"/>
      <c r="T258" s="242"/>
      <c r="U258" s="242"/>
      <c r="V258" s="242"/>
      <c r="W258" s="242"/>
      <c r="X258" s="242"/>
      <c r="Y258" s="242"/>
      <c r="Z258" s="242"/>
      <c r="AA258" s="242"/>
      <c r="AB258" s="242"/>
      <c r="AC258" s="242"/>
      <c r="AD258" s="242"/>
      <c r="AE258" s="242"/>
      <c r="AF258" s="242"/>
      <c r="AG258" s="242"/>
      <c r="AH258" s="242"/>
      <c r="AI258" s="242"/>
      <c r="AJ258" s="242"/>
      <c r="AK258" s="242"/>
      <c r="AL258" s="242"/>
      <c r="AM258" s="242"/>
      <c r="AN258" s="242"/>
      <c r="AO258" s="242"/>
      <c r="AP258" s="242"/>
      <c r="AQ258" s="242"/>
      <c r="AR258" s="242"/>
      <c r="AS258" s="242"/>
      <c r="AT258" s="242"/>
      <c r="AU258" s="242"/>
      <c r="AV258" s="242"/>
      <c r="AW258" s="242"/>
      <c r="AX258" s="242"/>
      <c r="AY258" s="252"/>
    </row>
    <row r="259" spans="1:51" ht="60" customHeight="1" x14ac:dyDescent="0.35">
      <c r="A259" s="249" t="s">
        <v>6345</v>
      </c>
      <c r="B259" s="237" t="s">
        <v>6346</v>
      </c>
      <c r="C259" s="237" t="s">
        <v>6347</v>
      </c>
      <c r="D259" s="237" t="s">
        <v>6348</v>
      </c>
      <c r="E259" s="237" t="s">
        <v>6349</v>
      </c>
      <c r="F259" s="237" t="s">
        <v>21</v>
      </c>
      <c r="G259" s="237" t="s">
        <v>21</v>
      </c>
      <c r="H259" s="237" t="s">
        <v>6350</v>
      </c>
      <c r="I259" s="237" t="s">
        <v>21</v>
      </c>
      <c r="J259" s="237" t="s">
        <v>6351</v>
      </c>
      <c r="K259" s="240" t="str">
        <f>IF(COUNTIF(L259:AY259,"&lt;&gt;")=0,"",SUMPRODUCT(((Recommendations[ImplStatus]="Implemented")+(Recommendations[ImplStatus]="Compensated"))*ISNUMBER(MATCH(Recommendations[Id],L259:AY259,0)))/COUNTIF(L259:AY259,"&lt;&gt;"))</f>
        <v/>
      </c>
      <c r="L259" s="243"/>
      <c r="M259" s="243"/>
      <c r="N259" s="243"/>
      <c r="O259" s="243"/>
      <c r="P259" s="243"/>
      <c r="Q259" s="243"/>
      <c r="R259" s="243"/>
      <c r="S259" s="243"/>
      <c r="T259" s="243"/>
      <c r="U259" s="243"/>
      <c r="V259" s="243"/>
      <c r="W259" s="243"/>
      <c r="X259" s="243"/>
      <c r="Y259" s="243"/>
      <c r="Z259" s="243"/>
      <c r="AA259" s="243"/>
      <c r="AB259" s="243"/>
      <c r="AC259" s="243"/>
      <c r="AD259" s="243"/>
      <c r="AE259" s="243"/>
      <c r="AF259" s="243"/>
      <c r="AG259" s="243"/>
      <c r="AH259" s="243"/>
      <c r="AI259" s="243"/>
      <c r="AJ259" s="243"/>
      <c r="AK259" s="243"/>
      <c r="AL259" s="243"/>
      <c r="AM259" s="243"/>
      <c r="AN259" s="243"/>
      <c r="AO259" s="243"/>
      <c r="AP259" s="243"/>
      <c r="AQ259" s="243"/>
      <c r="AR259" s="243"/>
      <c r="AS259" s="243"/>
      <c r="AT259" s="243"/>
      <c r="AU259" s="243"/>
      <c r="AV259" s="243"/>
      <c r="AW259" s="243"/>
      <c r="AX259" s="243"/>
      <c r="AY259" s="253"/>
    </row>
    <row r="260" spans="1:51" ht="60" customHeight="1" x14ac:dyDescent="0.35">
      <c r="A260" s="249" t="s">
        <v>6352</v>
      </c>
      <c r="B260" s="237" t="s">
        <v>6353</v>
      </c>
      <c r="C260" s="237" t="s">
        <v>6354</v>
      </c>
      <c r="D260" s="237" t="s">
        <v>21</v>
      </c>
      <c r="E260" s="237" t="s">
        <v>21</v>
      </c>
      <c r="F260" s="237" t="s">
        <v>21</v>
      </c>
      <c r="G260" s="237" t="s">
        <v>21</v>
      </c>
      <c r="H260" s="237" t="s">
        <v>6355</v>
      </c>
      <c r="I260" s="237" t="s">
        <v>6356</v>
      </c>
      <c r="J260" s="237" t="s">
        <v>6357</v>
      </c>
      <c r="K260" s="240" t="str">
        <f>IF(COUNTIF(L260:AY260,"&lt;&gt;")=0,"",SUMPRODUCT(((Recommendations[ImplStatus]="Implemented")+(Recommendations[ImplStatus]="Compensated"))*ISNUMBER(MATCH(Recommendations[Id],L260:AY260,0)))/COUNTIF(L260:AY260,"&lt;&gt;"))</f>
        <v/>
      </c>
      <c r="L260" s="243"/>
      <c r="M260" s="243"/>
      <c r="N260" s="243"/>
      <c r="O260" s="243"/>
      <c r="P260" s="243"/>
      <c r="Q260" s="243"/>
      <c r="R260" s="243"/>
      <c r="S260" s="243"/>
      <c r="T260" s="243"/>
      <c r="U260" s="243"/>
      <c r="V260" s="243"/>
      <c r="W260" s="243"/>
      <c r="X260" s="243"/>
      <c r="Y260" s="243"/>
      <c r="Z260" s="243"/>
      <c r="AA260" s="243"/>
      <c r="AB260" s="243"/>
      <c r="AC260" s="243"/>
      <c r="AD260" s="243"/>
      <c r="AE260" s="243"/>
      <c r="AF260" s="243"/>
      <c r="AG260" s="243"/>
      <c r="AH260" s="243"/>
      <c r="AI260" s="243"/>
      <c r="AJ260" s="243"/>
      <c r="AK260" s="243"/>
      <c r="AL260" s="243"/>
      <c r="AM260" s="243"/>
      <c r="AN260" s="243"/>
      <c r="AO260" s="243"/>
      <c r="AP260" s="243"/>
      <c r="AQ260" s="243"/>
      <c r="AR260" s="243"/>
      <c r="AS260" s="243"/>
      <c r="AT260" s="243"/>
      <c r="AU260" s="243"/>
      <c r="AV260" s="243"/>
      <c r="AW260" s="243"/>
      <c r="AX260" s="243"/>
      <c r="AY260" s="253"/>
    </row>
    <row r="261" spans="1:51" ht="60" customHeight="1" x14ac:dyDescent="0.35">
      <c r="A261" s="249" t="s">
        <v>6358</v>
      </c>
      <c r="B261" s="237" t="s">
        <v>6359</v>
      </c>
      <c r="C261" s="237" t="s">
        <v>6360</v>
      </c>
      <c r="D261" s="237" t="s">
        <v>6361</v>
      </c>
      <c r="E261" s="237" t="s">
        <v>21</v>
      </c>
      <c r="F261" s="237" t="s">
        <v>21</v>
      </c>
      <c r="G261" s="237" t="s">
        <v>21</v>
      </c>
      <c r="H261" s="237" t="s">
        <v>6362</v>
      </c>
      <c r="I261" s="237" t="s">
        <v>6363</v>
      </c>
      <c r="J261" s="237" t="s">
        <v>6364</v>
      </c>
      <c r="K261" s="240" t="str">
        <f>IF(COUNTIF(L261:AY261,"&lt;&gt;")=0,"",SUMPRODUCT(((Recommendations[ImplStatus]="Implemented")+(Recommendations[ImplStatus]="Compensated"))*ISNUMBER(MATCH(Recommendations[Id],L261:AY261,0)))/COUNTIF(L261:AY261,"&lt;&gt;"))</f>
        <v/>
      </c>
      <c r="L261" s="243"/>
      <c r="M261" s="243"/>
      <c r="N261" s="243"/>
      <c r="O261" s="243"/>
      <c r="P261" s="243"/>
      <c r="Q261" s="243"/>
      <c r="R261" s="243"/>
      <c r="S261" s="243"/>
      <c r="T261" s="243"/>
      <c r="U261" s="243"/>
      <c r="V261" s="243"/>
      <c r="W261" s="243"/>
      <c r="X261" s="243"/>
      <c r="Y261" s="243"/>
      <c r="Z261" s="243"/>
      <c r="AA261" s="243"/>
      <c r="AB261" s="243"/>
      <c r="AC261" s="243"/>
      <c r="AD261" s="243"/>
      <c r="AE261" s="243"/>
      <c r="AF261" s="243"/>
      <c r="AG261" s="243"/>
      <c r="AH261" s="243"/>
      <c r="AI261" s="243"/>
      <c r="AJ261" s="243"/>
      <c r="AK261" s="243"/>
      <c r="AL261" s="243"/>
      <c r="AM261" s="243"/>
      <c r="AN261" s="243"/>
      <c r="AO261" s="243"/>
      <c r="AP261" s="243"/>
      <c r="AQ261" s="243"/>
      <c r="AR261" s="243"/>
      <c r="AS261" s="243"/>
      <c r="AT261" s="243"/>
      <c r="AU261" s="243"/>
      <c r="AV261" s="243"/>
      <c r="AW261" s="243"/>
      <c r="AX261" s="243"/>
      <c r="AY261" s="253"/>
    </row>
    <row r="262" spans="1:51" ht="60" customHeight="1" x14ac:dyDescent="0.35">
      <c r="A262" s="249" t="s">
        <v>6365</v>
      </c>
      <c r="B262" s="237" t="s">
        <v>6366</v>
      </c>
      <c r="C262" s="237" t="s">
        <v>6367</v>
      </c>
      <c r="D262" s="237" t="s">
        <v>6368</v>
      </c>
      <c r="E262" s="237" t="s">
        <v>21</v>
      </c>
      <c r="F262" s="237" t="s">
        <v>21</v>
      </c>
      <c r="G262" s="237" t="s">
        <v>21</v>
      </c>
      <c r="H262" s="237" t="s">
        <v>6369</v>
      </c>
      <c r="I262" s="237" t="s">
        <v>6370</v>
      </c>
      <c r="J262" s="237" t="s">
        <v>6371</v>
      </c>
      <c r="K262" s="240" t="str">
        <f>IF(COUNTIF(L262:AY262,"&lt;&gt;")=0,"",SUMPRODUCT(((Recommendations[ImplStatus]="Implemented")+(Recommendations[ImplStatus]="Compensated"))*ISNUMBER(MATCH(Recommendations[Id],L262:AY262,0)))/COUNTIF(L262:AY262,"&lt;&gt;"))</f>
        <v/>
      </c>
      <c r="L262" s="243"/>
      <c r="M262" s="243"/>
      <c r="N262" s="243"/>
      <c r="O262" s="243"/>
      <c r="P262" s="243"/>
      <c r="Q262" s="243"/>
      <c r="R262" s="243"/>
      <c r="S262" s="243"/>
      <c r="T262" s="243"/>
      <c r="U262" s="243"/>
      <c r="V262" s="243"/>
      <c r="W262" s="243"/>
      <c r="X262" s="243"/>
      <c r="Y262" s="243"/>
      <c r="Z262" s="243"/>
      <c r="AA262" s="243"/>
      <c r="AB262" s="243"/>
      <c r="AC262" s="243"/>
      <c r="AD262" s="243"/>
      <c r="AE262" s="243"/>
      <c r="AF262" s="243"/>
      <c r="AG262" s="243"/>
      <c r="AH262" s="243"/>
      <c r="AI262" s="243"/>
      <c r="AJ262" s="243"/>
      <c r="AK262" s="243"/>
      <c r="AL262" s="243"/>
      <c r="AM262" s="243"/>
      <c r="AN262" s="243"/>
      <c r="AO262" s="243"/>
      <c r="AP262" s="243"/>
      <c r="AQ262" s="243"/>
      <c r="AR262" s="243"/>
      <c r="AS262" s="243"/>
      <c r="AT262" s="243"/>
      <c r="AU262" s="243"/>
      <c r="AV262" s="243"/>
      <c r="AW262" s="243"/>
      <c r="AX262" s="243"/>
      <c r="AY262" s="253"/>
    </row>
    <row r="263" spans="1:51" ht="60" customHeight="1" x14ac:dyDescent="0.35">
      <c r="A263" s="249" t="s">
        <v>6372</v>
      </c>
      <c r="B263" s="237" t="s">
        <v>6373</v>
      </c>
      <c r="C263" s="237" t="s">
        <v>6374</v>
      </c>
      <c r="D263" s="237" t="s">
        <v>6375</v>
      </c>
      <c r="E263" s="237" t="s">
        <v>21</v>
      </c>
      <c r="F263" s="237" t="s">
        <v>21</v>
      </c>
      <c r="G263" s="237" t="s">
        <v>6376</v>
      </c>
      <c r="H263" s="237" t="s">
        <v>5279</v>
      </c>
      <c r="I263" s="237" t="s">
        <v>6377</v>
      </c>
      <c r="J263" s="237" t="s">
        <v>6378</v>
      </c>
      <c r="K263" s="240" t="str">
        <f>IF(COUNTIF(L263:AY263,"&lt;&gt;")=0,"",SUMPRODUCT(((Recommendations[ImplStatus]="Implemented")+(Recommendations[ImplStatus]="Compensated"))*ISNUMBER(MATCH(Recommendations[Id],L263:AY263,0)))/COUNTIF(L263:AY263,"&lt;&gt;"))</f>
        <v/>
      </c>
      <c r="L263" s="243"/>
      <c r="M263" s="243"/>
      <c r="N263" s="243"/>
      <c r="O263" s="243"/>
      <c r="P263" s="243"/>
      <c r="Q263" s="243"/>
      <c r="R263" s="243"/>
      <c r="S263" s="243"/>
      <c r="T263" s="243"/>
      <c r="U263" s="243"/>
      <c r="V263" s="243"/>
      <c r="W263" s="243"/>
      <c r="X263" s="243"/>
      <c r="Y263" s="243"/>
      <c r="Z263" s="243"/>
      <c r="AA263" s="243"/>
      <c r="AB263" s="243"/>
      <c r="AC263" s="243"/>
      <c r="AD263" s="243"/>
      <c r="AE263" s="243"/>
      <c r="AF263" s="243"/>
      <c r="AG263" s="243"/>
      <c r="AH263" s="243"/>
      <c r="AI263" s="243"/>
      <c r="AJ263" s="243"/>
      <c r="AK263" s="243"/>
      <c r="AL263" s="243"/>
      <c r="AM263" s="243"/>
      <c r="AN263" s="243"/>
      <c r="AO263" s="243"/>
      <c r="AP263" s="243"/>
      <c r="AQ263" s="243"/>
      <c r="AR263" s="243"/>
      <c r="AS263" s="243"/>
      <c r="AT263" s="243"/>
      <c r="AU263" s="243"/>
      <c r="AV263" s="243"/>
      <c r="AW263" s="243"/>
      <c r="AX263" s="243"/>
      <c r="AY263" s="253"/>
    </row>
    <row r="264" spans="1:51" ht="60" customHeight="1" x14ac:dyDescent="0.35">
      <c r="A264" s="249" t="s">
        <v>6379</v>
      </c>
      <c r="B264" s="237" t="s">
        <v>6380</v>
      </c>
      <c r="C264" s="237" t="s">
        <v>6367</v>
      </c>
      <c r="D264" s="237" t="s">
        <v>6381</v>
      </c>
      <c r="E264" s="237" t="s">
        <v>21</v>
      </c>
      <c r="F264" s="237" t="s">
        <v>21</v>
      </c>
      <c r="G264" s="237" t="s">
        <v>21</v>
      </c>
      <c r="H264" s="237" t="s">
        <v>6382</v>
      </c>
      <c r="I264" s="237" t="s">
        <v>21</v>
      </c>
      <c r="J264" s="237" t="s">
        <v>6383</v>
      </c>
      <c r="K264" s="240" t="str">
        <f>IF(COUNTIF(L264:AY264,"&lt;&gt;")=0,"",SUMPRODUCT(((Recommendations[ImplStatus]="Implemented")+(Recommendations[ImplStatus]="Compensated"))*ISNUMBER(MATCH(Recommendations[Id],L264:AY264,0)))/COUNTIF(L264:AY264,"&lt;&gt;"))</f>
        <v/>
      </c>
      <c r="L264" s="243"/>
      <c r="M264" s="243"/>
      <c r="N264" s="243"/>
      <c r="O264" s="243"/>
      <c r="P264" s="243"/>
      <c r="Q264" s="243"/>
      <c r="R264" s="243"/>
      <c r="S264" s="243"/>
      <c r="T264" s="243"/>
      <c r="U264" s="243"/>
      <c r="V264" s="243"/>
      <c r="W264" s="243"/>
      <c r="X264" s="243"/>
      <c r="Y264" s="243"/>
      <c r="Z264" s="243"/>
      <c r="AA264" s="243"/>
      <c r="AB264" s="243"/>
      <c r="AC264" s="243"/>
      <c r="AD264" s="243"/>
      <c r="AE264" s="243"/>
      <c r="AF264" s="243"/>
      <c r="AG264" s="243"/>
      <c r="AH264" s="243"/>
      <c r="AI264" s="243"/>
      <c r="AJ264" s="243"/>
      <c r="AK264" s="243"/>
      <c r="AL264" s="243"/>
      <c r="AM264" s="243"/>
      <c r="AN264" s="243"/>
      <c r="AO264" s="243"/>
      <c r="AP264" s="243"/>
      <c r="AQ264" s="243"/>
      <c r="AR264" s="243"/>
      <c r="AS264" s="243"/>
      <c r="AT264" s="243"/>
      <c r="AU264" s="243"/>
      <c r="AV264" s="243"/>
      <c r="AW264" s="243"/>
      <c r="AX264" s="243"/>
      <c r="AY264" s="253"/>
    </row>
    <row r="265" spans="1:51" ht="60" customHeight="1" outlineLevel="1" x14ac:dyDescent="0.35">
      <c r="A265" s="248" t="s">
        <v>2649</v>
      </c>
      <c r="B265" s="236" t="s">
        <v>6384</v>
      </c>
      <c r="C265" s="236"/>
      <c r="D265" s="236"/>
      <c r="E265" s="236"/>
      <c r="F265" s="236"/>
      <c r="G265" s="236"/>
      <c r="H265" s="236"/>
      <c r="I265" s="236"/>
      <c r="J265" s="236"/>
      <c r="K265" s="239" t="str">
        <f>IF(COUNTIF(L265:AY265,"&lt;&gt;")=0,"",SUMPRODUCT(((Recommendations[ImplStatus]="Implemented")+(Recommendations[ImplStatus]="Compensated"))*ISNUMBER(MATCH(Recommendations[Id],L265:AY265,0)))/COUNTIF(L265:AY265,"&lt;&gt;"))</f>
        <v/>
      </c>
      <c r="L265" s="242"/>
      <c r="M265" s="242"/>
      <c r="N265" s="242"/>
      <c r="O265" s="242"/>
      <c r="P265" s="242"/>
      <c r="Q265" s="242"/>
      <c r="R265" s="242"/>
      <c r="S265" s="242"/>
      <c r="T265" s="242"/>
      <c r="U265" s="242"/>
      <c r="V265" s="242"/>
      <c r="W265" s="242"/>
      <c r="X265" s="242"/>
      <c r="Y265" s="242"/>
      <c r="Z265" s="242"/>
      <c r="AA265" s="242"/>
      <c r="AB265" s="242"/>
      <c r="AC265" s="242"/>
      <c r="AD265" s="242"/>
      <c r="AE265" s="242"/>
      <c r="AF265" s="242"/>
      <c r="AG265" s="242"/>
      <c r="AH265" s="242"/>
      <c r="AI265" s="242"/>
      <c r="AJ265" s="242"/>
      <c r="AK265" s="242"/>
      <c r="AL265" s="242"/>
      <c r="AM265" s="242"/>
      <c r="AN265" s="242"/>
      <c r="AO265" s="242"/>
      <c r="AP265" s="242"/>
      <c r="AQ265" s="242"/>
      <c r="AR265" s="242"/>
      <c r="AS265" s="242"/>
      <c r="AT265" s="242"/>
      <c r="AU265" s="242"/>
      <c r="AV265" s="242"/>
      <c r="AW265" s="242"/>
      <c r="AX265" s="242"/>
      <c r="AY265" s="252"/>
    </row>
    <row r="266" spans="1:51" ht="60" customHeight="1" x14ac:dyDescent="0.35">
      <c r="A266" s="249" t="s">
        <v>6385</v>
      </c>
      <c r="B266" s="237" t="s">
        <v>6386</v>
      </c>
      <c r="C266" s="237" t="s">
        <v>6387</v>
      </c>
      <c r="D266" s="237" t="s">
        <v>6388</v>
      </c>
      <c r="E266" s="237" t="s">
        <v>6389</v>
      </c>
      <c r="F266" s="237" t="s">
        <v>21</v>
      </c>
      <c r="G266" s="237" t="s">
        <v>6390</v>
      </c>
      <c r="H266" s="237" t="s">
        <v>6391</v>
      </c>
      <c r="I266" s="237" t="s">
        <v>6392</v>
      </c>
      <c r="J266" s="237" t="s">
        <v>6393</v>
      </c>
      <c r="K266" s="240" t="str">
        <f>IF(COUNTIF(L266:AY266,"&lt;&gt;")=0,"",SUMPRODUCT(((Recommendations[ImplStatus]="Implemented")+(Recommendations[ImplStatus]="Compensated"))*ISNUMBER(MATCH(Recommendations[Id],L266:AY266,0)))/COUNTIF(L266:AY266,"&lt;&gt;"))</f>
        <v/>
      </c>
      <c r="L266" s="243"/>
      <c r="M266" s="243"/>
      <c r="N266" s="243"/>
      <c r="O266" s="243"/>
      <c r="P266" s="243"/>
      <c r="Q266" s="243"/>
      <c r="R266" s="243"/>
      <c r="S266" s="243"/>
      <c r="T266" s="243"/>
      <c r="U266" s="243"/>
      <c r="V266" s="243"/>
      <c r="W266" s="243"/>
      <c r="X266" s="243"/>
      <c r="Y266" s="243"/>
      <c r="Z266" s="243"/>
      <c r="AA266" s="243"/>
      <c r="AB266" s="243"/>
      <c r="AC266" s="243"/>
      <c r="AD266" s="243"/>
      <c r="AE266" s="243"/>
      <c r="AF266" s="243"/>
      <c r="AG266" s="243"/>
      <c r="AH266" s="243"/>
      <c r="AI266" s="243"/>
      <c r="AJ266" s="243"/>
      <c r="AK266" s="243"/>
      <c r="AL266" s="243"/>
      <c r="AM266" s="243"/>
      <c r="AN266" s="243"/>
      <c r="AO266" s="243"/>
      <c r="AP266" s="243"/>
      <c r="AQ266" s="243"/>
      <c r="AR266" s="243"/>
      <c r="AS266" s="243"/>
      <c r="AT266" s="243"/>
      <c r="AU266" s="243"/>
      <c r="AV266" s="243"/>
      <c r="AW266" s="243"/>
      <c r="AX266" s="243"/>
      <c r="AY266" s="253"/>
    </row>
    <row r="267" spans="1:51" ht="60" customHeight="1" x14ac:dyDescent="0.35">
      <c r="A267" s="249" t="s">
        <v>6394</v>
      </c>
      <c r="B267" s="237" t="s">
        <v>6395</v>
      </c>
      <c r="C267" s="237" t="s">
        <v>6396</v>
      </c>
      <c r="D267" s="237" t="s">
        <v>6397</v>
      </c>
      <c r="E267" s="237" t="s">
        <v>21</v>
      </c>
      <c r="F267" s="237" t="s">
        <v>21</v>
      </c>
      <c r="G267" s="237" t="s">
        <v>21</v>
      </c>
      <c r="H267" s="237" t="s">
        <v>6398</v>
      </c>
      <c r="I267" s="237" t="s">
        <v>21</v>
      </c>
      <c r="J267" s="237" t="s">
        <v>6399</v>
      </c>
      <c r="K267" s="240" t="str">
        <f>IF(COUNTIF(L267:AY267,"&lt;&gt;")=0,"",SUMPRODUCT(((Recommendations[ImplStatus]="Implemented")+(Recommendations[ImplStatus]="Compensated"))*ISNUMBER(MATCH(Recommendations[Id],L267:AY267,0)))/COUNTIF(L267:AY267,"&lt;&gt;"))</f>
        <v/>
      </c>
      <c r="L267" s="243"/>
      <c r="M267" s="243"/>
      <c r="N267" s="243"/>
      <c r="O267" s="243"/>
      <c r="P267" s="243"/>
      <c r="Q267" s="243"/>
      <c r="R267" s="243"/>
      <c r="S267" s="243"/>
      <c r="T267" s="243"/>
      <c r="U267" s="243"/>
      <c r="V267" s="243"/>
      <c r="W267" s="243"/>
      <c r="X267" s="243"/>
      <c r="Y267" s="243"/>
      <c r="Z267" s="243"/>
      <c r="AA267" s="243"/>
      <c r="AB267" s="243"/>
      <c r="AC267" s="243"/>
      <c r="AD267" s="243"/>
      <c r="AE267" s="243"/>
      <c r="AF267" s="243"/>
      <c r="AG267" s="243"/>
      <c r="AH267" s="243"/>
      <c r="AI267" s="243"/>
      <c r="AJ267" s="243"/>
      <c r="AK267" s="243"/>
      <c r="AL267" s="243"/>
      <c r="AM267" s="243"/>
      <c r="AN267" s="243"/>
      <c r="AO267" s="243"/>
      <c r="AP267" s="243"/>
      <c r="AQ267" s="243"/>
      <c r="AR267" s="243"/>
      <c r="AS267" s="243"/>
      <c r="AT267" s="243"/>
      <c r="AU267" s="243"/>
      <c r="AV267" s="243"/>
      <c r="AW267" s="243"/>
      <c r="AX267" s="243"/>
      <c r="AY267" s="253"/>
    </row>
    <row r="268" spans="1:51" ht="60" customHeight="1" x14ac:dyDescent="0.35">
      <c r="A268" s="249" t="s">
        <v>6400</v>
      </c>
      <c r="B268" s="237" t="s">
        <v>6401</v>
      </c>
      <c r="C268" s="237" t="s">
        <v>6402</v>
      </c>
      <c r="D268" s="237" t="s">
        <v>6397</v>
      </c>
      <c r="E268" s="237" t="s">
        <v>21</v>
      </c>
      <c r="F268" s="237" t="s">
        <v>21</v>
      </c>
      <c r="G268" s="237" t="s">
        <v>6403</v>
      </c>
      <c r="H268" s="237" t="s">
        <v>6404</v>
      </c>
      <c r="I268" s="237" t="s">
        <v>21</v>
      </c>
      <c r="J268" s="237" t="s">
        <v>6405</v>
      </c>
      <c r="K268" s="240" t="str">
        <f>IF(COUNTIF(L268:AY268,"&lt;&gt;")=0,"",SUMPRODUCT(((Recommendations[ImplStatus]="Implemented")+(Recommendations[ImplStatus]="Compensated"))*ISNUMBER(MATCH(Recommendations[Id],L268:AY268,0)))/COUNTIF(L268:AY268,"&lt;&gt;"))</f>
        <v/>
      </c>
      <c r="L268" s="243"/>
      <c r="M268" s="243"/>
      <c r="N268" s="243"/>
      <c r="O268" s="243"/>
      <c r="P268" s="243"/>
      <c r="Q268" s="243"/>
      <c r="R268" s="243"/>
      <c r="S268" s="243"/>
      <c r="T268" s="243"/>
      <c r="U268" s="243"/>
      <c r="V268" s="243"/>
      <c r="W268" s="243"/>
      <c r="X268" s="243"/>
      <c r="Y268" s="243"/>
      <c r="Z268" s="243"/>
      <c r="AA268" s="243"/>
      <c r="AB268" s="243"/>
      <c r="AC268" s="243"/>
      <c r="AD268" s="243"/>
      <c r="AE268" s="243"/>
      <c r="AF268" s="243"/>
      <c r="AG268" s="243"/>
      <c r="AH268" s="243"/>
      <c r="AI268" s="243"/>
      <c r="AJ268" s="243"/>
      <c r="AK268" s="243"/>
      <c r="AL268" s="243"/>
      <c r="AM268" s="243"/>
      <c r="AN268" s="243"/>
      <c r="AO268" s="243"/>
      <c r="AP268" s="243"/>
      <c r="AQ268" s="243"/>
      <c r="AR268" s="243"/>
      <c r="AS268" s="243"/>
      <c r="AT268" s="243"/>
      <c r="AU268" s="243"/>
      <c r="AV268" s="243"/>
      <c r="AW268" s="243"/>
      <c r="AX268" s="243"/>
      <c r="AY268" s="253"/>
    </row>
    <row r="269" spans="1:51" ht="60" customHeight="1" x14ac:dyDescent="0.35">
      <c r="A269" s="249" t="s">
        <v>6406</v>
      </c>
      <c r="B269" s="237" t="s">
        <v>6407</v>
      </c>
      <c r="C269" s="237" t="s">
        <v>6402</v>
      </c>
      <c r="D269" s="237" t="s">
        <v>6408</v>
      </c>
      <c r="E269" s="237" t="s">
        <v>21</v>
      </c>
      <c r="F269" s="237" t="s">
        <v>21</v>
      </c>
      <c r="G269" s="237" t="s">
        <v>21</v>
      </c>
      <c r="H269" s="237" t="s">
        <v>6409</v>
      </c>
      <c r="I269" s="237" t="s">
        <v>21</v>
      </c>
      <c r="J269" s="237" t="s">
        <v>6410</v>
      </c>
      <c r="K269" s="240" t="str">
        <f>IF(COUNTIF(L269:AY269,"&lt;&gt;")=0,"",SUMPRODUCT(((Recommendations[ImplStatus]="Implemented")+(Recommendations[ImplStatus]="Compensated"))*ISNUMBER(MATCH(Recommendations[Id],L269:AY269,0)))/COUNTIF(L269:AY269,"&lt;&gt;"))</f>
        <v/>
      </c>
      <c r="L269" s="243"/>
      <c r="M269" s="243"/>
      <c r="N269" s="243"/>
      <c r="O269" s="243"/>
      <c r="P269" s="243"/>
      <c r="Q269" s="243"/>
      <c r="R269" s="243"/>
      <c r="S269" s="243"/>
      <c r="T269" s="243"/>
      <c r="U269" s="243"/>
      <c r="V269" s="243"/>
      <c r="W269" s="243"/>
      <c r="X269" s="243"/>
      <c r="Y269" s="243"/>
      <c r="Z269" s="243"/>
      <c r="AA269" s="243"/>
      <c r="AB269" s="243"/>
      <c r="AC269" s="243"/>
      <c r="AD269" s="243"/>
      <c r="AE269" s="243"/>
      <c r="AF269" s="243"/>
      <c r="AG269" s="243"/>
      <c r="AH269" s="243"/>
      <c r="AI269" s="243"/>
      <c r="AJ269" s="243"/>
      <c r="AK269" s="243"/>
      <c r="AL269" s="243"/>
      <c r="AM269" s="243"/>
      <c r="AN269" s="243"/>
      <c r="AO269" s="243"/>
      <c r="AP269" s="243"/>
      <c r="AQ269" s="243"/>
      <c r="AR269" s="243"/>
      <c r="AS269" s="243"/>
      <c r="AT269" s="243"/>
      <c r="AU269" s="243"/>
      <c r="AV269" s="243"/>
      <c r="AW269" s="243"/>
      <c r="AX269" s="243"/>
      <c r="AY269" s="253"/>
    </row>
    <row r="270" spans="1:51" ht="60" customHeight="1" x14ac:dyDescent="0.35">
      <c r="A270" s="249" t="s">
        <v>6411</v>
      </c>
      <c r="B270" s="237" t="s">
        <v>6412</v>
      </c>
      <c r="C270" s="237" t="s">
        <v>6413</v>
      </c>
      <c r="D270" s="237" t="s">
        <v>6414</v>
      </c>
      <c r="E270" s="237" t="s">
        <v>21</v>
      </c>
      <c r="F270" s="237" t="s">
        <v>21</v>
      </c>
      <c r="G270" s="237" t="s">
        <v>21</v>
      </c>
      <c r="H270" s="237" t="s">
        <v>6415</v>
      </c>
      <c r="I270" s="237" t="s">
        <v>21</v>
      </c>
      <c r="J270" s="237" t="s">
        <v>6416</v>
      </c>
      <c r="K270" s="240" t="str">
        <f>IF(COUNTIF(L270:AY270,"&lt;&gt;")=0,"",SUMPRODUCT(((Recommendations[ImplStatus]="Implemented")+(Recommendations[ImplStatus]="Compensated"))*ISNUMBER(MATCH(Recommendations[Id],L270:AY270,0)))/COUNTIF(L270:AY270,"&lt;&gt;"))</f>
        <v/>
      </c>
      <c r="L270" s="243"/>
      <c r="M270" s="243"/>
      <c r="N270" s="243"/>
      <c r="O270" s="243"/>
      <c r="P270" s="243"/>
      <c r="Q270" s="243"/>
      <c r="R270" s="243"/>
      <c r="S270" s="243"/>
      <c r="T270" s="243"/>
      <c r="U270" s="243"/>
      <c r="V270" s="243"/>
      <c r="W270" s="243"/>
      <c r="X270" s="243"/>
      <c r="Y270" s="243"/>
      <c r="Z270" s="243"/>
      <c r="AA270" s="243"/>
      <c r="AB270" s="243"/>
      <c r="AC270" s="243"/>
      <c r="AD270" s="243"/>
      <c r="AE270" s="243"/>
      <c r="AF270" s="243"/>
      <c r="AG270" s="243"/>
      <c r="AH270" s="243"/>
      <c r="AI270" s="243"/>
      <c r="AJ270" s="243"/>
      <c r="AK270" s="243"/>
      <c r="AL270" s="243"/>
      <c r="AM270" s="243"/>
      <c r="AN270" s="243"/>
      <c r="AO270" s="243"/>
      <c r="AP270" s="243"/>
      <c r="AQ270" s="243"/>
      <c r="AR270" s="243"/>
      <c r="AS270" s="243"/>
      <c r="AT270" s="243"/>
      <c r="AU270" s="243"/>
      <c r="AV270" s="243"/>
      <c r="AW270" s="243"/>
      <c r="AX270" s="243"/>
      <c r="AY270" s="253"/>
    </row>
    <row r="271" spans="1:51" ht="60" customHeight="1" x14ac:dyDescent="0.35">
      <c r="A271" s="249" t="s">
        <v>6417</v>
      </c>
      <c r="B271" s="237" t="s">
        <v>6418</v>
      </c>
      <c r="C271" s="237" t="s">
        <v>6419</v>
      </c>
      <c r="D271" s="237" t="s">
        <v>6420</v>
      </c>
      <c r="E271" s="237" t="s">
        <v>21</v>
      </c>
      <c r="F271" s="237" t="s">
        <v>21</v>
      </c>
      <c r="G271" s="237" t="s">
        <v>21</v>
      </c>
      <c r="H271" s="237" t="s">
        <v>6421</v>
      </c>
      <c r="I271" s="237" t="s">
        <v>6422</v>
      </c>
      <c r="J271" s="237" t="s">
        <v>21</v>
      </c>
      <c r="K271" s="240" t="str">
        <f>IF(COUNTIF(L271:AY271,"&lt;&gt;")=0,"",SUMPRODUCT(((Recommendations[ImplStatus]="Implemented")+(Recommendations[ImplStatus]="Compensated"))*ISNUMBER(MATCH(Recommendations[Id],L271:AY271,0)))/COUNTIF(L271:AY271,"&lt;&gt;"))</f>
        <v/>
      </c>
      <c r="L271" s="243"/>
      <c r="M271" s="243"/>
      <c r="N271" s="243"/>
      <c r="O271" s="243"/>
      <c r="P271" s="243"/>
      <c r="Q271" s="243"/>
      <c r="R271" s="243"/>
      <c r="S271" s="243"/>
      <c r="T271" s="243"/>
      <c r="U271" s="243"/>
      <c r="V271" s="243"/>
      <c r="W271" s="243"/>
      <c r="X271" s="243"/>
      <c r="Y271" s="243"/>
      <c r="Z271" s="243"/>
      <c r="AA271" s="243"/>
      <c r="AB271" s="243"/>
      <c r="AC271" s="243"/>
      <c r="AD271" s="243"/>
      <c r="AE271" s="243"/>
      <c r="AF271" s="243"/>
      <c r="AG271" s="243"/>
      <c r="AH271" s="243"/>
      <c r="AI271" s="243"/>
      <c r="AJ271" s="243"/>
      <c r="AK271" s="243"/>
      <c r="AL271" s="243"/>
      <c r="AM271" s="243"/>
      <c r="AN271" s="243"/>
      <c r="AO271" s="243"/>
      <c r="AP271" s="243"/>
      <c r="AQ271" s="243"/>
      <c r="AR271" s="243"/>
      <c r="AS271" s="243"/>
      <c r="AT271" s="243"/>
      <c r="AU271" s="243"/>
      <c r="AV271" s="243"/>
      <c r="AW271" s="243"/>
      <c r="AX271" s="243"/>
      <c r="AY271" s="253"/>
    </row>
    <row r="272" spans="1:51" ht="60" customHeight="1" x14ac:dyDescent="0.35">
      <c r="A272" s="249" t="s">
        <v>6423</v>
      </c>
      <c r="B272" s="237" t="s">
        <v>6424</v>
      </c>
      <c r="C272" s="237" t="s">
        <v>6425</v>
      </c>
      <c r="D272" s="237" t="s">
        <v>6426</v>
      </c>
      <c r="E272" s="237" t="s">
        <v>21</v>
      </c>
      <c r="F272" s="237" t="s">
        <v>21</v>
      </c>
      <c r="G272" s="237" t="s">
        <v>21</v>
      </c>
      <c r="H272" s="237" t="s">
        <v>6427</v>
      </c>
      <c r="I272" s="237" t="s">
        <v>6428</v>
      </c>
      <c r="J272" s="237" t="s">
        <v>6429</v>
      </c>
      <c r="K272" s="240" t="str">
        <f>IF(COUNTIF(L272:AY272,"&lt;&gt;")=0,"",SUMPRODUCT(((Recommendations[ImplStatus]="Implemented")+(Recommendations[ImplStatus]="Compensated"))*ISNUMBER(MATCH(Recommendations[Id],L272:AY272,0)))/COUNTIF(L272:AY272,"&lt;&gt;"))</f>
        <v/>
      </c>
      <c r="L272" s="243"/>
      <c r="M272" s="243"/>
      <c r="N272" s="243"/>
      <c r="O272" s="243"/>
      <c r="P272" s="243"/>
      <c r="Q272" s="243"/>
      <c r="R272" s="243"/>
      <c r="S272" s="243"/>
      <c r="T272" s="243"/>
      <c r="U272" s="243"/>
      <c r="V272" s="243"/>
      <c r="W272" s="243"/>
      <c r="X272" s="243"/>
      <c r="Y272" s="243"/>
      <c r="Z272" s="243"/>
      <c r="AA272" s="243"/>
      <c r="AB272" s="243"/>
      <c r="AC272" s="243"/>
      <c r="AD272" s="243"/>
      <c r="AE272" s="243"/>
      <c r="AF272" s="243"/>
      <c r="AG272" s="243"/>
      <c r="AH272" s="243"/>
      <c r="AI272" s="243"/>
      <c r="AJ272" s="243"/>
      <c r="AK272" s="243"/>
      <c r="AL272" s="243"/>
      <c r="AM272" s="243"/>
      <c r="AN272" s="243"/>
      <c r="AO272" s="243"/>
      <c r="AP272" s="243"/>
      <c r="AQ272" s="243"/>
      <c r="AR272" s="243"/>
      <c r="AS272" s="243"/>
      <c r="AT272" s="243"/>
      <c r="AU272" s="243"/>
      <c r="AV272" s="243"/>
      <c r="AW272" s="243"/>
      <c r="AX272" s="243"/>
      <c r="AY272" s="253"/>
    </row>
    <row r="273" spans="1:51" ht="60" customHeight="1" outlineLevel="1" x14ac:dyDescent="0.35">
      <c r="A273" s="248" t="s">
        <v>2653</v>
      </c>
      <c r="B273" s="236" t="s">
        <v>6430</v>
      </c>
      <c r="C273" s="236"/>
      <c r="D273" s="236"/>
      <c r="E273" s="236"/>
      <c r="F273" s="236"/>
      <c r="G273" s="236"/>
      <c r="H273" s="236"/>
      <c r="I273" s="236"/>
      <c r="J273" s="236"/>
      <c r="K273" s="239" t="str">
        <f>IF(COUNTIF(L273:AY273,"&lt;&gt;")=0,"",SUMPRODUCT(((Recommendations[ImplStatus]="Implemented")+(Recommendations[ImplStatus]="Compensated"))*ISNUMBER(MATCH(Recommendations[Id],L273:AY273,0)))/COUNTIF(L273:AY273,"&lt;&gt;"))</f>
        <v/>
      </c>
      <c r="L273" s="242"/>
      <c r="M273" s="242"/>
      <c r="N273" s="242"/>
      <c r="O273" s="242"/>
      <c r="P273" s="242"/>
      <c r="Q273" s="242"/>
      <c r="R273" s="242"/>
      <c r="S273" s="242"/>
      <c r="T273" s="242"/>
      <c r="U273" s="242"/>
      <c r="V273" s="242"/>
      <c r="W273" s="242"/>
      <c r="X273" s="242"/>
      <c r="Y273" s="242"/>
      <c r="Z273" s="242"/>
      <c r="AA273" s="242"/>
      <c r="AB273" s="242"/>
      <c r="AC273" s="242"/>
      <c r="AD273" s="242"/>
      <c r="AE273" s="242"/>
      <c r="AF273" s="242"/>
      <c r="AG273" s="242"/>
      <c r="AH273" s="242"/>
      <c r="AI273" s="242"/>
      <c r="AJ273" s="242"/>
      <c r="AK273" s="242"/>
      <c r="AL273" s="242"/>
      <c r="AM273" s="242"/>
      <c r="AN273" s="242"/>
      <c r="AO273" s="242"/>
      <c r="AP273" s="242"/>
      <c r="AQ273" s="242"/>
      <c r="AR273" s="242"/>
      <c r="AS273" s="242"/>
      <c r="AT273" s="242"/>
      <c r="AU273" s="242"/>
      <c r="AV273" s="242"/>
      <c r="AW273" s="242"/>
      <c r="AX273" s="242"/>
      <c r="AY273" s="252"/>
    </row>
    <row r="274" spans="1:51" ht="60" customHeight="1" x14ac:dyDescent="0.35">
      <c r="A274" s="249" t="s">
        <v>6431</v>
      </c>
      <c r="B274" s="237" t="s">
        <v>6432</v>
      </c>
      <c r="C274" s="237" t="s">
        <v>6433</v>
      </c>
      <c r="D274" s="237" t="s">
        <v>6426</v>
      </c>
      <c r="E274" s="237" t="s">
        <v>6434</v>
      </c>
      <c r="F274" s="237" t="s">
        <v>21</v>
      </c>
      <c r="G274" s="237" t="s">
        <v>21</v>
      </c>
      <c r="H274" s="237" t="s">
        <v>6435</v>
      </c>
      <c r="I274" s="237" t="s">
        <v>21</v>
      </c>
      <c r="J274" s="237" t="s">
        <v>6436</v>
      </c>
      <c r="K274" s="240" t="str">
        <f>IF(COUNTIF(L274:AY274,"&lt;&gt;")=0,"",SUMPRODUCT(((Recommendations[ImplStatus]="Implemented")+(Recommendations[ImplStatus]="Compensated"))*ISNUMBER(MATCH(Recommendations[Id],L274:AY274,0)))/COUNTIF(L274:AY274,"&lt;&gt;"))</f>
        <v/>
      </c>
      <c r="L274" s="243"/>
      <c r="M274" s="243"/>
      <c r="N274" s="243"/>
      <c r="O274" s="243"/>
      <c r="P274" s="243"/>
      <c r="Q274" s="243"/>
      <c r="R274" s="243"/>
      <c r="S274" s="243"/>
      <c r="T274" s="243"/>
      <c r="U274" s="243"/>
      <c r="V274" s="243"/>
      <c r="W274" s="243"/>
      <c r="X274" s="243"/>
      <c r="Y274" s="243"/>
      <c r="Z274" s="243"/>
      <c r="AA274" s="243"/>
      <c r="AB274" s="243"/>
      <c r="AC274" s="243"/>
      <c r="AD274" s="243"/>
      <c r="AE274" s="243"/>
      <c r="AF274" s="243"/>
      <c r="AG274" s="243"/>
      <c r="AH274" s="243"/>
      <c r="AI274" s="243"/>
      <c r="AJ274" s="243"/>
      <c r="AK274" s="243"/>
      <c r="AL274" s="243"/>
      <c r="AM274" s="243"/>
      <c r="AN274" s="243"/>
      <c r="AO274" s="243"/>
      <c r="AP274" s="243"/>
      <c r="AQ274" s="243"/>
      <c r="AR274" s="243"/>
      <c r="AS274" s="243"/>
      <c r="AT274" s="243"/>
      <c r="AU274" s="243"/>
      <c r="AV274" s="243"/>
      <c r="AW274" s="243"/>
      <c r="AX274" s="243"/>
      <c r="AY274" s="253"/>
    </row>
    <row r="275" spans="1:51" ht="60" customHeight="1" x14ac:dyDescent="0.35">
      <c r="A275" s="249" t="s">
        <v>6437</v>
      </c>
      <c r="B275" s="237" t="s">
        <v>6438</v>
      </c>
      <c r="C275" s="237" t="s">
        <v>6439</v>
      </c>
      <c r="D275" s="237" t="s">
        <v>6440</v>
      </c>
      <c r="E275" s="237" t="s">
        <v>21</v>
      </c>
      <c r="F275" s="237" t="s">
        <v>21</v>
      </c>
      <c r="G275" s="237" t="s">
        <v>21</v>
      </c>
      <c r="H275" s="237" t="s">
        <v>6441</v>
      </c>
      <c r="I275" s="237" t="s">
        <v>21</v>
      </c>
      <c r="J275" s="237" t="s">
        <v>6442</v>
      </c>
      <c r="K275" s="240" t="str">
        <f>IF(COUNTIF(L275:AY275,"&lt;&gt;")=0,"",SUMPRODUCT(((Recommendations[ImplStatus]="Implemented")+(Recommendations[ImplStatus]="Compensated"))*ISNUMBER(MATCH(Recommendations[Id],L275:AY275,0)))/COUNTIF(L275:AY275,"&lt;&gt;"))</f>
        <v/>
      </c>
      <c r="L275" s="243"/>
      <c r="M275" s="243"/>
      <c r="N275" s="243"/>
      <c r="O275" s="243"/>
      <c r="P275" s="243"/>
      <c r="Q275" s="243"/>
      <c r="R275" s="243"/>
      <c r="S275" s="243"/>
      <c r="T275" s="243"/>
      <c r="U275" s="243"/>
      <c r="V275" s="243"/>
      <c r="W275" s="243"/>
      <c r="X275" s="243"/>
      <c r="Y275" s="243"/>
      <c r="Z275" s="243"/>
      <c r="AA275" s="243"/>
      <c r="AB275" s="243"/>
      <c r="AC275" s="243"/>
      <c r="AD275" s="243"/>
      <c r="AE275" s="243"/>
      <c r="AF275" s="243"/>
      <c r="AG275" s="243"/>
      <c r="AH275" s="243"/>
      <c r="AI275" s="243"/>
      <c r="AJ275" s="243"/>
      <c r="AK275" s="243"/>
      <c r="AL275" s="243"/>
      <c r="AM275" s="243"/>
      <c r="AN275" s="243"/>
      <c r="AO275" s="243"/>
      <c r="AP275" s="243"/>
      <c r="AQ275" s="243"/>
      <c r="AR275" s="243"/>
      <c r="AS275" s="243"/>
      <c r="AT275" s="243"/>
      <c r="AU275" s="243"/>
      <c r="AV275" s="243"/>
      <c r="AW275" s="243"/>
      <c r="AX275" s="243"/>
      <c r="AY275" s="253"/>
    </row>
    <row r="276" spans="1:51" ht="60" customHeight="1" x14ac:dyDescent="0.35">
      <c r="A276" s="249" t="s">
        <v>6443</v>
      </c>
      <c r="B276" s="237" t="s">
        <v>6444</v>
      </c>
      <c r="C276" s="237" t="s">
        <v>6445</v>
      </c>
      <c r="D276" s="237" t="s">
        <v>6446</v>
      </c>
      <c r="E276" s="237" t="s">
        <v>21</v>
      </c>
      <c r="F276" s="237" t="s">
        <v>6447</v>
      </c>
      <c r="G276" s="237" t="s">
        <v>21</v>
      </c>
      <c r="H276" s="237" t="s">
        <v>6448</v>
      </c>
      <c r="I276" s="237" t="s">
        <v>6449</v>
      </c>
      <c r="J276" s="237" t="s">
        <v>6450</v>
      </c>
      <c r="K276" s="240" t="str">
        <f>IF(COUNTIF(L276:AY276,"&lt;&gt;")=0,"",SUMPRODUCT(((Recommendations[ImplStatus]="Implemented")+(Recommendations[ImplStatus]="Compensated"))*ISNUMBER(MATCH(Recommendations[Id],L276:AY276,0)))/COUNTIF(L276:AY276,"&lt;&gt;"))</f>
        <v/>
      </c>
      <c r="L276" s="243"/>
      <c r="M276" s="243"/>
      <c r="N276" s="243"/>
      <c r="O276" s="243"/>
      <c r="P276" s="243"/>
      <c r="Q276" s="243"/>
      <c r="R276" s="243"/>
      <c r="S276" s="243"/>
      <c r="T276" s="243"/>
      <c r="U276" s="243"/>
      <c r="V276" s="243"/>
      <c r="W276" s="243"/>
      <c r="X276" s="243"/>
      <c r="Y276" s="243"/>
      <c r="Z276" s="243"/>
      <c r="AA276" s="243"/>
      <c r="AB276" s="243"/>
      <c r="AC276" s="243"/>
      <c r="AD276" s="243"/>
      <c r="AE276" s="243"/>
      <c r="AF276" s="243"/>
      <c r="AG276" s="243"/>
      <c r="AH276" s="243"/>
      <c r="AI276" s="243"/>
      <c r="AJ276" s="243"/>
      <c r="AK276" s="243"/>
      <c r="AL276" s="243"/>
      <c r="AM276" s="243"/>
      <c r="AN276" s="243"/>
      <c r="AO276" s="243"/>
      <c r="AP276" s="243"/>
      <c r="AQ276" s="243"/>
      <c r="AR276" s="243"/>
      <c r="AS276" s="243"/>
      <c r="AT276" s="243"/>
      <c r="AU276" s="243"/>
      <c r="AV276" s="243"/>
      <c r="AW276" s="243"/>
      <c r="AX276" s="243"/>
      <c r="AY276" s="253"/>
    </row>
    <row r="277" spans="1:51" ht="60" customHeight="1" outlineLevel="1" x14ac:dyDescent="0.35">
      <c r="A277" s="248" t="s">
        <v>6451</v>
      </c>
      <c r="B277" s="236" t="s">
        <v>6452</v>
      </c>
      <c r="C277" s="236"/>
      <c r="D277" s="236"/>
      <c r="E277" s="236"/>
      <c r="F277" s="236"/>
      <c r="G277" s="236"/>
      <c r="H277" s="236"/>
      <c r="I277" s="236"/>
      <c r="J277" s="236"/>
      <c r="K277" s="239" t="str">
        <f>IF(COUNTIF(L277:AY277,"&lt;&gt;")=0,"",SUMPRODUCT(((Recommendations[ImplStatus]="Implemented")+(Recommendations[ImplStatus]="Compensated"))*ISNUMBER(MATCH(Recommendations[Id],L277:AY277,0)))/COUNTIF(L277:AY277,"&lt;&gt;"))</f>
        <v/>
      </c>
      <c r="L277" s="242"/>
      <c r="M277" s="242"/>
      <c r="N277" s="242"/>
      <c r="O277" s="242"/>
      <c r="P277" s="242"/>
      <c r="Q277" s="242"/>
      <c r="R277" s="242"/>
      <c r="S277" s="242"/>
      <c r="T277" s="242"/>
      <c r="U277" s="242"/>
      <c r="V277" s="242"/>
      <c r="W277" s="242"/>
      <c r="X277" s="242"/>
      <c r="Y277" s="242"/>
      <c r="Z277" s="242"/>
      <c r="AA277" s="242"/>
      <c r="AB277" s="242"/>
      <c r="AC277" s="242"/>
      <c r="AD277" s="242"/>
      <c r="AE277" s="242"/>
      <c r="AF277" s="242"/>
      <c r="AG277" s="242"/>
      <c r="AH277" s="242"/>
      <c r="AI277" s="242"/>
      <c r="AJ277" s="242"/>
      <c r="AK277" s="242"/>
      <c r="AL277" s="242"/>
      <c r="AM277" s="242"/>
      <c r="AN277" s="242"/>
      <c r="AO277" s="242"/>
      <c r="AP277" s="242"/>
      <c r="AQ277" s="242"/>
      <c r="AR277" s="242"/>
      <c r="AS277" s="242"/>
      <c r="AT277" s="242"/>
      <c r="AU277" s="242"/>
      <c r="AV277" s="242"/>
      <c r="AW277" s="242"/>
      <c r="AX277" s="242"/>
      <c r="AY277" s="252"/>
    </row>
    <row r="278" spans="1:51" ht="60" customHeight="1" x14ac:dyDescent="0.35">
      <c r="A278" s="249" t="s">
        <v>6453</v>
      </c>
      <c r="B278" s="237" t="s">
        <v>6454</v>
      </c>
      <c r="C278" s="237" t="s">
        <v>6455</v>
      </c>
      <c r="D278" s="237" t="s">
        <v>6456</v>
      </c>
      <c r="E278" s="237" t="s">
        <v>21</v>
      </c>
      <c r="F278" s="237" t="s">
        <v>6457</v>
      </c>
      <c r="G278" s="237" t="s">
        <v>21</v>
      </c>
      <c r="H278" s="237" t="s">
        <v>6458</v>
      </c>
      <c r="I278" s="237" t="s">
        <v>21</v>
      </c>
      <c r="J278" s="237" t="s">
        <v>6459</v>
      </c>
      <c r="K278" s="240" t="str">
        <f>IF(COUNTIF(L278:AY278,"&lt;&gt;")=0,"",SUMPRODUCT(((Recommendations[ImplStatus]="Implemented")+(Recommendations[ImplStatus]="Compensated"))*ISNUMBER(MATCH(Recommendations[Id],L278:AY278,0)))/COUNTIF(L278:AY278,"&lt;&gt;"))</f>
        <v/>
      </c>
      <c r="L278" s="243"/>
      <c r="M278" s="243"/>
      <c r="N278" s="243"/>
      <c r="O278" s="243"/>
      <c r="P278" s="243"/>
      <c r="Q278" s="243"/>
      <c r="R278" s="243"/>
      <c r="S278" s="243"/>
      <c r="T278" s="243"/>
      <c r="U278" s="243"/>
      <c r="V278" s="243"/>
      <c r="W278" s="243"/>
      <c r="X278" s="243"/>
      <c r="Y278" s="243"/>
      <c r="Z278" s="243"/>
      <c r="AA278" s="243"/>
      <c r="AB278" s="243"/>
      <c r="AC278" s="243"/>
      <c r="AD278" s="243"/>
      <c r="AE278" s="243"/>
      <c r="AF278" s="243"/>
      <c r="AG278" s="243"/>
      <c r="AH278" s="243"/>
      <c r="AI278" s="243"/>
      <c r="AJ278" s="243"/>
      <c r="AK278" s="243"/>
      <c r="AL278" s="243"/>
      <c r="AM278" s="243"/>
      <c r="AN278" s="243"/>
      <c r="AO278" s="243"/>
      <c r="AP278" s="243"/>
      <c r="AQ278" s="243"/>
      <c r="AR278" s="243"/>
      <c r="AS278" s="243"/>
      <c r="AT278" s="243"/>
      <c r="AU278" s="243"/>
      <c r="AV278" s="243"/>
      <c r="AW278" s="243"/>
      <c r="AX278" s="243"/>
      <c r="AY278" s="253"/>
    </row>
    <row r="279" spans="1:51" ht="60" customHeight="1" outlineLevel="1" x14ac:dyDescent="0.35">
      <c r="A279" s="247" t="s">
        <v>6460</v>
      </c>
      <c r="B279" s="235" t="s">
        <v>6461</v>
      </c>
      <c r="C279" s="235"/>
      <c r="D279" s="235"/>
      <c r="E279" s="235"/>
      <c r="F279" s="235"/>
      <c r="G279" s="235"/>
      <c r="H279" s="235"/>
      <c r="I279" s="235"/>
      <c r="J279" s="235"/>
      <c r="K279" s="238" t="str">
        <f>IF(COUNTIF(L279:AY279,"&lt;&gt;")=0,"",SUMPRODUCT(((Recommendations[ImplStatus]="Implemented")+(Recommendations[ImplStatus]="Compensated"))*ISNUMBER(MATCH(Recommendations[Id],L279:AY279,0)))/COUNTIF(L279:AY279,"&lt;&gt;"))</f>
        <v/>
      </c>
      <c r="L279" s="241"/>
      <c r="M279" s="241"/>
      <c r="N279" s="241"/>
      <c r="O279" s="241"/>
      <c r="P279" s="241"/>
      <c r="Q279" s="241"/>
      <c r="R279" s="241"/>
      <c r="S279" s="241"/>
      <c r="T279" s="241"/>
      <c r="U279" s="241"/>
      <c r="V279" s="241"/>
      <c r="W279" s="241"/>
      <c r="X279" s="241"/>
      <c r="Y279" s="241"/>
      <c r="Z279" s="241"/>
      <c r="AA279" s="241"/>
      <c r="AB279" s="241"/>
      <c r="AC279" s="241"/>
      <c r="AD279" s="241"/>
      <c r="AE279" s="241"/>
      <c r="AF279" s="241"/>
      <c r="AG279" s="241"/>
      <c r="AH279" s="241"/>
      <c r="AI279" s="241"/>
      <c r="AJ279" s="241"/>
      <c r="AK279" s="241"/>
      <c r="AL279" s="241"/>
      <c r="AM279" s="241"/>
      <c r="AN279" s="241"/>
      <c r="AO279" s="241"/>
      <c r="AP279" s="241"/>
      <c r="AQ279" s="241"/>
      <c r="AR279" s="241"/>
      <c r="AS279" s="241"/>
      <c r="AT279" s="241"/>
      <c r="AU279" s="241"/>
      <c r="AV279" s="241"/>
      <c r="AW279" s="241"/>
      <c r="AX279" s="241"/>
      <c r="AY279" s="251"/>
    </row>
    <row r="280" spans="1:51" ht="60" customHeight="1" outlineLevel="1" x14ac:dyDescent="0.35">
      <c r="A280" s="248" t="s">
        <v>2659</v>
      </c>
      <c r="B280" s="236" t="s">
        <v>6462</v>
      </c>
      <c r="C280" s="236"/>
      <c r="D280" s="236"/>
      <c r="E280" s="236"/>
      <c r="F280" s="236"/>
      <c r="G280" s="236"/>
      <c r="H280" s="236"/>
      <c r="I280" s="236"/>
      <c r="J280" s="236"/>
      <c r="K280" s="239" t="str">
        <f>IF(COUNTIF(L280:AY280,"&lt;&gt;")=0,"",SUMPRODUCT(((Recommendations[ImplStatus]="Implemented")+(Recommendations[ImplStatus]="Compensated"))*ISNUMBER(MATCH(Recommendations[Id],L280:AY280,0)))/COUNTIF(L280:AY280,"&lt;&gt;"))</f>
        <v/>
      </c>
      <c r="L280" s="242"/>
      <c r="M280" s="242"/>
      <c r="N280" s="242"/>
      <c r="O280" s="242"/>
      <c r="P280" s="242"/>
      <c r="Q280" s="242"/>
      <c r="R280" s="242"/>
      <c r="S280" s="242"/>
      <c r="T280" s="242"/>
      <c r="U280" s="242"/>
      <c r="V280" s="242"/>
      <c r="W280" s="242"/>
      <c r="X280" s="242"/>
      <c r="Y280" s="242"/>
      <c r="Z280" s="242"/>
      <c r="AA280" s="242"/>
      <c r="AB280" s="242"/>
      <c r="AC280" s="242"/>
      <c r="AD280" s="242"/>
      <c r="AE280" s="242"/>
      <c r="AF280" s="242"/>
      <c r="AG280" s="242"/>
      <c r="AH280" s="242"/>
      <c r="AI280" s="242"/>
      <c r="AJ280" s="242"/>
      <c r="AK280" s="242"/>
      <c r="AL280" s="242"/>
      <c r="AM280" s="242"/>
      <c r="AN280" s="242"/>
      <c r="AO280" s="242"/>
      <c r="AP280" s="242"/>
      <c r="AQ280" s="242"/>
      <c r="AR280" s="242"/>
      <c r="AS280" s="242"/>
      <c r="AT280" s="242"/>
      <c r="AU280" s="242"/>
      <c r="AV280" s="242"/>
      <c r="AW280" s="242"/>
      <c r="AX280" s="242"/>
      <c r="AY280" s="252"/>
    </row>
    <row r="281" spans="1:51" ht="60" customHeight="1" x14ac:dyDescent="0.35">
      <c r="A281" s="249" t="s">
        <v>6463</v>
      </c>
      <c r="B281" s="237" t="s">
        <v>6464</v>
      </c>
      <c r="C281" s="237" t="s">
        <v>6465</v>
      </c>
      <c r="D281" s="237" t="s">
        <v>6466</v>
      </c>
      <c r="E281" s="237" t="s">
        <v>6467</v>
      </c>
      <c r="F281" s="237" t="s">
        <v>21</v>
      </c>
      <c r="G281" s="237" t="s">
        <v>21</v>
      </c>
      <c r="H281" s="237" t="s">
        <v>6468</v>
      </c>
      <c r="I281" s="237" t="s">
        <v>21</v>
      </c>
      <c r="J281" s="237" t="s">
        <v>6469</v>
      </c>
      <c r="K281" s="240" t="str">
        <f>IF(COUNTIF(L281:AY281,"&lt;&gt;")=0,"",SUMPRODUCT(((Recommendations[ImplStatus]="Implemented")+(Recommendations[ImplStatus]="Compensated"))*ISNUMBER(MATCH(Recommendations[Id],L281:AY281,0)))/COUNTIF(L281:AY281,"&lt;&gt;"))</f>
        <v/>
      </c>
      <c r="L281" s="243"/>
      <c r="M281" s="243"/>
      <c r="N281" s="243"/>
      <c r="O281" s="243"/>
      <c r="P281" s="243"/>
      <c r="Q281" s="243"/>
      <c r="R281" s="243"/>
      <c r="S281" s="243"/>
      <c r="T281" s="243"/>
      <c r="U281" s="243"/>
      <c r="V281" s="243"/>
      <c r="W281" s="243"/>
      <c r="X281" s="243"/>
      <c r="Y281" s="243"/>
      <c r="Z281" s="243"/>
      <c r="AA281" s="243"/>
      <c r="AB281" s="243"/>
      <c r="AC281" s="243"/>
      <c r="AD281" s="243"/>
      <c r="AE281" s="243"/>
      <c r="AF281" s="243"/>
      <c r="AG281" s="243"/>
      <c r="AH281" s="243"/>
      <c r="AI281" s="243"/>
      <c r="AJ281" s="243"/>
      <c r="AK281" s="243"/>
      <c r="AL281" s="243"/>
      <c r="AM281" s="243"/>
      <c r="AN281" s="243"/>
      <c r="AO281" s="243"/>
      <c r="AP281" s="243"/>
      <c r="AQ281" s="243"/>
      <c r="AR281" s="243"/>
      <c r="AS281" s="243"/>
      <c r="AT281" s="243"/>
      <c r="AU281" s="243"/>
      <c r="AV281" s="243"/>
      <c r="AW281" s="243"/>
      <c r="AX281" s="243"/>
      <c r="AY281" s="253"/>
    </row>
    <row r="282" spans="1:51" ht="60" customHeight="1" x14ac:dyDescent="0.35">
      <c r="A282" s="249" t="s">
        <v>6470</v>
      </c>
      <c r="B282" s="237" t="s">
        <v>6471</v>
      </c>
      <c r="C282" s="237" t="s">
        <v>6472</v>
      </c>
      <c r="D282" s="237" t="s">
        <v>21</v>
      </c>
      <c r="E282" s="237" t="s">
        <v>21</v>
      </c>
      <c r="F282" s="237" t="s">
        <v>21</v>
      </c>
      <c r="G282" s="237" t="s">
        <v>21</v>
      </c>
      <c r="H282" s="237" t="s">
        <v>6473</v>
      </c>
      <c r="I282" s="237" t="s">
        <v>21</v>
      </c>
      <c r="J282" s="237" t="s">
        <v>6474</v>
      </c>
      <c r="K282" s="240" t="str">
        <f>IF(COUNTIF(L282:AY282,"&lt;&gt;")=0,"",SUMPRODUCT(((Recommendations[ImplStatus]="Implemented")+(Recommendations[ImplStatus]="Compensated"))*ISNUMBER(MATCH(Recommendations[Id],L282:AY282,0)))/COUNTIF(L282:AY282,"&lt;&gt;"))</f>
        <v/>
      </c>
      <c r="L282" s="243"/>
      <c r="M282" s="243"/>
      <c r="N282" s="243"/>
      <c r="O282" s="243"/>
      <c r="P282" s="243"/>
      <c r="Q282" s="243"/>
      <c r="R282" s="243"/>
      <c r="S282" s="243"/>
      <c r="T282" s="243"/>
      <c r="U282" s="243"/>
      <c r="V282" s="243"/>
      <c r="W282" s="243"/>
      <c r="X282" s="243"/>
      <c r="Y282" s="243"/>
      <c r="Z282" s="243"/>
      <c r="AA282" s="243"/>
      <c r="AB282" s="243"/>
      <c r="AC282" s="243"/>
      <c r="AD282" s="243"/>
      <c r="AE282" s="243"/>
      <c r="AF282" s="243"/>
      <c r="AG282" s="243"/>
      <c r="AH282" s="243"/>
      <c r="AI282" s="243"/>
      <c r="AJ282" s="243"/>
      <c r="AK282" s="243"/>
      <c r="AL282" s="243"/>
      <c r="AM282" s="243"/>
      <c r="AN282" s="243"/>
      <c r="AO282" s="243"/>
      <c r="AP282" s="243"/>
      <c r="AQ282" s="243"/>
      <c r="AR282" s="243"/>
      <c r="AS282" s="243"/>
      <c r="AT282" s="243"/>
      <c r="AU282" s="243"/>
      <c r="AV282" s="243"/>
      <c r="AW282" s="243"/>
      <c r="AX282" s="243"/>
      <c r="AY282" s="253"/>
    </row>
    <row r="283" spans="1:51" ht="60" customHeight="1" x14ac:dyDescent="0.35">
      <c r="A283" s="249" t="s">
        <v>6475</v>
      </c>
      <c r="B283" s="237" t="s">
        <v>6476</v>
      </c>
      <c r="C283" s="237" t="s">
        <v>6477</v>
      </c>
      <c r="D283" s="237" t="s">
        <v>21</v>
      </c>
      <c r="E283" s="237" t="s">
        <v>21</v>
      </c>
      <c r="F283" s="237" t="s">
        <v>21</v>
      </c>
      <c r="G283" s="237" t="s">
        <v>21</v>
      </c>
      <c r="H283" s="237" t="s">
        <v>6478</v>
      </c>
      <c r="I283" s="237" t="s">
        <v>21</v>
      </c>
      <c r="J283" s="237" t="s">
        <v>6479</v>
      </c>
      <c r="K283" s="240" t="str">
        <f>IF(COUNTIF(L283:AY283,"&lt;&gt;")=0,"",SUMPRODUCT(((Recommendations[ImplStatus]="Implemented")+(Recommendations[ImplStatus]="Compensated"))*ISNUMBER(MATCH(Recommendations[Id],L283:AY283,0)))/COUNTIF(L283:AY283,"&lt;&gt;"))</f>
        <v/>
      </c>
      <c r="L283" s="243"/>
      <c r="M283" s="243"/>
      <c r="N283" s="243"/>
      <c r="O283" s="243"/>
      <c r="P283" s="243"/>
      <c r="Q283" s="243"/>
      <c r="R283" s="243"/>
      <c r="S283" s="243"/>
      <c r="T283" s="243"/>
      <c r="U283" s="243"/>
      <c r="V283" s="243"/>
      <c r="W283" s="243"/>
      <c r="X283" s="243"/>
      <c r="Y283" s="243"/>
      <c r="Z283" s="243"/>
      <c r="AA283" s="243"/>
      <c r="AB283" s="243"/>
      <c r="AC283" s="243"/>
      <c r="AD283" s="243"/>
      <c r="AE283" s="243"/>
      <c r="AF283" s="243"/>
      <c r="AG283" s="243"/>
      <c r="AH283" s="243"/>
      <c r="AI283" s="243"/>
      <c r="AJ283" s="243"/>
      <c r="AK283" s="243"/>
      <c r="AL283" s="243"/>
      <c r="AM283" s="243"/>
      <c r="AN283" s="243"/>
      <c r="AO283" s="243"/>
      <c r="AP283" s="243"/>
      <c r="AQ283" s="243"/>
      <c r="AR283" s="243"/>
      <c r="AS283" s="243"/>
      <c r="AT283" s="243"/>
      <c r="AU283" s="243"/>
      <c r="AV283" s="243"/>
      <c r="AW283" s="243"/>
      <c r="AX283" s="243"/>
      <c r="AY283" s="253"/>
    </row>
    <row r="284" spans="1:51" ht="60" customHeight="1" x14ac:dyDescent="0.35">
      <c r="A284" s="249" t="s">
        <v>6480</v>
      </c>
      <c r="B284" s="237" t="s">
        <v>6481</v>
      </c>
      <c r="C284" s="237" t="s">
        <v>6482</v>
      </c>
      <c r="D284" s="237" t="s">
        <v>6483</v>
      </c>
      <c r="E284" s="237" t="s">
        <v>21</v>
      </c>
      <c r="F284" s="237" t="s">
        <v>21</v>
      </c>
      <c r="G284" s="237" t="s">
        <v>21</v>
      </c>
      <c r="H284" s="237" t="s">
        <v>6484</v>
      </c>
      <c r="I284" s="237" t="s">
        <v>21</v>
      </c>
      <c r="J284" s="237" t="s">
        <v>6485</v>
      </c>
      <c r="K284" s="240" t="str">
        <f>IF(COUNTIF(L284:AY284,"&lt;&gt;")=0,"",SUMPRODUCT(((Recommendations[ImplStatus]="Implemented")+(Recommendations[ImplStatus]="Compensated"))*ISNUMBER(MATCH(Recommendations[Id],L284:AY284,0)))/COUNTIF(L284:AY284,"&lt;&gt;"))</f>
        <v/>
      </c>
      <c r="L284" s="243"/>
      <c r="M284" s="243"/>
      <c r="N284" s="243"/>
      <c r="O284" s="243"/>
      <c r="P284" s="243"/>
      <c r="Q284" s="243"/>
      <c r="R284" s="243"/>
      <c r="S284" s="243"/>
      <c r="T284" s="243"/>
      <c r="U284" s="243"/>
      <c r="V284" s="243"/>
      <c r="W284" s="243"/>
      <c r="X284" s="243"/>
      <c r="Y284" s="243"/>
      <c r="Z284" s="243"/>
      <c r="AA284" s="243"/>
      <c r="AB284" s="243"/>
      <c r="AC284" s="243"/>
      <c r="AD284" s="243"/>
      <c r="AE284" s="243"/>
      <c r="AF284" s="243"/>
      <c r="AG284" s="243"/>
      <c r="AH284" s="243"/>
      <c r="AI284" s="243"/>
      <c r="AJ284" s="243"/>
      <c r="AK284" s="243"/>
      <c r="AL284" s="243"/>
      <c r="AM284" s="243"/>
      <c r="AN284" s="243"/>
      <c r="AO284" s="243"/>
      <c r="AP284" s="243"/>
      <c r="AQ284" s="243"/>
      <c r="AR284" s="243"/>
      <c r="AS284" s="243"/>
      <c r="AT284" s="243"/>
      <c r="AU284" s="243"/>
      <c r="AV284" s="243"/>
      <c r="AW284" s="243"/>
      <c r="AX284" s="243"/>
      <c r="AY284" s="253"/>
    </row>
    <row r="285" spans="1:51" ht="60" customHeight="1" outlineLevel="1" x14ac:dyDescent="0.35">
      <c r="A285" s="248" t="s">
        <v>2663</v>
      </c>
      <c r="B285" s="236" t="s">
        <v>6486</v>
      </c>
      <c r="C285" s="236"/>
      <c r="D285" s="236"/>
      <c r="E285" s="236"/>
      <c r="F285" s="236"/>
      <c r="G285" s="236"/>
      <c r="H285" s="236"/>
      <c r="I285" s="236"/>
      <c r="J285" s="236"/>
      <c r="K285" s="239" t="str">
        <f>IF(COUNTIF(L285:AY285,"&lt;&gt;")=0,"",SUMPRODUCT(((Recommendations[ImplStatus]="Implemented")+(Recommendations[ImplStatus]="Compensated"))*ISNUMBER(MATCH(Recommendations[Id],L285:AY285,0)))/COUNTIF(L285:AY285,"&lt;&gt;"))</f>
        <v/>
      </c>
      <c r="L285" s="242"/>
      <c r="M285" s="242"/>
      <c r="N285" s="242"/>
      <c r="O285" s="242"/>
      <c r="P285" s="242"/>
      <c r="Q285" s="242"/>
      <c r="R285" s="242"/>
      <c r="S285" s="242"/>
      <c r="T285" s="242"/>
      <c r="U285" s="242"/>
      <c r="V285" s="242"/>
      <c r="W285" s="242"/>
      <c r="X285" s="242"/>
      <c r="Y285" s="242"/>
      <c r="Z285" s="242"/>
      <c r="AA285" s="242"/>
      <c r="AB285" s="242"/>
      <c r="AC285" s="242"/>
      <c r="AD285" s="242"/>
      <c r="AE285" s="242"/>
      <c r="AF285" s="242"/>
      <c r="AG285" s="242"/>
      <c r="AH285" s="242"/>
      <c r="AI285" s="242"/>
      <c r="AJ285" s="242"/>
      <c r="AK285" s="242"/>
      <c r="AL285" s="242"/>
      <c r="AM285" s="242"/>
      <c r="AN285" s="242"/>
      <c r="AO285" s="242"/>
      <c r="AP285" s="242"/>
      <c r="AQ285" s="242"/>
      <c r="AR285" s="242"/>
      <c r="AS285" s="242"/>
      <c r="AT285" s="242"/>
      <c r="AU285" s="242"/>
      <c r="AV285" s="242"/>
      <c r="AW285" s="242"/>
      <c r="AX285" s="242"/>
      <c r="AY285" s="252"/>
    </row>
    <row r="286" spans="1:51" ht="60" customHeight="1" x14ac:dyDescent="0.35">
      <c r="A286" s="249" t="s">
        <v>6487</v>
      </c>
      <c r="B286" s="237" t="s">
        <v>6488</v>
      </c>
      <c r="C286" s="237" t="s">
        <v>6489</v>
      </c>
      <c r="D286" s="237" t="s">
        <v>6490</v>
      </c>
      <c r="E286" s="237" t="s">
        <v>21</v>
      </c>
      <c r="F286" s="237" t="s">
        <v>21</v>
      </c>
      <c r="G286" s="237" t="s">
        <v>21</v>
      </c>
      <c r="H286" s="237" t="s">
        <v>6491</v>
      </c>
      <c r="I286" s="237" t="s">
        <v>6492</v>
      </c>
      <c r="J286" s="237" t="s">
        <v>6493</v>
      </c>
      <c r="K286" s="240" t="str">
        <f>IF(COUNTIF(L286:AY286,"&lt;&gt;")=0,"",SUMPRODUCT(((Recommendations[ImplStatus]="Implemented")+(Recommendations[ImplStatus]="Compensated"))*ISNUMBER(MATCH(Recommendations[Id],L286:AY286,0)))/COUNTIF(L286:AY286,"&lt;&gt;"))</f>
        <v/>
      </c>
      <c r="L286" s="243"/>
      <c r="M286" s="243"/>
      <c r="N286" s="243"/>
      <c r="O286" s="243"/>
      <c r="P286" s="243"/>
      <c r="Q286" s="243"/>
      <c r="R286" s="243"/>
      <c r="S286" s="243"/>
      <c r="T286" s="243"/>
      <c r="U286" s="243"/>
      <c r="V286" s="243"/>
      <c r="W286" s="243"/>
      <c r="X286" s="243"/>
      <c r="Y286" s="243"/>
      <c r="Z286" s="243"/>
      <c r="AA286" s="243"/>
      <c r="AB286" s="243"/>
      <c r="AC286" s="243"/>
      <c r="AD286" s="243"/>
      <c r="AE286" s="243"/>
      <c r="AF286" s="243"/>
      <c r="AG286" s="243"/>
      <c r="AH286" s="243"/>
      <c r="AI286" s="243"/>
      <c r="AJ286" s="243"/>
      <c r="AK286" s="243"/>
      <c r="AL286" s="243"/>
      <c r="AM286" s="243"/>
      <c r="AN286" s="243"/>
      <c r="AO286" s="243"/>
      <c r="AP286" s="243"/>
      <c r="AQ286" s="243"/>
      <c r="AR286" s="243"/>
      <c r="AS286" s="243"/>
      <c r="AT286" s="243"/>
      <c r="AU286" s="243"/>
      <c r="AV286" s="243"/>
      <c r="AW286" s="243"/>
      <c r="AX286" s="243"/>
      <c r="AY286" s="253"/>
    </row>
    <row r="287" spans="1:51" ht="60" customHeight="1" outlineLevel="1" x14ac:dyDescent="0.35">
      <c r="A287" s="248" t="s">
        <v>2667</v>
      </c>
      <c r="B287" s="236" t="s">
        <v>6494</v>
      </c>
      <c r="C287" s="236"/>
      <c r="D287" s="236"/>
      <c r="E287" s="236"/>
      <c r="F287" s="236"/>
      <c r="G287" s="236"/>
      <c r="H287" s="236"/>
      <c r="I287" s="236"/>
      <c r="J287" s="236"/>
      <c r="K287" s="239" t="str">
        <f>IF(COUNTIF(L287:AY287,"&lt;&gt;")=0,"",SUMPRODUCT(((Recommendations[ImplStatus]="Implemented")+(Recommendations[ImplStatus]="Compensated"))*ISNUMBER(MATCH(Recommendations[Id],L287:AY287,0)))/COUNTIF(L287:AY287,"&lt;&gt;"))</f>
        <v/>
      </c>
      <c r="L287" s="242"/>
      <c r="M287" s="242"/>
      <c r="N287" s="242"/>
      <c r="O287" s="242"/>
      <c r="P287" s="242"/>
      <c r="Q287" s="242"/>
      <c r="R287" s="242"/>
      <c r="S287" s="242"/>
      <c r="T287" s="242"/>
      <c r="U287" s="242"/>
      <c r="V287" s="242"/>
      <c r="W287" s="242"/>
      <c r="X287" s="242"/>
      <c r="Y287" s="242"/>
      <c r="Z287" s="242"/>
      <c r="AA287" s="242"/>
      <c r="AB287" s="242"/>
      <c r="AC287" s="242"/>
      <c r="AD287" s="242"/>
      <c r="AE287" s="242"/>
      <c r="AF287" s="242"/>
      <c r="AG287" s="242"/>
      <c r="AH287" s="242"/>
      <c r="AI287" s="242"/>
      <c r="AJ287" s="242"/>
      <c r="AK287" s="242"/>
      <c r="AL287" s="242"/>
      <c r="AM287" s="242"/>
      <c r="AN287" s="242"/>
      <c r="AO287" s="242"/>
      <c r="AP287" s="242"/>
      <c r="AQ287" s="242"/>
      <c r="AR287" s="242"/>
      <c r="AS287" s="242"/>
      <c r="AT287" s="242"/>
      <c r="AU287" s="242"/>
      <c r="AV287" s="242"/>
      <c r="AW287" s="242"/>
      <c r="AX287" s="242"/>
      <c r="AY287" s="252"/>
    </row>
    <row r="288" spans="1:51" ht="60" customHeight="1" x14ac:dyDescent="0.35">
      <c r="A288" s="249" t="s">
        <v>6495</v>
      </c>
      <c r="B288" s="237" t="s">
        <v>6496</v>
      </c>
      <c r="C288" s="237" t="s">
        <v>6497</v>
      </c>
      <c r="D288" s="237" t="s">
        <v>6498</v>
      </c>
      <c r="E288" s="237" t="s">
        <v>6499</v>
      </c>
      <c r="F288" s="237" t="s">
        <v>6500</v>
      </c>
      <c r="G288" s="237" t="s">
        <v>6501</v>
      </c>
      <c r="H288" s="237" t="s">
        <v>6502</v>
      </c>
      <c r="I288" s="237" t="s">
        <v>5483</v>
      </c>
      <c r="J288" s="237" t="s">
        <v>6503</v>
      </c>
      <c r="K288" s="240" t="str">
        <f>IF(COUNTIF(L288:AY288,"&lt;&gt;")=0,"",SUMPRODUCT(((Recommendations[ImplStatus]="Implemented")+(Recommendations[ImplStatus]="Compensated"))*ISNUMBER(MATCH(Recommendations[Id],L288:AY288,0)))/COUNTIF(L288:AY288,"&lt;&gt;"))</f>
        <v/>
      </c>
      <c r="L288" s="243"/>
      <c r="M288" s="243"/>
      <c r="N288" s="243"/>
      <c r="O288" s="243"/>
      <c r="P288" s="243"/>
      <c r="Q288" s="243"/>
      <c r="R288" s="243"/>
      <c r="S288" s="243"/>
      <c r="T288" s="243"/>
      <c r="U288" s="243"/>
      <c r="V288" s="243"/>
      <c r="W288" s="243"/>
      <c r="X288" s="243"/>
      <c r="Y288" s="243"/>
      <c r="Z288" s="243"/>
      <c r="AA288" s="243"/>
      <c r="AB288" s="243"/>
      <c r="AC288" s="243"/>
      <c r="AD288" s="243"/>
      <c r="AE288" s="243"/>
      <c r="AF288" s="243"/>
      <c r="AG288" s="243"/>
      <c r="AH288" s="243"/>
      <c r="AI288" s="243"/>
      <c r="AJ288" s="243"/>
      <c r="AK288" s="243"/>
      <c r="AL288" s="243"/>
      <c r="AM288" s="243"/>
      <c r="AN288" s="243"/>
      <c r="AO288" s="243"/>
      <c r="AP288" s="243"/>
      <c r="AQ288" s="243"/>
      <c r="AR288" s="243"/>
      <c r="AS288" s="243"/>
      <c r="AT288" s="243"/>
      <c r="AU288" s="243"/>
      <c r="AV288" s="243"/>
      <c r="AW288" s="243"/>
      <c r="AX288" s="243"/>
      <c r="AY288" s="253"/>
    </row>
    <row r="289" spans="1:51" ht="60" customHeight="1" x14ac:dyDescent="0.35">
      <c r="A289" s="249" t="s">
        <v>6504</v>
      </c>
      <c r="B289" s="237" t="s">
        <v>6505</v>
      </c>
      <c r="C289" s="237" t="s">
        <v>6506</v>
      </c>
      <c r="D289" s="237" t="s">
        <v>21</v>
      </c>
      <c r="E289" s="237" t="s">
        <v>6499</v>
      </c>
      <c r="F289" s="237" t="s">
        <v>21</v>
      </c>
      <c r="G289" s="237" t="s">
        <v>6507</v>
      </c>
      <c r="H289" s="237" t="s">
        <v>6508</v>
      </c>
      <c r="I289" s="237" t="s">
        <v>6509</v>
      </c>
      <c r="J289" s="237" t="s">
        <v>6510</v>
      </c>
      <c r="K289" s="240" t="str">
        <f>IF(COUNTIF(L289:AY289,"&lt;&gt;")=0,"",SUMPRODUCT(((Recommendations[ImplStatus]="Implemented")+(Recommendations[ImplStatus]="Compensated"))*ISNUMBER(MATCH(Recommendations[Id],L289:AY289,0)))/COUNTIF(L289:AY289,"&lt;&gt;"))</f>
        <v/>
      </c>
      <c r="L289" s="243"/>
      <c r="M289" s="243"/>
      <c r="N289" s="243"/>
      <c r="O289" s="243"/>
      <c r="P289" s="243"/>
      <c r="Q289" s="243"/>
      <c r="R289" s="243"/>
      <c r="S289" s="243"/>
      <c r="T289" s="243"/>
      <c r="U289" s="243"/>
      <c r="V289" s="243"/>
      <c r="W289" s="243"/>
      <c r="X289" s="243"/>
      <c r="Y289" s="243"/>
      <c r="Z289" s="243"/>
      <c r="AA289" s="243"/>
      <c r="AB289" s="243"/>
      <c r="AC289" s="243"/>
      <c r="AD289" s="243"/>
      <c r="AE289" s="243"/>
      <c r="AF289" s="243"/>
      <c r="AG289" s="243"/>
      <c r="AH289" s="243"/>
      <c r="AI289" s="243"/>
      <c r="AJ289" s="243"/>
      <c r="AK289" s="243"/>
      <c r="AL289" s="243"/>
      <c r="AM289" s="243"/>
      <c r="AN289" s="243"/>
      <c r="AO289" s="243"/>
      <c r="AP289" s="243"/>
      <c r="AQ289" s="243"/>
      <c r="AR289" s="243"/>
      <c r="AS289" s="243"/>
      <c r="AT289" s="243"/>
      <c r="AU289" s="243"/>
      <c r="AV289" s="243"/>
      <c r="AW289" s="243"/>
      <c r="AX289" s="243"/>
      <c r="AY289" s="253"/>
    </row>
    <row r="290" spans="1:51" ht="60" customHeight="1" x14ac:dyDescent="0.35">
      <c r="A290" s="249" t="s">
        <v>6511</v>
      </c>
      <c r="B290" s="237" t="s">
        <v>6512</v>
      </c>
      <c r="C290" s="237" t="s">
        <v>6513</v>
      </c>
      <c r="D290" s="237" t="s">
        <v>21</v>
      </c>
      <c r="E290" s="237" t="s">
        <v>6514</v>
      </c>
      <c r="F290" s="237" t="s">
        <v>21</v>
      </c>
      <c r="G290" s="237" t="s">
        <v>6515</v>
      </c>
      <c r="H290" s="237" t="s">
        <v>6516</v>
      </c>
      <c r="I290" s="237" t="s">
        <v>6517</v>
      </c>
      <c r="J290" s="237" t="s">
        <v>6518</v>
      </c>
      <c r="K290" s="240" t="str">
        <f>IF(COUNTIF(L290:AY290,"&lt;&gt;")=0,"",SUMPRODUCT(((Recommendations[ImplStatus]="Implemented")+(Recommendations[ImplStatus]="Compensated"))*ISNUMBER(MATCH(Recommendations[Id],L290:AY290,0)))/COUNTIF(L290:AY290,"&lt;&gt;"))</f>
        <v/>
      </c>
      <c r="L290" s="243"/>
      <c r="M290" s="243"/>
      <c r="N290" s="243"/>
      <c r="O290" s="243"/>
      <c r="P290" s="243"/>
      <c r="Q290" s="243"/>
      <c r="R290" s="243"/>
      <c r="S290" s="243"/>
      <c r="T290" s="243"/>
      <c r="U290" s="243"/>
      <c r="V290" s="243"/>
      <c r="W290" s="243"/>
      <c r="X290" s="243"/>
      <c r="Y290" s="243"/>
      <c r="Z290" s="243"/>
      <c r="AA290" s="243"/>
      <c r="AB290" s="243"/>
      <c r="AC290" s="243"/>
      <c r="AD290" s="243"/>
      <c r="AE290" s="243"/>
      <c r="AF290" s="243"/>
      <c r="AG290" s="243"/>
      <c r="AH290" s="243"/>
      <c r="AI290" s="243"/>
      <c r="AJ290" s="243"/>
      <c r="AK290" s="243"/>
      <c r="AL290" s="243"/>
      <c r="AM290" s="243"/>
      <c r="AN290" s="243"/>
      <c r="AO290" s="243"/>
      <c r="AP290" s="243"/>
      <c r="AQ290" s="243"/>
      <c r="AR290" s="243"/>
      <c r="AS290" s="243"/>
      <c r="AT290" s="243"/>
      <c r="AU290" s="243"/>
      <c r="AV290" s="243"/>
      <c r="AW290" s="243"/>
      <c r="AX290" s="243"/>
      <c r="AY290" s="253"/>
    </row>
    <row r="291" spans="1:51" ht="60" customHeight="1" x14ac:dyDescent="0.35">
      <c r="A291" s="249" t="s">
        <v>6519</v>
      </c>
      <c r="B291" s="237" t="s">
        <v>6520</v>
      </c>
      <c r="C291" s="237" t="s">
        <v>6521</v>
      </c>
      <c r="D291" s="237" t="s">
        <v>21</v>
      </c>
      <c r="E291" s="237" t="s">
        <v>21</v>
      </c>
      <c r="F291" s="237" t="s">
        <v>21</v>
      </c>
      <c r="G291" s="237" t="s">
        <v>21</v>
      </c>
      <c r="H291" s="237" t="s">
        <v>6522</v>
      </c>
      <c r="I291" s="237" t="s">
        <v>5483</v>
      </c>
      <c r="J291" s="237" t="s">
        <v>6523</v>
      </c>
      <c r="K291" s="240" t="str">
        <f>IF(COUNTIF(L291:AY291,"&lt;&gt;")=0,"",SUMPRODUCT(((Recommendations[ImplStatus]="Implemented")+(Recommendations[ImplStatus]="Compensated"))*ISNUMBER(MATCH(Recommendations[Id],L291:AY291,0)))/COUNTIF(L291:AY291,"&lt;&gt;"))</f>
        <v/>
      </c>
      <c r="L291" s="243"/>
      <c r="M291" s="243"/>
      <c r="N291" s="243"/>
      <c r="O291" s="243"/>
      <c r="P291" s="243"/>
      <c r="Q291" s="243"/>
      <c r="R291" s="243"/>
      <c r="S291" s="243"/>
      <c r="T291" s="243"/>
      <c r="U291" s="243"/>
      <c r="V291" s="243"/>
      <c r="W291" s="243"/>
      <c r="X291" s="243"/>
      <c r="Y291" s="243"/>
      <c r="Z291" s="243"/>
      <c r="AA291" s="243"/>
      <c r="AB291" s="243"/>
      <c r="AC291" s="243"/>
      <c r="AD291" s="243"/>
      <c r="AE291" s="243"/>
      <c r="AF291" s="243"/>
      <c r="AG291" s="243"/>
      <c r="AH291" s="243"/>
      <c r="AI291" s="243"/>
      <c r="AJ291" s="243"/>
      <c r="AK291" s="243"/>
      <c r="AL291" s="243"/>
      <c r="AM291" s="243"/>
      <c r="AN291" s="243"/>
      <c r="AO291" s="243"/>
      <c r="AP291" s="243"/>
      <c r="AQ291" s="243"/>
      <c r="AR291" s="243"/>
      <c r="AS291" s="243"/>
      <c r="AT291" s="243"/>
      <c r="AU291" s="243"/>
      <c r="AV291" s="243"/>
      <c r="AW291" s="243"/>
      <c r="AX291" s="243"/>
      <c r="AY291" s="253"/>
    </row>
    <row r="292" spans="1:51" ht="60" customHeight="1" outlineLevel="1" x14ac:dyDescent="0.35">
      <c r="A292" s="248" t="s">
        <v>2671</v>
      </c>
      <c r="B292" s="236" t="s">
        <v>6524</v>
      </c>
      <c r="C292" s="236"/>
      <c r="D292" s="236"/>
      <c r="E292" s="236"/>
      <c r="F292" s="236"/>
      <c r="G292" s="236"/>
      <c r="H292" s="236"/>
      <c r="I292" s="236"/>
      <c r="J292" s="236"/>
      <c r="K292" s="239" t="str">
        <f>IF(COUNTIF(L292:AY292,"&lt;&gt;")=0,"",SUMPRODUCT(((Recommendations[ImplStatus]="Implemented")+(Recommendations[ImplStatus]="Compensated"))*ISNUMBER(MATCH(Recommendations[Id],L292:AY292,0)))/COUNTIF(L292:AY292,"&lt;&gt;"))</f>
        <v/>
      </c>
      <c r="L292" s="242"/>
      <c r="M292" s="242"/>
      <c r="N292" s="242"/>
      <c r="O292" s="242"/>
      <c r="P292" s="242"/>
      <c r="Q292" s="242"/>
      <c r="R292" s="242"/>
      <c r="S292" s="242"/>
      <c r="T292" s="242"/>
      <c r="U292" s="242"/>
      <c r="V292" s="242"/>
      <c r="W292" s="242"/>
      <c r="X292" s="242"/>
      <c r="Y292" s="242"/>
      <c r="Z292" s="242"/>
      <c r="AA292" s="242"/>
      <c r="AB292" s="242"/>
      <c r="AC292" s="242"/>
      <c r="AD292" s="242"/>
      <c r="AE292" s="242"/>
      <c r="AF292" s="242"/>
      <c r="AG292" s="242"/>
      <c r="AH292" s="242"/>
      <c r="AI292" s="242"/>
      <c r="AJ292" s="242"/>
      <c r="AK292" s="242"/>
      <c r="AL292" s="242"/>
      <c r="AM292" s="242"/>
      <c r="AN292" s="242"/>
      <c r="AO292" s="242"/>
      <c r="AP292" s="242"/>
      <c r="AQ292" s="242"/>
      <c r="AR292" s="242"/>
      <c r="AS292" s="242"/>
      <c r="AT292" s="242"/>
      <c r="AU292" s="242"/>
      <c r="AV292" s="242"/>
      <c r="AW292" s="242"/>
      <c r="AX292" s="242"/>
      <c r="AY292" s="252"/>
    </row>
    <row r="293" spans="1:51" ht="60" customHeight="1" x14ac:dyDescent="0.35">
      <c r="A293" s="249" t="s">
        <v>6525</v>
      </c>
      <c r="B293" s="237" t="s">
        <v>6526</v>
      </c>
      <c r="C293" s="237" t="s">
        <v>6527</v>
      </c>
      <c r="D293" s="237" t="s">
        <v>6528</v>
      </c>
      <c r="E293" s="237" t="s">
        <v>21</v>
      </c>
      <c r="F293" s="237" t="s">
        <v>21</v>
      </c>
      <c r="G293" s="237" t="s">
        <v>21</v>
      </c>
      <c r="H293" s="237" t="s">
        <v>6529</v>
      </c>
      <c r="I293" s="237" t="s">
        <v>6530</v>
      </c>
      <c r="J293" s="237" t="s">
        <v>6531</v>
      </c>
      <c r="K293" s="240" t="str">
        <f>IF(COUNTIF(L293:AY293,"&lt;&gt;")=0,"",SUMPRODUCT(((Recommendations[ImplStatus]="Implemented")+(Recommendations[ImplStatus]="Compensated"))*ISNUMBER(MATCH(Recommendations[Id],L293:AY293,0)))/COUNTIF(L293:AY293,"&lt;&gt;"))</f>
        <v/>
      </c>
      <c r="L293" s="243"/>
      <c r="M293" s="243"/>
      <c r="N293" s="243"/>
      <c r="O293" s="243"/>
      <c r="P293" s="243"/>
      <c r="Q293" s="243"/>
      <c r="R293" s="243"/>
      <c r="S293" s="243"/>
      <c r="T293" s="243"/>
      <c r="U293" s="243"/>
      <c r="V293" s="243"/>
      <c r="W293" s="243"/>
      <c r="X293" s="243"/>
      <c r="Y293" s="243"/>
      <c r="Z293" s="243"/>
      <c r="AA293" s="243"/>
      <c r="AB293" s="243"/>
      <c r="AC293" s="243"/>
      <c r="AD293" s="243"/>
      <c r="AE293" s="243"/>
      <c r="AF293" s="243"/>
      <c r="AG293" s="243"/>
      <c r="AH293" s="243"/>
      <c r="AI293" s="243"/>
      <c r="AJ293" s="243"/>
      <c r="AK293" s="243"/>
      <c r="AL293" s="243"/>
      <c r="AM293" s="243"/>
      <c r="AN293" s="243"/>
      <c r="AO293" s="243"/>
      <c r="AP293" s="243"/>
      <c r="AQ293" s="243"/>
      <c r="AR293" s="243"/>
      <c r="AS293" s="243"/>
      <c r="AT293" s="243"/>
      <c r="AU293" s="243"/>
      <c r="AV293" s="243"/>
      <c r="AW293" s="243"/>
      <c r="AX293" s="243"/>
      <c r="AY293" s="253"/>
    </row>
    <row r="294" spans="1:51" ht="60" customHeight="1" x14ac:dyDescent="0.35">
      <c r="A294" s="249" t="s">
        <v>6532</v>
      </c>
      <c r="B294" s="237" t="s">
        <v>6533</v>
      </c>
      <c r="C294" s="237" t="s">
        <v>6534</v>
      </c>
      <c r="D294" s="237" t="s">
        <v>6528</v>
      </c>
      <c r="E294" s="237" t="s">
        <v>21</v>
      </c>
      <c r="F294" s="237" t="s">
        <v>6535</v>
      </c>
      <c r="G294" s="237" t="s">
        <v>21</v>
      </c>
      <c r="H294" s="237" t="s">
        <v>6536</v>
      </c>
      <c r="I294" s="237" t="s">
        <v>5453</v>
      </c>
      <c r="J294" s="237" t="s">
        <v>6537</v>
      </c>
      <c r="K294" s="240" t="str">
        <f>IF(COUNTIF(L294:AY294,"&lt;&gt;")=0,"",SUMPRODUCT(((Recommendations[ImplStatus]="Implemented")+(Recommendations[ImplStatus]="Compensated"))*ISNUMBER(MATCH(Recommendations[Id],L294:AY294,0)))/COUNTIF(L294:AY294,"&lt;&gt;"))</f>
        <v/>
      </c>
      <c r="L294" s="243"/>
      <c r="M294" s="243"/>
      <c r="N294" s="243"/>
      <c r="O294" s="243"/>
      <c r="P294" s="243"/>
      <c r="Q294" s="243"/>
      <c r="R294" s="243"/>
      <c r="S294" s="243"/>
      <c r="T294" s="243"/>
      <c r="U294" s="243"/>
      <c r="V294" s="243"/>
      <c r="W294" s="243"/>
      <c r="X294" s="243"/>
      <c r="Y294" s="243"/>
      <c r="Z294" s="243"/>
      <c r="AA294" s="243"/>
      <c r="AB294" s="243"/>
      <c r="AC294" s="243"/>
      <c r="AD294" s="243"/>
      <c r="AE294" s="243"/>
      <c r="AF294" s="243"/>
      <c r="AG294" s="243"/>
      <c r="AH294" s="243"/>
      <c r="AI294" s="243"/>
      <c r="AJ294" s="243"/>
      <c r="AK294" s="243"/>
      <c r="AL294" s="243"/>
      <c r="AM294" s="243"/>
      <c r="AN294" s="243"/>
      <c r="AO294" s="243"/>
      <c r="AP294" s="243"/>
      <c r="AQ294" s="243"/>
      <c r="AR294" s="243"/>
      <c r="AS294" s="243"/>
      <c r="AT294" s="243"/>
      <c r="AU294" s="243"/>
      <c r="AV294" s="243"/>
      <c r="AW294" s="243"/>
      <c r="AX294" s="243"/>
      <c r="AY294" s="253"/>
    </row>
    <row r="295" spans="1:51" ht="60" customHeight="1" x14ac:dyDescent="0.35">
      <c r="A295" s="249" t="s">
        <v>6538</v>
      </c>
      <c r="B295" s="237" t="s">
        <v>6539</v>
      </c>
      <c r="C295" s="237" t="s">
        <v>6540</v>
      </c>
      <c r="D295" s="237" t="s">
        <v>6541</v>
      </c>
      <c r="E295" s="237" t="s">
        <v>21</v>
      </c>
      <c r="F295" s="237" t="s">
        <v>21</v>
      </c>
      <c r="G295" s="237" t="s">
        <v>21</v>
      </c>
      <c r="H295" s="237" t="s">
        <v>6542</v>
      </c>
      <c r="I295" s="237" t="s">
        <v>5453</v>
      </c>
      <c r="J295" s="237" t="s">
        <v>6543</v>
      </c>
      <c r="K295" s="240" t="str">
        <f>IF(COUNTIF(L295:AY295,"&lt;&gt;")=0,"",SUMPRODUCT(((Recommendations[ImplStatus]="Implemented")+(Recommendations[ImplStatus]="Compensated"))*ISNUMBER(MATCH(Recommendations[Id],L295:AY295,0)))/COUNTIF(L295:AY295,"&lt;&gt;"))</f>
        <v/>
      </c>
      <c r="L295" s="243"/>
      <c r="M295" s="243"/>
      <c r="N295" s="243"/>
      <c r="O295" s="243"/>
      <c r="P295" s="243"/>
      <c r="Q295" s="243"/>
      <c r="R295" s="243"/>
      <c r="S295" s="243"/>
      <c r="T295" s="243"/>
      <c r="U295" s="243"/>
      <c r="V295" s="243"/>
      <c r="W295" s="243"/>
      <c r="X295" s="243"/>
      <c r="Y295" s="243"/>
      <c r="Z295" s="243"/>
      <c r="AA295" s="243"/>
      <c r="AB295" s="243"/>
      <c r="AC295" s="243"/>
      <c r="AD295" s="243"/>
      <c r="AE295" s="243"/>
      <c r="AF295" s="243"/>
      <c r="AG295" s="243"/>
      <c r="AH295" s="243"/>
      <c r="AI295" s="243"/>
      <c r="AJ295" s="243"/>
      <c r="AK295" s="243"/>
      <c r="AL295" s="243"/>
      <c r="AM295" s="243"/>
      <c r="AN295" s="243"/>
      <c r="AO295" s="243"/>
      <c r="AP295" s="243"/>
      <c r="AQ295" s="243"/>
      <c r="AR295" s="243"/>
      <c r="AS295" s="243"/>
      <c r="AT295" s="243"/>
      <c r="AU295" s="243"/>
      <c r="AV295" s="243"/>
      <c r="AW295" s="243"/>
      <c r="AX295" s="243"/>
      <c r="AY295" s="253"/>
    </row>
    <row r="296" spans="1:51" ht="60" customHeight="1" outlineLevel="1" x14ac:dyDescent="0.35">
      <c r="A296" s="248" t="s">
        <v>2675</v>
      </c>
      <c r="B296" s="236" t="s">
        <v>6544</v>
      </c>
      <c r="C296" s="236"/>
      <c r="D296" s="236"/>
      <c r="E296" s="236"/>
      <c r="F296" s="236"/>
      <c r="G296" s="236"/>
      <c r="H296" s="236"/>
      <c r="I296" s="236"/>
      <c r="J296" s="236"/>
      <c r="K296" s="239" t="str">
        <f>IF(COUNTIF(L296:AY296,"&lt;&gt;")=0,"",SUMPRODUCT(((Recommendations[ImplStatus]="Implemented")+(Recommendations[ImplStatus]="Compensated"))*ISNUMBER(MATCH(Recommendations[Id],L296:AY296,0)))/COUNTIF(L296:AY296,"&lt;&gt;"))</f>
        <v/>
      </c>
      <c r="L296" s="242"/>
      <c r="M296" s="242"/>
      <c r="N296" s="242"/>
      <c r="O296" s="242"/>
      <c r="P296" s="242"/>
      <c r="Q296" s="242"/>
      <c r="R296" s="242"/>
      <c r="S296" s="242"/>
      <c r="T296" s="242"/>
      <c r="U296" s="242"/>
      <c r="V296" s="242"/>
      <c r="W296" s="242"/>
      <c r="X296" s="242"/>
      <c r="Y296" s="242"/>
      <c r="Z296" s="242"/>
      <c r="AA296" s="242"/>
      <c r="AB296" s="242"/>
      <c r="AC296" s="242"/>
      <c r="AD296" s="242"/>
      <c r="AE296" s="242"/>
      <c r="AF296" s="242"/>
      <c r="AG296" s="242"/>
      <c r="AH296" s="242"/>
      <c r="AI296" s="242"/>
      <c r="AJ296" s="242"/>
      <c r="AK296" s="242"/>
      <c r="AL296" s="242"/>
      <c r="AM296" s="242"/>
      <c r="AN296" s="242"/>
      <c r="AO296" s="242"/>
      <c r="AP296" s="242"/>
      <c r="AQ296" s="242"/>
      <c r="AR296" s="242"/>
      <c r="AS296" s="242"/>
      <c r="AT296" s="242"/>
      <c r="AU296" s="242"/>
      <c r="AV296" s="242"/>
      <c r="AW296" s="242"/>
      <c r="AX296" s="242"/>
      <c r="AY296" s="252"/>
    </row>
    <row r="297" spans="1:51" ht="60" customHeight="1" x14ac:dyDescent="0.35">
      <c r="A297" s="249" t="s">
        <v>6545</v>
      </c>
      <c r="B297" s="237" t="s">
        <v>6546</v>
      </c>
      <c r="C297" s="237" t="s">
        <v>6547</v>
      </c>
      <c r="D297" s="237" t="s">
        <v>6541</v>
      </c>
      <c r="E297" s="237" t="s">
        <v>21</v>
      </c>
      <c r="F297" s="237" t="s">
        <v>6548</v>
      </c>
      <c r="G297" s="237" t="s">
        <v>21</v>
      </c>
      <c r="H297" s="237" t="s">
        <v>6549</v>
      </c>
      <c r="I297" s="237" t="s">
        <v>21</v>
      </c>
      <c r="J297" s="237" t="s">
        <v>6550</v>
      </c>
      <c r="K297" s="240" t="str">
        <f>IF(COUNTIF(L297:AY297,"&lt;&gt;")=0,"",SUMPRODUCT(((Recommendations[ImplStatus]="Implemented")+(Recommendations[ImplStatus]="Compensated"))*ISNUMBER(MATCH(Recommendations[Id],L297:AY297,0)))/COUNTIF(L297:AY297,"&lt;&gt;"))</f>
        <v/>
      </c>
      <c r="L297" s="243"/>
      <c r="M297" s="243"/>
      <c r="N297" s="243"/>
      <c r="O297" s="243"/>
      <c r="P297" s="243"/>
      <c r="Q297" s="243"/>
      <c r="R297" s="243"/>
      <c r="S297" s="243"/>
      <c r="T297" s="243"/>
      <c r="U297" s="243"/>
      <c r="V297" s="243"/>
      <c r="W297" s="243"/>
      <c r="X297" s="243"/>
      <c r="Y297" s="243"/>
      <c r="Z297" s="243"/>
      <c r="AA297" s="243"/>
      <c r="AB297" s="243"/>
      <c r="AC297" s="243"/>
      <c r="AD297" s="243"/>
      <c r="AE297" s="243"/>
      <c r="AF297" s="243"/>
      <c r="AG297" s="243"/>
      <c r="AH297" s="243"/>
      <c r="AI297" s="243"/>
      <c r="AJ297" s="243"/>
      <c r="AK297" s="243"/>
      <c r="AL297" s="243"/>
      <c r="AM297" s="243"/>
      <c r="AN297" s="243"/>
      <c r="AO297" s="243"/>
      <c r="AP297" s="243"/>
      <c r="AQ297" s="243"/>
      <c r="AR297" s="243"/>
      <c r="AS297" s="243"/>
      <c r="AT297" s="243"/>
      <c r="AU297" s="243"/>
      <c r="AV297" s="243"/>
      <c r="AW297" s="243"/>
      <c r="AX297" s="243"/>
      <c r="AY297" s="253"/>
    </row>
    <row r="298" spans="1:51" ht="60" customHeight="1" x14ac:dyDescent="0.35">
      <c r="A298" s="249" t="s">
        <v>6551</v>
      </c>
      <c r="B298" s="237" t="s">
        <v>6552</v>
      </c>
      <c r="C298" s="237" t="s">
        <v>6553</v>
      </c>
      <c r="D298" s="237" t="s">
        <v>6554</v>
      </c>
      <c r="E298" s="237" t="s">
        <v>21</v>
      </c>
      <c r="F298" s="237" t="s">
        <v>21</v>
      </c>
      <c r="G298" s="237" t="s">
        <v>6555</v>
      </c>
      <c r="H298" s="237" t="s">
        <v>6556</v>
      </c>
      <c r="I298" s="237" t="s">
        <v>6556</v>
      </c>
      <c r="J298" s="237" t="s">
        <v>6557</v>
      </c>
      <c r="K298" s="240" t="str">
        <f>IF(COUNTIF(L298:AY298,"&lt;&gt;")=0,"",SUMPRODUCT(((Recommendations[ImplStatus]="Implemented")+(Recommendations[ImplStatus]="Compensated"))*ISNUMBER(MATCH(Recommendations[Id],L298:AY298,0)))/COUNTIF(L298:AY298,"&lt;&gt;"))</f>
        <v/>
      </c>
      <c r="L298" s="243"/>
      <c r="M298" s="243"/>
      <c r="N298" s="243"/>
      <c r="O298" s="243"/>
      <c r="P298" s="243"/>
      <c r="Q298" s="243"/>
      <c r="R298" s="243"/>
      <c r="S298" s="243"/>
      <c r="T298" s="243"/>
      <c r="U298" s="243"/>
      <c r="V298" s="243"/>
      <c r="W298" s="243"/>
      <c r="X298" s="243"/>
      <c r="Y298" s="243"/>
      <c r="Z298" s="243"/>
      <c r="AA298" s="243"/>
      <c r="AB298" s="243"/>
      <c r="AC298" s="243"/>
      <c r="AD298" s="243"/>
      <c r="AE298" s="243"/>
      <c r="AF298" s="243"/>
      <c r="AG298" s="243"/>
      <c r="AH298" s="243"/>
      <c r="AI298" s="243"/>
      <c r="AJ298" s="243"/>
      <c r="AK298" s="243"/>
      <c r="AL298" s="243"/>
      <c r="AM298" s="243"/>
      <c r="AN298" s="243"/>
      <c r="AO298" s="243"/>
      <c r="AP298" s="243"/>
      <c r="AQ298" s="243"/>
      <c r="AR298" s="243"/>
      <c r="AS298" s="243"/>
      <c r="AT298" s="243"/>
      <c r="AU298" s="243"/>
      <c r="AV298" s="243"/>
      <c r="AW298" s="243"/>
      <c r="AX298" s="243"/>
      <c r="AY298" s="253"/>
    </row>
    <row r="299" spans="1:51" ht="60" customHeight="1" x14ac:dyDescent="0.35">
      <c r="A299" s="249" t="s">
        <v>6558</v>
      </c>
      <c r="B299" s="237" t="s">
        <v>6559</v>
      </c>
      <c r="C299" s="237" t="s">
        <v>6560</v>
      </c>
      <c r="D299" s="237" t="s">
        <v>21</v>
      </c>
      <c r="E299" s="237" t="s">
        <v>21</v>
      </c>
      <c r="F299" s="237" t="s">
        <v>21</v>
      </c>
      <c r="G299" s="237" t="s">
        <v>21</v>
      </c>
      <c r="H299" s="237" t="s">
        <v>6561</v>
      </c>
      <c r="I299" s="237" t="s">
        <v>6562</v>
      </c>
      <c r="J299" s="237" t="s">
        <v>6563</v>
      </c>
      <c r="K299" s="240" t="str">
        <f>IF(COUNTIF(L299:AY299,"&lt;&gt;")=0,"",SUMPRODUCT(((Recommendations[ImplStatus]="Implemented")+(Recommendations[ImplStatus]="Compensated"))*ISNUMBER(MATCH(Recommendations[Id],L299:AY299,0)))/COUNTIF(L299:AY299,"&lt;&gt;"))</f>
        <v/>
      </c>
      <c r="L299" s="243"/>
      <c r="M299" s="243"/>
      <c r="N299" s="243"/>
      <c r="O299" s="243"/>
      <c r="P299" s="243"/>
      <c r="Q299" s="243"/>
      <c r="R299" s="243"/>
      <c r="S299" s="243"/>
      <c r="T299" s="243"/>
      <c r="U299" s="243"/>
      <c r="V299" s="243"/>
      <c r="W299" s="243"/>
      <c r="X299" s="243"/>
      <c r="Y299" s="243"/>
      <c r="Z299" s="243"/>
      <c r="AA299" s="243"/>
      <c r="AB299" s="243"/>
      <c r="AC299" s="243"/>
      <c r="AD299" s="243"/>
      <c r="AE299" s="243"/>
      <c r="AF299" s="243"/>
      <c r="AG299" s="243"/>
      <c r="AH299" s="243"/>
      <c r="AI299" s="243"/>
      <c r="AJ299" s="243"/>
      <c r="AK299" s="243"/>
      <c r="AL299" s="243"/>
      <c r="AM299" s="243"/>
      <c r="AN299" s="243"/>
      <c r="AO299" s="243"/>
      <c r="AP299" s="243"/>
      <c r="AQ299" s="243"/>
      <c r="AR299" s="243"/>
      <c r="AS299" s="243"/>
      <c r="AT299" s="243"/>
      <c r="AU299" s="243"/>
      <c r="AV299" s="243"/>
      <c r="AW299" s="243"/>
      <c r="AX299" s="243"/>
      <c r="AY299" s="253"/>
    </row>
    <row r="300" spans="1:51" ht="60" customHeight="1" x14ac:dyDescent="0.35">
      <c r="A300" s="249" t="s">
        <v>6564</v>
      </c>
      <c r="B300" s="237" t="s">
        <v>6565</v>
      </c>
      <c r="C300" s="237" t="s">
        <v>6566</v>
      </c>
      <c r="D300" s="237" t="s">
        <v>21</v>
      </c>
      <c r="E300" s="237" t="s">
        <v>21</v>
      </c>
      <c r="F300" s="237" t="s">
        <v>6567</v>
      </c>
      <c r="G300" s="237" t="s">
        <v>21</v>
      </c>
      <c r="H300" s="237" t="s">
        <v>6568</v>
      </c>
      <c r="I300" s="237" t="s">
        <v>6562</v>
      </c>
      <c r="J300" s="237" t="s">
        <v>6569</v>
      </c>
      <c r="K300" s="240" t="str">
        <f>IF(COUNTIF(L300:AY300,"&lt;&gt;")=0,"",SUMPRODUCT(((Recommendations[ImplStatus]="Implemented")+(Recommendations[ImplStatus]="Compensated"))*ISNUMBER(MATCH(Recommendations[Id],L300:AY300,0)))/COUNTIF(L300:AY300,"&lt;&gt;"))</f>
        <v/>
      </c>
      <c r="L300" s="243"/>
      <c r="M300" s="243"/>
      <c r="N300" s="243"/>
      <c r="O300" s="243"/>
      <c r="P300" s="243"/>
      <c r="Q300" s="243"/>
      <c r="R300" s="243"/>
      <c r="S300" s="243"/>
      <c r="T300" s="243"/>
      <c r="U300" s="243"/>
      <c r="V300" s="243"/>
      <c r="W300" s="243"/>
      <c r="X300" s="243"/>
      <c r="Y300" s="243"/>
      <c r="Z300" s="243"/>
      <c r="AA300" s="243"/>
      <c r="AB300" s="243"/>
      <c r="AC300" s="243"/>
      <c r="AD300" s="243"/>
      <c r="AE300" s="243"/>
      <c r="AF300" s="243"/>
      <c r="AG300" s="243"/>
      <c r="AH300" s="243"/>
      <c r="AI300" s="243"/>
      <c r="AJ300" s="243"/>
      <c r="AK300" s="243"/>
      <c r="AL300" s="243"/>
      <c r="AM300" s="243"/>
      <c r="AN300" s="243"/>
      <c r="AO300" s="243"/>
      <c r="AP300" s="243"/>
      <c r="AQ300" s="243"/>
      <c r="AR300" s="243"/>
      <c r="AS300" s="243"/>
      <c r="AT300" s="243"/>
      <c r="AU300" s="243"/>
      <c r="AV300" s="243"/>
      <c r="AW300" s="243"/>
      <c r="AX300" s="243"/>
      <c r="AY300" s="253"/>
    </row>
    <row r="301" spans="1:51" ht="60" customHeight="1" outlineLevel="1" x14ac:dyDescent="0.35">
      <c r="A301" s="248" t="s">
        <v>2679</v>
      </c>
      <c r="B301" s="236" t="s">
        <v>6570</v>
      </c>
      <c r="C301" s="236"/>
      <c r="D301" s="236"/>
      <c r="E301" s="236"/>
      <c r="F301" s="236"/>
      <c r="G301" s="236"/>
      <c r="H301" s="236"/>
      <c r="I301" s="236"/>
      <c r="J301" s="236"/>
      <c r="K301" s="239" t="str">
        <f>IF(COUNTIF(L301:AY301,"&lt;&gt;")=0,"",SUMPRODUCT(((Recommendations[ImplStatus]="Implemented")+(Recommendations[ImplStatus]="Compensated"))*ISNUMBER(MATCH(Recommendations[Id],L301:AY301,0)))/COUNTIF(L301:AY301,"&lt;&gt;"))</f>
        <v/>
      </c>
      <c r="L301" s="242"/>
      <c r="M301" s="242"/>
      <c r="N301" s="242"/>
      <c r="O301" s="242"/>
      <c r="P301" s="242"/>
      <c r="Q301" s="242"/>
      <c r="R301" s="242"/>
      <c r="S301" s="242"/>
      <c r="T301" s="242"/>
      <c r="U301" s="242"/>
      <c r="V301" s="242"/>
      <c r="W301" s="242"/>
      <c r="X301" s="242"/>
      <c r="Y301" s="242"/>
      <c r="Z301" s="242"/>
      <c r="AA301" s="242"/>
      <c r="AB301" s="242"/>
      <c r="AC301" s="242"/>
      <c r="AD301" s="242"/>
      <c r="AE301" s="242"/>
      <c r="AF301" s="242"/>
      <c r="AG301" s="242"/>
      <c r="AH301" s="242"/>
      <c r="AI301" s="242"/>
      <c r="AJ301" s="242"/>
      <c r="AK301" s="242"/>
      <c r="AL301" s="242"/>
      <c r="AM301" s="242"/>
      <c r="AN301" s="242"/>
      <c r="AO301" s="242"/>
      <c r="AP301" s="242"/>
      <c r="AQ301" s="242"/>
      <c r="AR301" s="242"/>
      <c r="AS301" s="242"/>
      <c r="AT301" s="242"/>
      <c r="AU301" s="242"/>
      <c r="AV301" s="242"/>
      <c r="AW301" s="242"/>
      <c r="AX301" s="242"/>
      <c r="AY301" s="252"/>
    </row>
    <row r="302" spans="1:51" ht="60" customHeight="1" x14ac:dyDescent="0.35">
      <c r="A302" s="249" t="s">
        <v>6571</v>
      </c>
      <c r="B302" s="237" t="s">
        <v>6572</v>
      </c>
      <c r="C302" s="237" t="s">
        <v>6573</v>
      </c>
      <c r="D302" s="237" t="s">
        <v>21</v>
      </c>
      <c r="E302" s="237" t="s">
        <v>21</v>
      </c>
      <c r="F302" s="237" t="s">
        <v>21</v>
      </c>
      <c r="G302" s="237" t="s">
        <v>21</v>
      </c>
      <c r="H302" s="237" t="s">
        <v>6574</v>
      </c>
      <c r="I302" s="237" t="s">
        <v>21</v>
      </c>
      <c r="J302" s="237" t="s">
        <v>6575</v>
      </c>
      <c r="K302" s="240" t="str">
        <f>IF(COUNTIF(L302:AY302,"&lt;&gt;")=0,"",SUMPRODUCT(((Recommendations[ImplStatus]="Implemented")+(Recommendations[ImplStatus]="Compensated"))*ISNUMBER(MATCH(Recommendations[Id],L302:AY302,0)))/COUNTIF(L302:AY302,"&lt;&gt;"))</f>
        <v/>
      </c>
      <c r="L302" s="243"/>
      <c r="M302" s="243"/>
      <c r="N302" s="243"/>
      <c r="O302" s="243"/>
      <c r="P302" s="243"/>
      <c r="Q302" s="243"/>
      <c r="R302" s="243"/>
      <c r="S302" s="243"/>
      <c r="T302" s="243"/>
      <c r="U302" s="243"/>
      <c r="V302" s="243"/>
      <c r="W302" s="243"/>
      <c r="X302" s="243"/>
      <c r="Y302" s="243"/>
      <c r="Z302" s="243"/>
      <c r="AA302" s="243"/>
      <c r="AB302" s="243"/>
      <c r="AC302" s="243"/>
      <c r="AD302" s="243"/>
      <c r="AE302" s="243"/>
      <c r="AF302" s="243"/>
      <c r="AG302" s="243"/>
      <c r="AH302" s="243"/>
      <c r="AI302" s="243"/>
      <c r="AJ302" s="243"/>
      <c r="AK302" s="243"/>
      <c r="AL302" s="243"/>
      <c r="AM302" s="243"/>
      <c r="AN302" s="243"/>
      <c r="AO302" s="243"/>
      <c r="AP302" s="243"/>
      <c r="AQ302" s="243"/>
      <c r="AR302" s="243"/>
      <c r="AS302" s="243"/>
      <c r="AT302" s="243"/>
      <c r="AU302" s="243"/>
      <c r="AV302" s="243"/>
      <c r="AW302" s="243"/>
      <c r="AX302" s="243"/>
      <c r="AY302" s="253"/>
    </row>
    <row r="303" spans="1:51" ht="60" customHeight="1" x14ac:dyDescent="0.35">
      <c r="A303" s="249" t="s">
        <v>6576</v>
      </c>
      <c r="B303" s="237" t="s">
        <v>6577</v>
      </c>
      <c r="C303" s="237" t="s">
        <v>6578</v>
      </c>
      <c r="D303" s="237" t="s">
        <v>6579</v>
      </c>
      <c r="E303" s="237" t="s">
        <v>21</v>
      </c>
      <c r="F303" s="237" t="s">
        <v>21</v>
      </c>
      <c r="G303" s="237" t="s">
        <v>21</v>
      </c>
      <c r="H303" s="237" t="s">
        <v>6580</v>
      </c>
      <c r="I303" s="237" t="s">
        <v>5483</v>
      </c>
      <c r="J303" s="237" t="s">
        <v>6581</v>
      </c>
      <c r="K303" s="240" t="str">
        <f>IF(COUNTIF(L303:AY303,"&lt;&gt;")=0,"",SUMPRODUCT(((Recommendations[ImplStatus]="Implemented")+(Recommendations[ImplStatus]="Compensated"))*ISNUMBER(MATCH(Recommendations[Id],L303:AY303,0)))/COUNTIF(L303:AY303,"&lt;&gt;"))</f>
        <v/>
      </c>
      <c r="L303" s="243"/>
      <c r="M303" s="243"/>
      <c r="N303" s="243"/>
      <c r="O303" s="243"/>
      <c r="P303" s="243"/>
      <c r="Q303" s="243"/>
      <c r="R303" s="243"/>
      <c r="S303" s="243"/>
      <c r="T303" s="243"/>
      <c r="U303" s="243"/>
      <c r="V303" s="243"/>
      <c r="W303" s="243"/>
      <c r="X303" s="243"/>
      <c r="Y303" s="243"/>
      <c r="Z303" s="243"/>
      <c r="AA303" s="243"/>
      <c r="AB303" s="243"/>
      <c r="AC303" s="243"/>
      <c r="AD303" s="243"/>
      <c r="AE303" s="243"/>
      <c r="AF303" s="243"/>
      <c r="AG303" s="243"/>
      <c r="AH303" s="243"/>
      <c r="AI303" s="243"/>
      <c r="AJ303" s="243"/>
      <c r="AK303" s="243"/>
      <c r="AL303" s="243"/>
      <c r="AM303" s="243"/>
      <c r="AN303" s="243"/>
      <c r="AO303" s="243"/>
      <c r="AP303" s="243"/>
      <c r="AQ303" s="243"/>
      <c r="AR303" s="243"/>
      <c r="AS303" s="243"/>
      <c r="AT303" s="243"/>
      <c r="AU303" s="243"/>
      <c r="AV303" s="243"/>
      <c r="AW303" s="243"/>
      <c r="AX303" s="243"/>
      <c r="AY303" s="253"/>
    </row>
    <row r="304" spans="1:51" ht="60" customHeight="1" x14ac:dyDescent="0.35">
      <c r="A304" s="249" t="s">
        <v>6582</v>
      </c>
      <c r="B304" s="237" t="s">
        <v>6583</v>
      </c>
      <c r="C304" s="237" t="s">
        <v>6584</v>
      </c>
      <c r="D304" s="237" t="s">
        <v>6579</v>
      </c>
      <c r="E304" s="237" t="s">
        <v>21</v>
      </c>
      <c r="F304" s="237" t="s">
        <v>6585</v>
      </c>
      <c r="G304" s="237" t="s">
        <v>21</v>
      </c>
      <c r="H304" s="237" t="s">
        <v>6586</v>
      </c>
      <c r="I304" s="237" t="s">
        <v>21</v>
      </c>
      <c r="J304" s="237" t="s">
        <v>6587</v>
      </c>
      <c r="K304" s="240" t="str">
        <f>IF(COUNTIF(L304:AY304,"&lt;&gt;")=0,"",SUMPRODUCT(((Recommendations[ImplStatus]="Implemented")+(Recommendations[ImplStatus]="Compensated"))*ISNUMBER(MATCH(Recommendations[Id],L304:AY304,0)))/COUNTIF(L304:AY304,"&lt;&gt;"))</f>
        <v/>
      </c>
      <c r="L304" s="243"/>
      <c r="M304" s="243"/>
      <c r="N304" s="243"/>
      <c r="O304" s="243"/>
      <c r="P304" s="243"/>
      <c r="Q304" s="243"/>
      <c r="R304" s="243"/>
      <c r="S304" s="243"/>
      <c r="T304" s="243"/>
      <c r="U304" s="243"/>
      <c r="V304" s="243"/>
      <c r="W304" s="243"/>
      <c r="X304" s="243"/>
      <c r="Y304" s="243"/>
      <c r="Z304" s="243"/>
      <c r="AA304" s="243"/>
      <c r="AB304" s="243"/>
      <c r="AC304" s="243"/>
      <c r="AD304" s="243"/>
      <c r="AE304" s="243"/>
      <c r="AF304" s="243"/>
      <c r="AG304" s="243"/>
      <c r="AH304" s="243"/>
      <c r="AI304" s="243"/>
      <c r="AJ304" s="243"/>
      <c r="AK304" s="243"/>
      <c r="AL304" s="243"/>
      <c r="AM304" s="243"/>
      <c r="AN304" s="243"/>
      <c r="AO304" s="243"/>
      <c r="AP304" s="243"/>
      <c r="AQ304" s="243"/>
      <c r="AR304" s="243"/>
      <c r="AS304" s="243"/>
      <c r="AT304" s="243"/>
      <c r="AU304" s="243"/>
      <c r="AV304" s="243"/>
      <c r="AW304" s="243"/>
      <c r="AX304" s="243"/>
      <c r="AY304" s="253"/>
    </row>
    <row r="305" spans="1:51" ht="60" customHeight="1" x14ac:dyDescent="0.35">
      <c r="A305" s="249" t="s">
        <v>6588</v>
      </c>
      <c r="B305" s="237" t="s">
        <v>6589</v>
      </c>
      <c r="C305" s="237" t="s">
        <v>6590</v>
      </c>
      <c r="D305" s="237" t="s">
        <v>6591</v>
      </c>
      <c r="E305" s="237" t="s">
        <v>21</v>
      </c>
      <c r="F305" s="237" t="s">
        <v>21</v>
      </c>
      <c r="G305" s="237" t="s">
        <v>21</v>
      </c>
      <c r="H305" s="237" t="s">
        <v>6592</v>
      </c>
      <c r="I305" s="237" t="s">
        <v>6593</v>
      </c>
      <c r="J305" s="237" t="s">
        <v>6594</v>
      </c>
      <c r="K305" s="240" t="str">
        <f>IF(COUNTIF(L305:AY305,"&lt;&gt;")=0,"",SUMPRODUCT(((Recommendations[ImplStatus]="Implemented")+(Recommendations[ImplStatus]="Compensated"))*ISNUMBER(MATCH(Recommendations[Id],L305:AY305,0)))/COUNTIF(L305:AY305,"&lt;&gt;"))</f>
        <v/>
      </c>
      <c r="L305" s="243"/>
      <c r="M305" s="243"/>
      <c r="N305" s="243"/>
      <c r="O305" s="243"/>
      <c r="P305" s="243"/>
      <c r="Q305" s="243"/>
      <c r="R305" s="243"/>
      <c r="S305" s="243"/>
      <c r="T305" s="243"/>
      <c r="U305" s="243"/>
      <c r="V305" s="243"/>
      <c r="W305" s="243"/>
      <c r="X305" s="243"/>
      <c r="Y305" s="243"/>
      <c r="Z305" s="243"/>
      <c r="AA305" s="243"/>
      <c r="AB305" s="243"/>
      <c r="AC305" s="243"/>
      <c r="AD305" s="243"/>
      <c r="AE305" s="243"/>
      <c r="AF305" s="243"/>
      <c r="AG305" s="243"/>
      <c r="AH305" s="243"/>
      <c r="AI305" s="243"/>
      <c r="AJ305" s="243"/>
      <c r="AK305" s="243"/>
      <c r="AL305" s="243"/>
      <c r="AM305" s="243"/>
      <c r="AN305" s="243"/>
      <c r="AO305" s="243"/>
      <c r="AP305" s="243"/>
      <c r="AQ305" s="243"/>
      <c r="AR305" s="243"/>
      <c r="AS305" s="243"/>
      <c r="AT305" s="243"/>
      <c r="AU305" s="243"/>
      <c r="AV305" s="243"/>
      <c r="AW305" s="243"/>
      <c r="AX305" s="243"/>
      <c r="AY305" s="253"/>
    </row>
    <row r="306" spans="1:51" ht="60" customHeight="1" x14ac:dyDescent="0.35">
      <c r="A306" s="249" t="s">
        <v>6595</v>
      </c>
      <c r="B306" s="237" t="s">
        <v>6596</v>
      </c>
      <c r="C306" s="237" t="s">
        <v>6597</v>
      </c>
      <c r="D306" s="237" t="s">
        <v>6598</v>
      </c>
      <c r="E306" s="237" t="s">
        <v>21</v>
      </c>
      <c r="F306" s="237" t="s">
        <v>21</v>
      </c>
      <c r="G306" s="237" t="s">
        <v>21</v>
      </c>
      <c r="H306" s="237" t="s">
        <v>6599</v>
      </c>
      <c r="I306" s="237" t="s">
        <v>5483</v>
      </c>
      <c r="J306" s="237" t="s">
        <v>6600</v>
      </c>
      <c r="K306" s="240" t="str">
        <f>IF(COUNTIF(L306:AY306,"&lt;&gt;")=0,"",SUMPRODUCT(((Recommendations[ImplStatus]="Implemented")+(Recommendations[ImplStatus]="Compensated"))*ISNUMBER(MATCH(Recommendations[Id],L306:AY306,0)))/COUNTIF(L306:AY306,"&lt;&gt;"))</f>
        <v/>
      </c>
      <c r="L306" s="243"/>
      <c r="M306" s="243"/>
      <c r="N306" s="243"/>
      <c r="O306" s="243"/>
      <c r="P306" s="243"/>
      <c r="Q306" s="243"/>
      <c r="R306" s="243"/>
      <c r="S306" s="243"/>
      <c r="T306" s="243"/>
      <c r="U306" s="243"/>
      <c r="V306" s="243"/>
      <c r="W306" s="243"/>
      <c r="X306" s="243"/>
      <c r="Y306" s="243"/>
      <c r="Z306" s="243"/>
      <c r="AA306" s="243"/>
      <c r="AB306" s="243"/>
      <c r="AC306" s="243"/>
      <c r="AD306" s="243"/>
      <c r="AE306" s="243"/>
      <c r="AF306" s="243"/>
      <c r="AG306" s="243"/>
      <c r="AH306" s="243"/>
      <c r="AI306" s="243"/>
      <c r="AJ306" s="243"/>
      <c r="AK306" s="243"/>
      <c r="AL306" s="243"/>
      <c r="AM306" s="243"/>
      <c r="AN306" s="243"/>
      <c r="AO306" s="243"/>
      <c r="AP306" s="243"/>
      <c r="AQ306" s="243"/>
      <c r="AR306" s="243"/>
      <c r="AS306" s="243"/>
      <c r="AT306" s="243"/>
      <c r="AU306" s="243"/>
      <c r="AV306" s="243"/>
      <c r="AW306" s="243"/>
      <c r="AX306" s="243"/>
      <c r="AY306" s="253"/>
    </row>
    <row r="307" spans="1:51" ht="60" customHeight="1" outlineLevel="1" x14ac:dyDescent="0.35">
      <c r="A307" s="248" t="s">
        <v>2683</v>
      </c>
      <c r="B307" s="236" t="s">
        <v>6601</v>
      </c>
      <c r="C307" s="236"/>
      <c r="D307" s="236"/>
      <c r="E307" s="236"/>
      <c r="F307" s="236"/>
      <c r="G307" s="236"/>
      <c r="H307" s="236"/>
      <c r="I307" s="236"/>
      <c r="J307" s="236"/>
      <c r="K307" s="239" t="str">
        <f>IF(COUNTIF(L307:AY307,"&lt;&gt;")=0,"",SUMPRODUCT(((Recommendations[ImplStatus]="Implemented")+(Recommendations[ImplStatus]="Compensated"))*ISNUMBER(MATCH(Recommendations[Id],L307:AY307,0)))/COUNTIF(L307:AY307,"&lt;&gt;"))</f>
        <v/>
      </c>
      <c r="L307" s="242"/>
      <c r="M307" s="242"/>
      <c r="N307" s="242"/>
      <c r="O307" s="242"/>
      <c r="P307" s="242"/>
      <c r="Q307" s="242"/>
      <c r="R307" s="242"/>
      <c r="S307" s="242"/>
      <c r="T307" s="242"/>
      <c r="U307" s="242"/>
      <c r="V307" s="242"/>
      <c r="W307" s="242"/>
      <c r="X307" s="242"/>
      <c r="Y307" s="242"/>
      <c r="Z307" s="242"/>
      <c r="AA307" s="242"/>
      <c r="AB307" s="242"/>
      <c r="AC307" s="242"/>
      <c r="AD307" s="242"/>
      <c r="AE307" s="242"/>
      <c r="AF307" s="242"/>
      <c r="AG307" s="242"/>
      <c r="AH307" s="242"/>
      <c r="AI307" s="242"/>
      <c r="AJ307" s="242"/>
      <c r="AK307" s="242"/>
      <c r="AL307" s="242"/>
      <c r="AM307" s="242"/>
      <c r="AN307" s="242"/>
      <c r="AO307" s="242"/>
      <c r="AP307" s="242"/>
      <c r="AQ307" s="242"/>
      <c r="AR307" s="242"/>
      <c r="AS307" s="242"/>
      <c r="AT307" s="242"/>
      <c r="AU307" s="242"/>
      <c r="AV307" s="242"/>
      <c r="AW307" s="242"/>
      <c r="AX307" s="242"/>
      <c r="AY307" s="252"/>
    </row>
    <row r="308" spans="1:51" ht="60" customHeight="1" x14ac:dyDescent="0.35">
      <c r="A308" s="249" t="s">
        <v>6602</v>
      </c>
      <c r="B308" s="237" t="s">
        <v>6603</v>
      </c>
      <c r="C308" s="237" t="s">
        <v>6604</v>
      </c>
      <c r="D308" s="237" t="s">
        <v>6598</v>
      </c>
      <c r="E308" s="237" t="s">
        <v>21</v>
      </c>
      <c r="F308" s="237" t="s">
        <v>6605</v>
      </c>
      <c r="G308" s="237" t="s">
        <v>21</v>
      </c>
      <c r="H308" s="237" t="s">
        <v>6606</v>
      </c>
      <c r="I308" s="237" t="s">
        <v>6607</v>
      </c>
      <c r="J308" s="237" t="s">
        <v>6608</v>
      </c>
      <c r="K308" s="240" t="str">
        <f>IF(COUNTIF(L308:AY308,"&lt;&gt;")=0,"",SUMPRODUCT(((Recommendations[ImplStatus]="Implemented")+(Recommendations[ImplStatus]="Compensated"))*ISNUMBER(MATCH(Recommendations[Id],L308:AY308,0)))/COUNTIF(L308:AY308,"&lt;&gt;"))</f>
        <v/>
      </c>
      <c r="L308" s="243"/>
      <c r="M308" s="243"/>
      <c r="N308" s="243"/>
      <c r="O308" s="243"/>
      <c r="P308" s="243"/>
      <c r="Q308" s="243"/>
      <c r="R308" s="243"/>
      <c r="S308" s="243"/>
      <c r="T308" s="243"/>
      <c r="U308" s="243"/>
      <c r="V308" s="243"/>
      <c r="W308" s="243"/>
      <c r="X308" s="243"/>
      <c r="Y308" s="243"/>
      <c r="Z308" s="243"/>
      <c r="AA308" s="243"/>
      <c r="AB308" s="243"/>
      <c r="AC308" s="243"/>
      <c r="AD308" s="243"/>
      <c r="AE308" s="243"/>
      <c r="AF308" s="243"/>
      <c r="AG308" s="243"/>
      <c r="AH308" s="243"/>
      <c r="AI308" s="243"/>
      <c r="AJ308" s="243"/>
      <c r="AK308" s="243"/>
      <c r="AL308" s="243"/>
      <c r="AM308" s="243"/>
      <c r="AN308" s="243"/>
      <c r="AO308" s="243"/>
      <c r="AP308" s="243"/>
      <c r="AQ308" s="243"/>
      <c r="AR308" s="243"/>
      <c r="AS308" s="243"/>
      <c r="AT308" s="243"/>
      <c r="AU308" s="243"/>
      <c r="AV308" s="243"/>
      <c r="AW308" s="243"/>
      <c r="AX308" s="243"/>
      <c r="AY308" s="253"/>
    </row>
    <row r="309" spans="1:51" ht="60" customHeight="1" outlineLevel="1" x14ac:dyDescent="0.35">
      <c r="A309" s="248" t="s">
        <v>2687</v>
      </c>
      <c r="B309" s="236" t="s">
        <v>6609</v>
      </c>
      <c r="C309" s="236"/>
      <c r="D309" s="236"/>
      <c r="E309" s="236"/>
      <c r="F309" s="236"/>
      <c r="G309" s="236"/>
      <c r="H309" s="236"/>
      <c r="I309" s="236"/>
      <c r="J309" s="236"/>
      <c r="K309" s="239" t="str">
        <f>IF(COUNTIF(L309:AY309,"&lt;&gt;")=0,"",SUMPRODUCT(((Recommendations[ImplStatus]="Implemented")+(Recommendations[ImplStatus]="Compensated"))*ISNUMBER(MATCH(Recommendations[Id],L309:AY309,0)))/COUNTIF(L309:AY309,"&lt;&gt;"))</f>
        <v/>
      </c>
      <c r="L309" s="242"/>
      <c r="M309" s="242"/>
      <c r="N309" s="242"/>
      <c r="O309" s="242"/>
      <c r="P309" s="242"/>
      <c r="Q309" s="242"/>
      <c r="R309" s="242"/>
      <c r="S309" s="242"/>
      <c r="T309" s="242"/>
      <c r="U309" s="242"/>
      <c r="V309" s="242"/>
      <c r="W309" s="242"/>
      <c r="X309" s="242"/>
      <c r="Y309" s="242"/>
      <c r="Z309" s="242"/>
      <c r="AA309" s="242"/>
      <c r="AB309" s="242"/>
      <c r="AC309" s="242"/>
      <c r="AD309" s="242"/>
      <c r="AE309" s="242"/>
      <c r="AF309" s="242"/>
      <c r="AG309" s="242"/>
      <c r="AH309" s="242"/>
      <c r="AI309" s="242"/>
      <c r="AJ309" s="242"/>
      <c r="AK309" s="242"/>
      <c r="AL309" s="242"/>
      <c r="AM309" s="242"/>
      <c r="AN309" s="242"/>
      <c r="AO309" s="242"/>
      <c r="AP309" s="242"/>
      <c r="AQ309" s="242"/>
      <c r="AR309" s="242"/>
      <c r="AS309" s="242"/>
      <c r="AT309" s="242"/>
      <c r="AU309" s="242"/>
      <c r="AV309" s="242"/>
      <c r="AW309" s="242"/>
      <c r="AX309" s="242"/>
      <c r="AY309" s="252"/>
    </row>
    <row r="310" spans="1:51" ht="60" customHeight="1" x14ac:dyDescent="0.35">
      <c r="A310" s="249" t="s">
        <v>6610</v>
      </c>
      <c r="B310" s="237" t="s">
        <v>6611</v>
      </c>
      <c r="C310" s="237" t="s">
        <v>6612</v>
      </c>
      <c r="D310" s="237" t="s">
        <v>21</v>
      </c>
      <c r="E310" s="237" t="s">
        <v>21</v>
      </c>
      <c r="F310" s="237" t="s">
        <v>6613</v>
      </c>
      <c r="G310" s="237" t="s">
        <v>21</v>
      </c>
      <c r="H310" s="237" t="s">
        <v>6614</v>
      </c>
      <c r="I310" s="237" t="s">
        <v>6615</v>
      </c>
      <c r="J310" s="237" t="s">
        <v>6616</v>
      </c>
      <c r="K310" s="240" t="str">
        <f>IF(COUNTIF(L310:AY310,"&lt;&gt;")=0,"",SUMPRODUCT(((Recommendations[ImplStatus]="Implemented")+(Recommendations[ImplStatus]="Compensated"))*ISNUMBER(MATCH(Recommendations[Id],L310:AY310,0)))/COUNTIF(L310:AY310,"&lt;&gt;"))</f>
        <v/>
      </c>
      <c r="L310" s="243"/>
      <c r="M310" s="243"/>
      <c r="N310" s="243"/>
      <c r="O310" s="243"/>
      <c r="P310" s="243"/>
      <c r="Q310" s="243"/>
      <c r="R310" s="243"/>
      <c r="S310" s="243"/>
      <c r="T310" s="243"/>
      <c r="U310" s="243"/>
      <c r="V310" s="243"/>
      <c r="W310" s="243"/>
      <c r="X310" s="243"/>
      <c r="Y310" s="243"/>
      <c r="Z310" s="243"/>
      <c r="AA310" s="243"/>
      <c r="AB310" s="243"/>
      <c r="AC310" s="243"/>
      <c r="AD310" s="243"/>
      <c r="AE310" s="243"/>
      <c r="AF310" s="243"/>
      <c r="AG310" s="243"/>
      <c r="AH310" s="243"/>
      <c r="AI310" s="243"/>
      <c r="AJ310" s="243"/>
      <c r="AK310" s="243"/>
      <c r="AL310" s="243"/>
      <c r="AM310" s="243"/>
      <c r="AN310" s="243"/>
      <c r="AO310" s="243"/>
      <c r="AP310" s="243"/>
      <c r="AQ310" s="243"/>
      <c r="AR310" s="243"/>
      <c r="AS310" s="243"/>
      <c r="AT310" s="243"/>
      <c r="AU310" s="243"/>
      <c r="AV310" s="243"/>
      <c r="AW310" s="243"/>
      <c r="AX310" s="243"/>
      <c r="AY310" s="253"/>
    </row>
    <row r="311" spans="1:51" ht="60" customHeight="1" x14ac:dyDescent="0.35">
      <c r="A311" s="249" t="s">
        <v>6617</v>
      </c>
      <c r="B311" s="237" t="s">
        <v>6618</v>
      </c>
      <c r="C311" s="237" t="s">
        <v>6619</v>
      </c>
      <c r="D311" s="237" t="s">
        <v>6620</v>
      </c>
      <c r="E311" s="237" t="s">
        <v>21</v>
      </c>
      <c r="F311" s="237" t="s">
        <v>21</v>
      </c>
      <c r="G311" s="237" t="s">
        <v>6621</v>
      </c>
      <c r="H311" s="237" t="s">
        <v>6622</v>
      </c>
      <c r="I311" s="237" t="s">
        <v>21</v>
      </c>
      <c r="J311" s="237" t="s">
        <v>6623</v>
      </c>
      <c r="K311" s="240" t="str">
        <f>IF(COUNTIF(L311:AY311,"&lt;&gt;")=0,"",SUMPRODUCT(((Recommendations[ImplStatus]="Implemented")+(Recommendations[ImplStatus]="Compensated"))*ISNUMBER(MATCH(Recommendations[Id],L311:AY311,0)))/COUNTIF(L311:AY311,"&lt;&gt;"))</f>
        <v/>
      </c>
      <c r="L311" s="243"/>
      <c r="M311" s="243"/>
      <c r="N311" s="243"/>
      <c r="O311" s="243"/>
      <c r="P311" s="243"/>
      <c r="Q311" s="243"/>
      <c r="R311" s="243"/>
      <c r="S311" s="243"/>
      <c r="T311" s="243"/>
      <c r="U311" s="243"/>
      <c r="V311" s="243"/>
      <c r="W311" s="243"/>
      <c r="X311" s="243"/>
      <c r="Y311" s="243"/>
      <c r="Z311" s="243"/>
      <c r="AA311" s="243"/>
      <c r="AB311" s="243"/>
      <c r="AC311" s="243"/>
      <c r="AD311" s="243"/>
      <c r="AE311" s="243"/>
      <c r="AF311" s="243"/>
      <c r="AG311" s="243"/>
      <c r="AH311" s="243"/>
      <c r="AI311" s="243"/>
      <c r="AJ311" s="243"/>
      <c r="AK311" s="243"/>
      <c r="AL311" s="243"/>
      <c r="AM311" s="243"/>
      <c r="AN311" s="243"/>
      <c r="AO311" s="243"/>
      <c r="AP311" s="243"/>
      <c r="AQ311" s="243"/>
      <c r="AR311" s="243"/>
      <c r="AS311" s="243"/>
      <c r="AT311" s="243"/>
      <c r="AU311" s="243"/>
      <c r="AV311" s="243"/>
      <c r="AW311" s="243"/>
      <c r="AX311" s="243"/>
      <c r="AY311" s="253"/>
    </row>
    <row r="312" spans="1:51" ht="60" customHeight="1" x14ac:dyDescent="0.35">
      <c r="A312" s="249" t="s">
        <v>6624</v>
      </c>
      <c r="B312" s="237" t="s">
        <v>6625</v>
      </c>
      <c r="C312" s="237" t="s">
        <v>6626</v>
      </c>
      <c r="D312" s="237" t="s">
        <v>6627</v>
      </c>
      <c r="E312" s="237" t="s">
        <v>21</v>
      </c>
      <c r="F312" s="237" t="s">
        <v>21</v>
      </c>
      <c r="G312" s="237" t="s">
        <v>21</v>
      </c>
      <c r="H312" s="237" t="s">
        <v>6628</v>
      </c>
      <c r="I312" s="237" t="s">
        <v>21</v>
      </c>
      <c r="J312" s="237" t="s">
        <v>6629</v>
      </c>
      <c r="K312" s="240" t="str">
        <f>IF(COUNTIF(L312:AY312,"&lt;&gt;")=0,"",SUMPRODUCT(((Recommendations[ImplStatus]="Implemented")+(Recommendations[ImplStatus]="Compensated"))*ISNUMBER(MATCH(Recommendations[Id],L312:AY312,0)))/COUNTIF(L312:AY312,"&lt;&gt;"))</f>
        <v/>
      </c>
      <c r="L312" s="243"/>
      <c r="M312" s="243"/>
      <c r="N312" s="243"/>
      <c r="O312" s="243"/>
      <c r="P312" s="243"/>
      <c r="Q312" s="243"/>
      <c r="R312" s="243"/>
      <c r="S312" s="243"/>
      <c r="T312" s="243"/>
      <c r="U312" s="243"/>
      <c r="V312" s="243"/>
      <c r="W312" s="243"/>
      <c r="X312" s="243"/>
      <c r="Y312" s="243"/>
      <c r="Z312" s="243"/>
      <c r="AA312" s="243"/>
      <c r="AB312" s="243"/>
      <c r="AC312" s="243"/>
      <c r="AD312" s="243"/>
      <c r="AE312" s="243"/>
      <c r="AF312" s="243"/>
      <c r="AG312" s="243"/>
      <c r="AH312" s="243"/>
      <c r="AI312" s="243"/>
      <c r="AJ312" s="243"/>
      <c r="AK312" s="243"/>
      <c r="AL312" s="243"/>
      <c r="AM312" s="243"/>
      <c r="AN312" s="243"/>
      <c r="AO312" s="243"/>
      <c r="AP312" s="243"/>
      <c r="AQ312" s="243"/>
      <c r="AR312" s="243"/>
      <c r="AS312" s="243"/>
      <c r="AT312" s="243"/>
      <c r="AU312" s="243"/>
      <c r="AV312" s="243"/>
      <c r="AW312" s="243"/>
      <c r="AX312" s="243"/>
      <c r="AY312" s="253"/>
    </row>
    <row r="313" spans="1:51" ht="60" customHeight="1" x14ac:dyDescent="0.35">
      <c r="A313" s="249" t="s">
        <v>6630</v>
      </c>
      <c r="B313" s="237" t="s">
        <v>6631</v>
      </c>
      <c r="C313" s="237" t="s">
        <v>6632</v>
      </c>
      <c r="D313" s="237" t="s">
        <v>6633</v>
      </c>
      <c r="E313" s="237" t="s">
        <v>21</v>
      </c>
      <c r="F313" s="237" t="s">
        <v>21</v>
      </c>
      <c r="G313" s="237" t="s">
        <v>6634</v>
      </c>
      <c r="H313" s="237" t="s">
        <v>6635</v>
      </c>
      <c r="I313" s="237" t="s">
        <v>6636</v>
      </c>
      <c r="J313" s="237" t="s">
        <v>6637</v>
      </c>
      <c r="K313" s="240" t="str">
        <f>IF(COUNTIF(L313:AY313,"&lt;&gt;")=0,"",SUMPRODUCT(((Recommendations[ImplStatus]="Implemented")+(Recommendations[ImplStatus]="Compensated"))*ISNUMBER(MATCH(Recommendations[Id],L313:AY313,0)))/COUNTIF(L313:AY313,"&lt;&gt;"))</f>
        <v/>
      </c>
      <c r="L313" s="243"/>
      <c r="M313" s="243"/>
      <c r="N313" s="243"/>
      <c r="O313" s="243"/>
      <c r="P313" s="243"/>
      <c r="Q313" s="243"/>
      <c r="R313" s="243"/>
      <c r="S313" s="243"/>
      <c r="T313" s="243"/>
      <c r="U313" s="243"/>
      <c r="V313" s="243"/>
      <c r="W313" s="243"/>
      <c r="X313" s="243"/>
      <c r="Y313" s="243"/>
      <c r="Z313" s="243"/>
      <c r="AA313" s="243"/>
      <c r="AB313" s="243"/>
      <c r="AC313" s="243"/>
      <c r="AD313" s="243"/>
      <c r="AE313" s="243"/>
      <c r="AF313" s="243"/>
      <c r="AG313" s="243"/>
      <c r="AH313" s="243"/>
      <c r="AI313" s="243"/>
      <c r="AJ313" s="243"/>
      <c r="AK313" s="243"/>
      <c r="AL313" s="243"/>
      <c r="AM313" s="243"/>
      <c r="AN313" s="243"/>
      <c r="AO313" s="243"/>
      <c r="AP313" s="243"/>
      <c r="AQ313" s="243"/>
      <c r="AR313" s="243"/>
      <c r="AS313" s="243"/>
      <c r="AT313" s="243"/>
      <c r="AU313" s="243"/>
      <c r="AV313" s="243"/>
      <c r="AW313" s="243"/>
      <c r="AX313" s="243"/>
      <c r="AY313" s="253"/>
    </row>
    <row r="314" spans="1:51" ht="60" customHeight="1" x14ac:dyDescent="0.35">
      <c r="A314" s="249" t="s">
        <v>6638</v>
      </c>
      <c r="B314" s="237" t="s">
        <v>6639</v>
      </c>
      <c r="C314" s="237" t="s">
        <v>6640</v>
      </c>
      <c r="D314" s="237" t="s">
        <v>6641</v>
      </c>
      <c r="E314" s="237" t="s">
        <v>21</v>
      </c>
      <c r="F314" s="237" t="s">
        <v>21</v>
      </c>
      <c r="G314" s="237" t="s">
        <v>6642</v>
      </c>
      <c r="H314" s="237" t="s">
        <v>6643</v>
      </c>
      <c r="I314" s="237" t="s">
        <v>6644</v>
      </c>
      <c r="J314" s="237" t="s">
        <v>6645</v>
      </c>
      <c r="K314" s="240" t="str">
        <f>IF(COUNTIF(L314:AY314,"&lt;&gt;")=0,"",SUMPRODUCT(((Recommendations[ImplStatus]="Implemented")+(Recommendations[ImplStatus]="Compensated"))*ISNUMBER(MATCH(Recommendations[Id],L314:AY314,0)))/COUNTIF(L314:AY314,"&lt;&gt;"))</f>
        <v/>
      </c>
      <c r="L314" s="243"/>
      <c r="M314" s="243"/>
      <c r="N314" s="243"/>
      <c r="O314" s="243"/>
      <c r="P314" s="243"/>
      <c r="Q314" s="243"/>
      <c r="R314" s="243"/>
      <c r="S314" s="243"/>
      <c r="T314" s="243"/>
      <c r="U314" s="243"/>
      <c r="V314" s="243"/>
      <c r="W314" s="243"/>
      <c r="X314" s="243"/>
      <c r="Y314" s="243"/>
      <c r="Z314" s="243"/>
      <c r="AA314" s="243"/>
      <c r="AB314" s="243"/>
      <c r="AC314" s="243"/>
      <c r="AD314" s="243"/>
      <c r="AE314" s="243"/>
      <c r="AF314" s="243"/>
      <c r="AG314" s="243"/>
      <c r="AH314" s="243"/>
      <c r="AI314" s="243"/>
      <c r="AJ314" s="243"/>
      <c r="AK314" s="243"/>
      <c r="AL314" s="243"/>
      <c r="AM314" s="243"/>
      <c r="AN314" s="243"/>
      <c r="AO314" s="243"/>
      <c r="AP314" s="243"/>
      <c r="AQ314" s="243"/>
      <c r="AR314" s="243"/>
      <c r="AS314" s="243"/>
      <c r="AT314" s="243"/>
      <c r="AU314" s="243"/>
      <c r="AV314" s="243"/>
      <c r="AW314" s="243"/>
      <c r="AX314" s="243"/>
      <c r="AY314" s="253"/>
    </row>
    <row r="315" spans="1:51" ht="60" customHeight="1" outlineLevel="1" x14ac:dyDescent="0.35">
      <c r="A315" s="248" t="s">
        <v>6646</v>
      </c>
      <c r="B315" s="236" t="s">
        <v>6647</v>
      </c>
      <c r="C315" s="236"/>
      <c r="D315" s="236"/>
      <c r="E315" s="236"/>
      <c r="F315" s="236"/>
      <c r="G315" s="236"/>
      <c r="H315" s="236"/>
      <c r="I315" s="236"/>
      <c r="J315" s="236"/>
      <c r="K315" s="239" t="str">
        <f>IF(COUNTIF(L315:AY315,"&lt;&gt;")=0,"",SUMPRODUCT(((Recommendations[ImplStatus]="Implemented")+(Recommendations[ImplStatus]="Compensated"))*ISNUMBER(MATCH(Recommendations[Id],L315:AY315,0)))/COUNTIF(L315:AY315,"&lt;&gt;"))</f>
        <v/>
      </c>
      <c r="L315" s="242"/>
      <c r="M315" s="242"/>
      <c r="N315" s="242"/>
      <c r="O315" s="242"/>
      <c r="P315" s="242"/>
      <c r="Q315" s="242"/>
      <c r="R315" s="242"/>
      <c r="S315" s="242"/>
      <c r="T315" s="242"/>
      <c r="U315" s="242"/>
      <c r="V315" s="242"/>
      <c r="W315" s="242"/>
      <c r="X315" s="242"/>
      <c r="Y315" s="242"/>
      <c r="Z315" s="242"/>
      <c r="AA315" s="242"/>
      <c r="AB315" s="242"/>
      <c r="AC315" s="242"/>
      <c r="AD315" s="242"/>
      <c r="AE315" s="242"/>
      <c r="AF315" s="242"/>
      <c r="AG315" s="242"/>
      <c r="AH315" s="242"/>
      <c r="AI315" s="242"/>
      <c r="AJ315" s="242"/>
      <c r="AK315" s="242"/>
      <c r="AL315" s="242"/>
      <c r="AM315" s="242"/>
      <c r="AN315" s="242"/>
      <c r="AO315" s="242"/>
      <c r="AP315" s="242"/>
      <c r="AQ315" s="242"/>
      <c r="AR315" s="242"/>
      <c r="AS315" s="242"/>
      <c r="AT315" s="242"/>
      <c r="AU315" s="242"/>
      <c r="AV315" s="242"/>
      <c r="AW315" s="242"/>
      <c r="AX315" s="242"/>
      <c r="AY315" s="252"/>
    </row>
    <row r="316" spans="1:51" ht="60" customHeight="1" x14ac:dyDescent="0.35">
      <c r="A316" s="249" t="s">
        <v>6648</v>
      </c>
      <c r="B316" s="237" t="s">
        <v>6649</v>
      </c>
      <c r="C316" s="237" t="s">
        <v>6650</v>
      </c>
      <c r="D316" s="237" t="s">
        <v>21</v>
      </c>
      <c r="E316" s="237" t="s">
        <v>21</v>
      </c>
      <c r="F316" s="237" t="s">
        <v>21</v>
      </c>
      <c r="G316" s="237" t="s">
        <v>21</v>
      </c>
      <c r="H316" s="237" t="s">
        <v>6651</v>
      </c>
      <c r="I316" s="237" t="s">
        <v>6652</v>
      </c>
      <c r="J316" s="237" t="s">
        <v>6653</v>
      </c>
      <c r="K316" s="240" t="str">
        <f>IF(COUNTIF(L316:AY316,"&lt;&gt;")=0,"",SUMPRODUCT(((Recommendations[ImplStatus]="Implemented")+(Recommendations[ImplStatus]="Compensated"))*ISNUMBER(MATCH(Recommendations[Id],L316:AY316,0)))/COUNTIF(L316:AY316,"&lt;&gt;"))</f>
        <v/>
      </c>
      <c r="L316" s="243"/>
      <c r="M316" s="243"/>
      <c r="N316" s="243"/>
      <c r="O316" s="243"/>
      <c r="P316" s="243"/>
      <c r="Q316" s="243"/>
      <c r="R316" s="243"/>
      <c r="S316" s="243"/>
      <c r="T316" s="243"/>
      <c r="U316" s="243"/>
      <c r="V316" s="243"/>
      <c r="W316" s="243"/>
      <c r="X316" s="243"/>
      <c r="Y316" s="243"/>
      <c r="Z316" s="243"/>
      <c r="AA316" s="243"/>
      <c r="AB316" s="243"/>
      <c r="AC316" s="243"/>
      <c r="AD316" s="243"/>
      <c r="AE316" s="243"/>
      <c r="AF316" s="243"/>
      <c r="AG316" s="243"/>
      <c r="AH316" s="243"/>
      <c r="AI316" s="243"/>
      <c r="AJ316" s="243"/>
      <c r="AK316" s="243"/>
      <c r="AL316" s="243"/>
      <c r="AM316" s="243"/>
      <c r="AN316" s="243"/>
      <c r="AO316" s="243"/>
      <c r="AP316" s="243"/>
      <c r="AQ316" s="243"/>
      <c r="AR316" s="243"/>
      <c r="AS316" s="243"/>
      <c r="AT316" s="243"/>
      <c r="AU316" s="243"/>
      <c r="AV316" s="243"/>
      <c r="AW316" s="243"/>
      <c r="AX316" s="243"/>
      <c r="AY316" s="253"/>
    </row>
    <row r="317" spans="1:51" ht="60" customHeight="1" x14ac:dyDescent="0.35">
      <c r="A317" s="249" t="s">
        <v>6654</v>
      </c>
      <c r="B317" s="237" t="s">
        <v>6655</v>
      </c>
      <c r="C317" s="237" t="s">
        <v>21</v>
      </c>
      <c r="D317" s="237" t="s">
        <v>21</v>
      </c>
      <c r="E317" s="237" t="s">
        <v>21</v>
      </c>
      <c r="F317" s="237" t="s">
        <v>21</v>
      </c>
      <c r="G317" s="237" t="s">
        <v>21</v>
      </c>
      <c r="H317" s="237" t="s">
        <v>21</v>
      </c>
      <c r="I317" s="237" t="s">
        <v>21</v>
      </c>
      <c r="J317" s="237" t="s">
        <v>21</v>
      </c>
      <c r="K317" s="240" t="str">
        <f>IF(COUNTIF(L317:AY317,"&lt;&gt;")=0,"",SUMPRODUCT(((Recommendations[ImplStatus]="Implemented")+(Recommendations[ImplStatus]="Compensated"))*ISNUMBER(MATCH(Recommendations[Id],L317:AY317,0)))/COUNTIF(L317:AY317,"&lt;&gt;"))</f>
        <v/>
      </c>
      <c r="L317" s="243"/>
      <c r="M317" s="243"/>
      <c r="N317" s="243"/>
      <c r="O317" s="243"/>
      <c r="P317" s="243"/>
      <c r="Q317" s="243"/>
      <c r="R317" s="243"/>
      <c r="S317" s="243"/>
      <c r="T317" s="243"/>
      <c r="U317" s="243"/>
      <c r="V317" s="243"/>
      <c r="W317" s="243"/>
      <c r="X317" s="243"/>
      <c r="Y317" s="243"/>
      <c r="Z317" s="243"/>
      <c r="AA317" s="243"/>
      <c r="AB317" s="243"/>
      <c r="AC317" s="243"/>
      <c r="AD317" s="243"/>
      <c r="AE317" s="243"/>
      <c r="AF317" s="243"/>
      <c r="AG317" s="243"/>
      <c r="AH317" s="243"/>
      <c r="AI317" s="243"/>
      <c r="AJ317" s="243"/>
      <c r="AK317" s="243"/>
      <c r="AL317" s="243"/>
      <c r="AM317" s="243"/>
      <c r="AN317" s="243"/>
      <c r="AO317" s="243"/>
      <c r="AP317" s="243"/>
      <c r="AQ317" s="243"/>
      <c r="AR317" s="243"/>
      <c r="AS317" s="243"/>
      <c r="AT317" s="243"/>
      <c r="AU317" s="243"/>
      <c r="AV317" s="243"/>
      <c r="AW317" s="243"/>
      <c r="AX317" s="243"/>
      <c r="AY317" s="253"/>
    </row>
    <row r="318" spans="1:51" ht="60" customHeight="1" outlineLevel="1" x14ac:dyDescent="0.35">
      <c r="A318" s="248" t="s">
        <v>6656</v>
      </c>
      <c r="B318" s="236" t="s">
        <v>6657</v>
      </c>
      <c r="C318" s="236"/>
      <c r="D318" s="236"/>
      <c r="E318" s="236"/>
      <c r="F318" s="236"/>
      <c r="G318" s="236"/>
      <c r="H318" s="236"/>
      <c r="I318" s="236"/>
      <c r="J318" s="236"/>
      <c r="K318" s="239" t="str">
        <f>IF(COUNTIF(L318:AY318,"&lt;&gt;")=0,"",SUMPRODUCT(((Recommendations[ImplStatus]="Implemented")+(Recommendations[ImplStatus]="Compensated"))*ISNUMBER(MATCH(Recommendations[Id],L318:AY318,0)))/COUNTIF(L318:AY318,"&lt;&gt;"))</f>
        <v/>
      </c>
      <c r="L318" s="242"/>
      <c r="M318" s="242"/>
      <c r="N318" s="242"/>
      <c r="O318" s="242"/>
      <c r="P318" s="242"/>
      <c r="Q318" s="242"/>
      <c r="R318" s="242"/>
      <c r="S318" s="242"/>
      <c r="T318" s="242"/>
      <c r="U318" s="242"/>
      <c r="V318" s="242"/>
      <c r="W318" s="242"/>
      <c r="X318" s="242"/>
      <c r="Y318" s="242"/>
      <c r="Z318" s="242"/>
      <c r="AA318" s="242"/>
      <c r="AB318" s="242"/>
      <c r="AC318" s="242"/>
      <c r="AD318" s="242"/>
      <c r="AE318" s="242"/>
      <c r="AF318" s="242"/>
      <c r="AG318" s="242"/>
      <c r="AH318" s="242"/>
      <c r="AI318" s="242"/>
      <c r="AJ318" s="242"/>
      <c r="AK318" s="242"/>
      <c r="AL318" s="242"/>
      <c r="AM318" s="242"/>
      <c r="AN318" s="242"/>
      <c r="AO318" s="242"/>
      <c r="AP318" s="242"/>
      <c r="AQ318" s="242"/>
      <c r="AR318" s="242"/>
      <c r="AS318" s="242"/>
      <c r="AT318" s="242"/>
      <c r="AU318" s="242"/>
      <c r="AV318" s="242"/>
      <c r="AW318" s="242"/>
      <c r="AX318" s="242"/>
      <c r="AY318" s="252"/>
    </row>
    <row r="319" spans="1:51" ht="60" customHeight="1" x14ac:dyDescent="0.35">
      <c r="A319" s="249" t="s">
        <v>6658</v>
      </c>
      <c r="B319" s="237" t="s">
        <v>6659</v>
      </c>
      <c r="C319" s="237" t="s">
        <v>6660</v>
      </c>
      <c r="D319" s="237" t="s">
        <v>6661</v>
      </c>
      <c r="E319" s="237" t="s">
        <v>21</v>
      </c>
      <c r="F319" s="237" t="s">
        <v>6662</v>
      </c>
      <c r="G319" s="237" t="s">
        <v>6663</v>
      </c>
      <c r="H319" s="237" t="s">
        <v>6664</v>
      </c>
      <c r="I319" s="237" t="s">
        <v>21</v>
      </c>
      <c r="J319" s="237" t="s">
        <v>6665</v>
      </c>
      <c r="K319" s="240" t="str">
        <f>IF(COUNTIF(L319:AY319,"&lt;&gt;")=0,"",SUMPRODUCT(((Recommendations[ImplStatus]="Implemented")+(Recommendations[ImplStatus]="Compensated"))*ISNUMBER(MATCH(Recommendations[Id],L319:AY319,0)))/COUNTIF(L319:AY319,"&lt;&gt;"))</f>
        <v/>
      </c>
      <c r="L319" s="243"/>
      <c r="M319" s="243"/>
      <c r="N319" s="243"/>
      <c r="O319" s="243"/>
      <c r="P319" s="243"/>
      <c r="Q319" s="243"/>
      <c r="R319" s="243"/>
      <c r="S319" s="243"/>
      <c r="T319" s="243"/>
      <c r="U319" s="243"/>
      <c r="V319" s="243"/>
      <c r="W319" s="243"/>
      <c r="X319" s="243"/>
      <c r="Y319" s="243"/>
      <c r="Z319" s="243"/>
      <c r="AA319" s="243"/>
      <c r="AB319" s="243"/>
      <c r="AC319" s="243"/>
      <c r="AD319" s="243"/>
      <c r="AE319" s="243"/>
      <c r="AF319" s="243"/>
      <c r="AG319" s="243"/>
      <c r="AH319" s="243"/>
      <c r="AI319" s="243"/>
      <c r="AJ319" s="243"/>
      <c r="AK319" s="243"/>
      <c r="AL319" s="243"/>
      <c r="AM319" s="243"/>
      <c r="AN319" s="243"/>
      <c r="AO319" s="243"/>
      <c r="AP319" s="243"/>
      <c r="AQ319" s="243"/>
      <c r="AR319" s="243"/>
      <c r="AS319" s="243"/>
      <c r="AT319" s="243"/>
      <c r="AU319" s="243"/>
      <c r="AV319" s="243"/>
      <c r="AW319" s="243"/>
      <c r="AX319" s="243"/>
      <c r="AY319" s="253"/>
    </row>
    <row r="320" spans="1:51" ht="60" customHeight="1" x14ac:dyDescent="0.35">
      <c r="A320" s="249" t="s">
        <v>6666</v>
      </c>
      <c r="B320" s="237" t="s">
        <v>6667</v>
      </c>
      <c r="C320" s="237" t="s">
        <v>6668</v>
      </c>
      <c r="D320" s="237" t="s">
        <v>6669</v>
      </c>
      <c r="E320" s="237" t="s">
        <v>21</v>
      </c>
      <c r="F320" s="237" t="s">
        <v>21</v>
      </c>
      <c r="G320" s="237" t="s">
        <v>21</v>
      </c>
      <c r="H320" s="237" t="s">
        <v>6670</v>
      </c>
      <c r="I320" s="237" t="s">
        <v>21</v>
      </c>
      <c r="J320" s="237" t="s">
        <v>21</v>
      </c>
      <c r="K320" s="240" t="str">
        <f>IF(COUNTIF(L320:AY320,"&lt;&gt;")=0,"",SUMPRODUCT(((Recommendations[ImplStatus]="Implemented")+(Recommendations[ImplStatus]="Compensated"))*ISNUMBER(MATCH(Recommendations[Id],L320:AY320,0)))/COUNTIF(L320:AY320,"&lt;&gt;"))</f>
        <v/>
      </c>
      <c r="L320" s="243"/>
      <c r="M320" s="243"/>
      <c r="N320" s="243"/>
      <c r="O320" s="243"/>
      <c r="P320" s="243"/>
      <c r="Q320" s="243"/>
      <c r="R320" s="243"/>
      <c r="S320" s="243"/>
      <c r="T320" s="243"/>
      <c r="U320" s="243"/>
      <c r="V320" s="243"/>
      <c r="W320" s="243"/>
      <c r="X320" s="243"/>
      <c r="Y320" s="243"/>
      <c r="Z320" s="243"/>
      <c r="AA320" s="243"/>
      <c r="AB320" s="243"/>
      <c r="AC320" s="243"/>
      <c r="AD320" s="243"/>
      <c r="AE320" s="243"/>
      <c r="AF320" s="243"/>
      <c r="AG320" s="243"/>
      <c r="AH320" s="243"/>
      <c r="AI320" s="243"/>
      <c r="AJ320" s="243"/>
      <c r="AK320" s="243"/>
      <c r="AL320" s="243"/>
      <c r="AM320" s="243"/>
      <c r="AN320" s="243"/>
      <c r="AO320" s="243"/>
      <c r="AP320" s="243"/>
      <c r="AQ320" s="243"/>
      <c r="AR320" s="243"/>
      <c r="AS320" s="243"/>
      <c r="AT320" s="243"/>
      <c r="AU320" s="243"/>
      <c r="AV320" s="243"/>
      <c r="AW320" s="243"/>
      <c r="AX320" s="243"/>
      <c r="AY320" s="253"/>
    </row>
    <row r="321" spans="1:51" ht="60" customHeight="1" x14ac:dyDescent="0.35">
      <c r="A321" s="249" t="s">
        <v>6671</v>
      </c>
      <c r="B321" s="237" t="s">
        <v>6672</v>
      </c>
      <c r="C321" s="237" t="s">
        <v>6673</v>
      </c>
      <c r="D321" s="237" t="s">
        <v>6674</v>
      </c>
      <c r="E321" s="237" t="s">
        <v>21</v>
      </c>
      <c r="F321" s="237" t="s">
        <v>21</v>
      </c>
      <c r="G321" s="237" t="s">
        <v>21</v>
      </c>
      <c r="H321" s="237" t="s">
        <v>6675</v>
      </c>
      <c r="I321" s="237" t="s">
        <v>21</v>
      </c>
      <c r="J321" s="237" t="s">
        <v>6676</v>
      </c>
      <c r="K321" s="240" t="str">
        <f>IF(COUNTIF(L321:AY321,"&lt;&gt;")=0,"",SUMPRODUCT(((Recommendations[ImplStatus]="Implemented")+(Recommendations[ImplStatus]="Compensated"))*ISNUMBER(MATCH(Recommendations[Id],L321:AY321,0)))/COUNTIF(L321:AY321,"&lt;&gt;"))</f>
        <v/>
      </c>
      <c r="L321" s="243"/>
      <c r="M321" s="243"/>
      <c r="N321" s="243"/>
      <c r="O321" s="243"/>
      <c r="P321" s="243"/>
      <c r="Q321" s="243"/>
      <c r="R321" s="243"/>
      <c r="S321" s="243"/>
      <c r="T321" s="243"/>
      <c r="U321" s="243"/>
      <c r="V321" s="243"/>
      <c r="W321" s="243"/>
      <c r="X321" s="243"/>
      <c r="Y321" s="243"/>
      <c r="Z321" s="243"/>
      <c r="AA321" s="243"/>
      <c r="AB321" s="243"/>
      <c r="AC321" s="243"/>
      <c r="AD321" s="243"/>
      <c r="AE321" s="243"/>
      <c r="AF321" s="243"/>
      <c r="AG321" s="243"/>
      <c r="AH321" s="243"/>
      <c r="AI321" s="243"/>
      <c r="AJ321" s="243"/>
      <c r="AK321" s="243"/>
      <c r="AL321" s="243"/>
      <c r="AM321" s="243"/>
      <c r="AN321" s="243"/>
      <c r="AO321" s="243"/>
      <c r="AP321" s="243"/>
      <c r="AQ321" s="243"/>
      <c r="AR321" s="243"/>
      <c r="AS321" s="243"/>
      <c r="AT321" s="243"/>
      <c r="AU321" s="243"/>
      <c r="AV321" s="243"/>
      <c r="AW321" s="243"/>
      <c r="AX321" s="243"/>
      <c r="AY321" s="253"/>
    </row>
    <row r="322" spans="1:51" ht="60" customHeight="1" x14ac:dyDescent="0.35">
      <c r="A322" s="249" t="s">
        <v>6677</v>
      </c>
      <c r="B322" s="237" t="s">
        <v>6678</v>
      </c>
      <c r="C322" s="237" t="s">
        <v>6679</v>
      </c>
      <c r="D322" s="237" t="s">
        <v>6680</v>
      </c>
      <c r="E322" s="237" t="s">
        <v>21</v>
      </c>
      <c r="F322" s="237" t="s">
        <v>21</v>
      </c>
      <c r="G322" s="237" t="s">
        <v>21</v>
      </c>
      <c r="H322" s="237" t="s">
        <v>6681</v>
      </c>
      <c r="I322" s="237" t="s">
        <v>21</v>
      </c>
      <c r="J322" s="237" t="s">
        <v>6682</v>
      </c>
      <c r="K322" s="240" t="str">
        <f>IF(COUNTIF(L322:AY322,"&lt;&gt;")=0,"",SUMPRODUCT(((Recommendations[ImplStatus]="Implemented")+(Recommendations[ImplStatus]="Compensated"))*ISNUMBER(MATCH(Recommendations[Id],L322:AY322,0)))/COUNTIF(L322:AY322,"&lt;&gt;"))</f>
        <v/>
      </c>
      <c r="L322" s="243"/>
      <c r="M322" s="243"/>
      <c r="N322" s="243"/>
      <c r="O322" s="243"/>
      <c r="P322" s="243"/>
      <c r="Q322" s="243"/>
      <c r="R322" s="243"/>
      <c r="S322" s="243"/>
      <c r="T322" s="243"/>
      <c r="U322" s="243"/>
      <c r="V322" s="243"/>
      <c r="W322" s="243"/>
      <c r="X322" s="243"/>
      <c r="Y322" s="243"/>
      <c r="Z322" s="243"/>
      <c r="AA322" s="243"/>
      <c r="AB322" s="243"/>
      <c r="AC322" s="243"/>
      <c r="AD322" s="243"/>
      <c r="AE322" s="243"/>
      <c r="AF322" s="243"/>
      <c r="AG322" s="243"/>
      <c r="AH322" s="243"/>
      <c r="AI322" s="243"/>
      <c r="AJ322" s="243"/>
      <c r="AK322" s="243"/>
      <c r="AL322" s="243"/>
      <c r="AM322" s="243"/>
      <c r="AN322" s="243"/>
      <c r="AO322" s="243"/>
      <c r="AP322" s="243"/>
      <c r="AQ322" s="243"/>
      <c r="AR322" s="243"/>
      <c r="AS322" s="243"/>
      <c r="AT322" s="243"/>
      <c r="AU322" s="243"/>
      <c r="AV322" s="243"/>
      <c r="AW322" s="243"/>
      <c r="AX322" s="243"/>
      <c r="AY322" s="253"/>
    </row>
    <row r="323" spans="1:51" ht="60" customHeight="1" x14ac:dyDescent="0.35">
      <c r="A323" s="249" t="s">
        <v>6683</v>
      </c>
      <c r="B323" s="237" t="s">
        <v>6684</v>
      </c>
      <c r="C323" s="237" t="s">
        <v>6685</v>
      </c>
      <c r="D323" s="237" t="s">
        <v>21</v>
      </c>
      <c r="E323" s="237" t="s">
        <v>21</v>
      </c>
      <c r="F323" s="237" t="s">
        <v>21</v>
      </c>
      <c r="G323" s="237" t="s">
        <v>21</v>
      </c>
      <c r="H323" s="237" t="s">
        <v>6686</v>
      </c>
      <c r="I323" s="237" t="s">
        <v>5483</v>
      </c>
      <c r="J323" s="237" t="s">
        <v>6687</v>
      </c>
      <c r="K323" s="240" t="str">
        <f>IF(COUNTIF(L323:AY323,"&lt;&gt;")=0,"",SUMPRODUCT(((Recommendations[ImplStatus]="Implemented")+(Recommendations[ImplStatus]="Compensated"))*ISNUMBER(MATCH(Recommendations[Id],L323:AY323,0)))/COUNTIF(L323:AY323,"&lt;&gt;"))</f>
        <v/>
      </c>
      <c r="L323" s="243"/>
      <c r="M323" s="243"/>
      <c r="N323" s="243"/>
      <c r="O323" s="243"/>
      <c r="P323" s="243"/>
      <c r="Q323" s="243"/>
      <c r="R323" s="243"/>
      <c r="S323" s="243"/>
      <c r="T323" s="243"/>
      <c r="U323" s="243"/>
      <c r="V323" s="243"/>
      <c r="W323" s="243"/>
      <c r="X323" s="243"/>
      <c r="Y323" s="243"/>
      <c r="Z323" s="243"/>
      <c r="AA323" s="243"/>
      <c r="AB323" s="243"/>
      <c r="AC323" s="243"/>
      <c r="AD323" s="243"/>
      <c r="AE323" s="243"/>
      <c r="AF323" s="243"/>
      <c r="AG323" s="243"/>
      <c r="AH323" s="243"/>
      <c r="AI323" s="243"/>
      <c r="AJ323" s="243"/>
      <c r="AK323" s="243"/>
      <c r="AL323" s="243"/>
      <c r="AM323" s="243"/>
      <c r="AN323" s="243"/>
      <c r="AO323" s="243"/>
      <c r="AP323" s="243"/>
      <c r="AQ323" s="243"/>
      <c r="AR323" s="243"/>
      <c r="AS323" s="243"/>
      <c r="AT323" s="243"/>
      <c r="AU323" s="243"/>
      <c r="AV323" s="243"/>
      <c r="AW323" s="243"/>
      <c r="AX323" s="243"/>
      <c r="AY323" s="253"/>
    </row>
    <row r="324" spans="1:51" ht="60" customHeight="1" x14ac:dyDescent="0.35">
      <c r="A324" s="249" t="s">
        <v>6688</v>
      </c>
      <c r="B324" s="237" t="s">
        <v>6689</v>
      </c>
      <c r="C324" s="237" t="s">
        <v>6690</v>
      </c>
      <c r="D324" s="237" t="s">
        <v>21</v>
      </c>
      <c r="E324" s="237" t="s">
        <v>21</v>
      </c>
      <c r="F324" s="237" t="s">
        <v>21</v>
      </c>
      <c r="G324" s="237" t="s">
        <v>21</v>
      </c>
      <c r="H324" s="237" t="s">
        <v>6691</v>
      </c>
      <c r="I324" s="237" t="s">
        <v>6692</v>
      </c>
      <c r="J324" s="237" t="s">
        <v>6693</v>
      </c>
      <c r="K324" s="240" t="str">
        <f>IF(COUNTIF(L324:AY324,"&lt;&gt;")=0,"",SUMPRODUCT(((Recommendations[ImplStatus]="Implemented")+(Recommendations[ImplStatus]="Compensated"))*ISNUMBER(MATCH(Recommendations[Id],L324:AY324,0)))/COUNTIF(L324:AY324,"&lt;&gt;"))</f>
        <v/>
      </c>
      <c r="L324" s="243"/>
      <c r="M324" s="243"/>
      <c r="N324" s="243"/>
      <c r="O324" s="243"/>
      <c r="P324" s="243"/>
      <c r="Q324" s="243"/>
      <c r="R324" s="243"/>
      <c r="S324" s="243"/>
      <c r="T324" s="243"/>
      <c r="U324" s="243"/>
      <c r="V324" s="243"/>
      <c r="W324" s="243"/>
      <c r="X324" s="243"/>
      <c r="Y324" s="243"/>
      <c r="Z324" s="243"/>
      <c r="AA324" s="243"/>
      <c r="AB324" s="243"/>
      <c r="AC324" s="243"/>
      <c r="AD324" s="243"/>
      <c r="AE324" s="243"/>
      <c r="AF324" s="243"/>
      <c r="AG324" s="243"/>
      <c r="AH324" s="243"/>
      <c r="AI324" s="243"/>
      <c r="AJ324" s="243"/>
      <c r="AK324" s="243"/>
      <c r="AL324" s="243"/>
      <c r="AM324" s="243"/>
      <c r="AN324" s="243"/>
      <c r="AO324" s="243"/>
      <c r="AP324" s="243"/>
      <c r="AQ324" s="243"/>
      <c r="AR324" s="243"/>
      <c r="AS324" s="243"/>
      <c r="AT324" s="243"/>
      <c r="AU324" s="243"/>
      <c r="AV324" s="243"/>
      <c r="AW324" s="243"/>
      <c r="AX324" s="243"/>
      <c r="AY324" s="253"/>
    </row>
    <row r="325" spans="1:51" ht="60" customHeight="1" x14ac:dyDescent="0.35">
      <c r="A325" s="249" t="s">
        <v>6694</v>
      </c>
      <c r="B325" s="237" t="s">
        <v>6695</v>
      </c>
      <c r="C325" s="237" t="s">
        <v>6696</v>
      </c>
      <c r="D325" s="237" t="s">
        <v>6697</v>
      </c>
      <c r="E325" s="237" t="s">
        <v>21</v>
      </c>
      <c r="F325" s="237" t="s">
        <v>21</v>
      </c>
      <c r="G325" s="237" t="s">
        <v>21</v>
      </c>
      <c r="H325" s="237" t="s">
        <v>6698</v>
      </c>
      <c r="I325" s="237" t="s">
        <v>21</v>
      </c>
      <c r="J325" s="237" t="s">
        <v>6699</v>
      </c>
      <c r="K325" s="240" t="str">
        <f>IF(COUNTIF(L325:AY325,"&lt;&gt;")=0,"",SUMPRODUCT(((Recommendations[ImplStatus]="Implemented")+(Recommendations[ImplStatus]="Compensated"))*ISNUMBER(MATCH(Recommendations[Id],L325:AY325,0)))/COUNTIF(L325:AY325,"&lt;&gt;"))</f>
        <v/>
      </c>
      <c r="L325" s="243"/>
      <c r="M325" s="243"/>
      <c r="N325" s="243"/>
      <c r="O325" s="243"/>
      <c r="P325" s="243"/>
      <c r="Q325" s="243"/>
      <c r="R325" s="243"/>
      <c r="S325" s="243"/>
      <c r="T325" s="243"/>
      <c r="U325" s="243"/>
      <c r="V325" s="243"/>
      <c r="W325" s="243"/>
      <c r="X325" s="243"/>
      <c r="Y325" s="243"/>
      <c r="Z325" s="243"/>
      <c r="AA325" s="243"/>
      <c r="AB325" s="243"/>
      <c r="AC325" s="243"/>
      <c r="AD325" s="243"/>
      <c r="AE325" s="243"/>
      <c r="AF325" s="243"/>
      <c r="AG325" s="243"/>
      <c r="AH325" s="243"/>
      <c r="AI325" s="243"/>
      <c r="AJ325" s="243"/>
      <c r="AK325" s="243"/>
      <c r="AL325" s="243"/>
      <c r="AM325" s="243"/>
      <c r="AN325" s="243"/>
      <c r="AO325" s="243"/>
      <c r="AP325" s="243"/>
      <c r="AQ325" s="243"/>
      <c r="AR325" s="243"/>
      <c r="AS325" s="243"/>
      <c r="AT325" s="243"/>
      <c r="AU325" s="243"/>
      <c r="AV325" s="243"/>
      <c r="AW325" s="243"/>
      <c r="AX325" s="243"/>
      <c r="AY325" s="253"/>
    </row>
    <row r="326" spans="1:51" ht="60" customHeight="1" x14ac:dyDescent="0.35">
      <c r="A326" s="250" t="s">
        <v>6700</v>
      </c>
      <c r="B326" s="244" t="s">
        <v>6701</v>
      </c>
      <c r="C326" s="244" t="s">
        <v>6702</v>
      </c>
      <c r="D326" s="244" t="s">
        <v>6703</v>
      </c>
      <c r="E326" s="244" t="s">
        <v>21</v>
      </c>
      <c r="F326" s="244" t="s">
        <v>21</v>
      </c>
      <c r="G326" s="244" t="s">
        <v>21</v>
      </c>
      <c r="H326" s="244" t="s">
        <v>6704</v>
      </c>
      <c r="I326" s="244" t="s">
        <v>5483</v>
      </c>
      <c r="J326" s="244" t="s">
        <v>6705</v>
      </c>
      <c r="K326" s="245" t="str">
        <f>IF(COUNTIF(L326:AY326,"&lt;&gt;")=0,"",SUMPRODUCT(((Recommendations[ImplStatus]="Implemented")+(Recommendations[ImplStatus]="Compensated"))*ISNUMBER(MATCH(Recommendations[Id],L326:AY326,0)))/COUNTIF(L326:AY326,"&lt;&gt;"))</f>
        <v/>
      </c>
      <c r="L326" s="246"/>
      <c r="M326" s="246"/>
      <c r="N326" s="246"/>
      <c r="O326" s="246"/>
      <c r="P326" s="246"/>
      <c r="Q326" s="246"/>
      <c r="R326" s="246"/>
      <c r="S326" s="246"/>
      <c r="T326" s="246"/>
      <c r="U326" s="246"/>
      <c r="V326" s="246"/>
      <c r="W326" s="246"/>
      <c r="X326" s="246"/>
      <c r="Y326" s="246"/>
      <c r="Z326" s="246"/>
      <c r="AA326" s="246"/>
      <c r="AB326" s="246"/>
      <c r="AC326" s="246"/>
      <c r="AD326" s="246"/>
      <c r="AE326" s="246"/>
      <c r="AF326" s="246"/>
      <c r="AG326" s="246"/>
      <c r="AH326" s="246"/>
      <c r="AI326" s="246"/>
      <c r="AJ326" s="246"/>
      <c r="AK326" s="246"/>
      <c r="AL326" s="246"/>
      <c r="AM326" s="246"/>
      <c r="AN326" s="246"/>
      <c r="AO326" s="246"/>
      <c r="AP326" s="246"/>
      <c r="AQ326" s="246"/>
      <c r="AR326" s="246"/>
      <c r="AS326" s="246"/>
      <c r="AT326" s="246"/>
      <c r="AU326" s="246"/>
      <c r="AV326" s="246"/>
      <c r="AW326" s="246"/>
      <c r="AX326" s="246"/>
      <c r="AY326" s="254"/>
    </row>
    <row r="330" spans="1:51" ht="32" customHeight="1" x14ac:dyDescent="0.35">
      <c r="A330" s="291" t="s">
        <v>1971</v>
      </c>
      <c r="B330" s="291"/>
      <c r="C330" s="291"/>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IFERROR(INDEX('Recommendations'!$H$2:$H$461, MATCH(L2,'Recommendations'!$A$2:$A$461,0))="Implemented", FALSE))</xm:f>
            <x14:dxf>
              <font>
                <color rgb="FF000000"/>
              </font>
              <fill>
                <patternFill>
                  <bgColor rgb="FF3C7D22"/>
                </patternFill>
              </fill>
            </x14:dxf>
          </x14:cfRule>
          <x14:cfRule type="expression" priority="2" id="{00000000-000E-0000-0A00-000002000000}">
            <xm:f>AND(L2&lt;&gt;"", IFERROR(INDEX('Recommendations'!$H$2:$H$461, MATCH(L2,'Recommendations'!$A$2:$A$461,0))="Compensated", FALSE))</xm:f>
            <x14:dxf>
              <font>
                <color rgb="FF000000"/>
              </font>
              <fill>
                <patternFill>
                  <bgColor rgb="FFC6E0B4"/>
                </patternFill>
              </fill>
            </x14:dxf>
          </x14:cfRule>
          <x14:cfRule type="expression" priority="3" id="{00000000-000E-0000-0A00-000003000000}">
            <xm:f>AND(L2&lt;&gt;"", IFERROR(INDEX('Recommendations'!$H$2:$H$461, MATCH(L2,'Recommendations'!$A$2:$A$461,0))="Testing", FALSE))</xm:f>
            <x14:dxf>
              <font>
                <color rgb="FF000000"/>
              </font>
              <fill>
                <patternFill>
                  <bgColor rgb="FFFFC000"/>
                </patternFill>
              </fill>
            </x14:dxf>
          </x14:cfRule>
          <x14:cfRule type="expression" priority="4" id="{00000000-000E-0000-0A00-000004000000}">
            <xm:f>AND(L2&lt;&gt;"", IFERROR(INDEX('Recommendations'!$H$2:$H$461, MATCH(L2,'Recommendations'!$A$2:$A$461,0))="Failed", FALSE))</xm:f>
            <x14:dxf>
              <font>
                <color rgb="FF000000"/>
              </font>
              <fill>
                <patternFill>
                  <bgColor rgb="FFD82891"/>
                </patternFill>
              </fill>
            </x14:dxf>
          </x14:cfRule>
          <x14:cfRule type="expression" priority="5" id="{00000000-000E-0000-0A00-000005000000}">
            <xm:f>AND(L2&lt;&gt;"", IFERROR(INDEX('Recommendations'!$H$2:$H$461, MATCH(L2,'Recommendations'!$A$2:$A$461,0))="Risk Accepted", FALSE))</xm:f>
            <x14:dxf>
              <font>
                <color rgb="FF000000"/>
              </font>
              <fill>
                <patternFill>
                  <bgColor rgb="FFD9D9D9"/>
                </patternFill>
              </fill>
            </x14:dxf>
          </x14:cfRule>
          <x14:cfRule type="expression" priority="6" id="{00000000-000E-0000-0A00-000006000000}">
            <xm:f>AND(L2&lt;&gt;"", IFERROR(INDEX('Recommendations'!$H$2:$H$461, MATCH(L2,'Recommendations'!$A$2:$A$461,0))="N/A",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8" t="s">
        <v>3854</v>
      </c>
      <c r="B1" s="289" t="s">
        <v>4739</v>
      </c>
      <c r="C1" s="289" t="s">
        <v>0</v>
      </c>
      <c r="D1" s="289" t="s">
        <v>2217</v>
      </c>
      <c r="E1" s="289" t="s">
        <v>6706</v>
      </c>
      <c r="F1" s="289" t="s">
        <v>6707</v>
      </c>
      <c r="G1" s="289" t="s">
        <v>2222</v>
      </c>
      <c r="H1" s="289" t="s">
        <v>2223</v>
      </c>
      <c r="I1" s="289" t="s">
        <v>2224</v>
      </c>
      <c r="J1" s="289" t="s">
        <v>2225</v>
      </c>
      <c r="K1" s="289" t="s">
        <v>2226</v>
      </c>
      <c r="L1" s="289" t="s">
        <v>2227</v>
      </c>
      <c r="M1" s="289" t="s">
        <v>2228</v>
      </c>
      <c r="N1" s="289" t="s">
        <v>2229</v>
      </c>
      <c r="O1" s="289" t="s">
        <v>2230</v>
      </c>
      <c r="P1" s="289" t="s">
        <v>2231</v>
      </c>
      <c r="Q1" s="289" t="s">
        <v>2232</v>
      </c>
      <c r="R1" s="289" t="s">
        <v>2233</v>
      </c>
      <c r="S1" s="289" t="s">
        <v>2234</v>
      </c>
      <c r="T1" s="289" t="s">
        <v>2235</v>
      </c>
      <c r="U1" s="289" t="s">
        <v>2236</v>
      </c>
      <c r="V1" s="289" t="s">
        <v>2237</v>
      </c>
      <c r="W1" s="289" t="s">
        <v>2238</v>
      </c>
      <c r="X1" s="289" t="s">
        <v>2239</v>
      </c>
      <c r="Y1" s="289" t="s">
        <v>2240</v>
      </c>
      <c r="Z1" s="289" t="s">
        <v>2241</v>
      </c>
      <c r="AA1" s="289" t="s">
        <v>2242</v>
      </c>
      <c r="AB1" s="289" t="s">
        <v>2243</v>
      </c>
      <c r="AC1" s="289" t="s">
        <v>2244</v>
      </c>
      <c r="AD1" s="289" t="s">
        <v>2245</v>
      </c>
      <c r="AE1" s="289" t="s">
        <v>2246</v>
      </c>
      <c r="AF1" s="289" t="s">
        <v>2247</v>
      </c>
      <c r="AG1" s="289" t="s">
        <v>2248</v>
      </c>
      <c r="AH1" s="289" t="s">
        <v>2249</v>
      </c>
      <c r="AI1" s="289" t="s">
        <v>2250</v>
      </c>
      <c r="AJ1" s="289" t="s">
        <v>2251</v>
      </c>
      <c r="AK1" s="289" t="s">
        <v>2252</v>
      </c>
      <c r="AL1" s="289" t="s">
        <v>2253</v>
      </c>
      <c r="AM1" s="289" t="s">
        <v>2254</v>
      </c>
      <c r="AN1" s="289" t="s">
        <v>2255</v>
      </c>
      <c r="AO1" s="289" t="s">
        <v>2256</v>
      </c>
      <c r="AP1" s="289" t="s">
        <v>2257</v>
      </c>
      <c r="AQ1" s="289" t="s">
        <v>2258</v>
      </c>
      <c r="AR1" s="289" t="s">
        <v>2259</v>
      </c>
      <c r="AS1" s="289" t="s">
        <v>2260</v>
      </c>
      <c r="AT1" s="289" t="s">
        <v>2261</v>
      </c>
      <c r="AU1" s="290" t="s">
        <v>2262</v>
      </c>
    </row>
    <row r="2" spans="1:47" ht="60" customHeight="1" outlineLevel="1" x14ac:dyDescent="0.35">
      <c r="A2" s="280" t="s">
        <v>6708</v>
      </c>
      <c r="B2" s="258"/>
      <c r="C2" s="258"/>
      <c r="D2" s="262"/>
      <c r="E2" s="258"/>
      <c r="F2" s="266"/>
      <c r="G2" s="269" t="str">
        <f>IF(COUNTIF(H2:AU2,"&lt;&gt;")=0,"",SUMPRODUCT(((Recommendations[ImplStatus]="Implemented")+(Recommendations[ImplStatus]="Compensated"))*ISNUMBER(MATCH(Recommendations[Id],H2:AU2,0)))/COUNTIF(H2:AU2,"&lt;&gt;"))</f>
        <v/>
      </c>
      <c r="H2" s="266"/>
      <c r="I2" s="266"/>
      <c r="J2" s="266"/>
      <c r="K2" s="266"/>
      <c r="L2" s="266"/>
      <c r="M2" s="266"/>
      <c r="N2" s="266"/>
      <c r="O2" s="266"/>
      <c r="P2" s="266"/>
      <c r="Q2" s="266"/>
      <c r="R2" s="266"/>
      <c r="S2" s="266"/>
      <c r="T2" s="266"/>
      <c r="U2" s="266"/>
      <c r="V2" s="266"/>
      <c r="W2" s="266"/>
      <c r="X2" s="266"/>
      <c r="Y2" s="266"/>
      <c r="Z2" s="266"/>
      <c r="AA2" s="266"/>
      <c r="AB2" s="266"/>
      <c r="AC2" s="266"/>
      <c r="AD2" s="266"/>
      <c r="AE2" s="266"/>
      <c r="AF2" s="266"/>
      <c r="AG2" s="266"/>
      <c r="AH2" s="266"/>
      <c r="AI2" s="266"/>
      <c r="AJ2" s="266"/>
      <c r="AK2" s="266"/>
      <c r="AL2" s="266"/>
      <c r="AM2" s="266"/>
      <c r="AN2" s="266"/>
      <c r="AO2" s="266"/>
      <c r="AP2" s="266"/>
      <c r="AQ2" s="266"/>
      <c r="AR2" s="266"/>
      <c r="AS2" s="266"/>
      <c r="AT2" s="266"/>
      <c r="AU2" s="284"/>
    </row>
    <row r="3" spans="1:47" ht="60" customHeight="1" outlineLevel="2" x14ac:dyDescent="0.35">
      <c r="A3" s="281" t="s">
        <v>6708</v>
      </c>
      <c r="B3" s="259" t="s">
        <v>6709</v>
      </c>
      <c r="C3" s="259"/>
      <c r="D3" s="263"/>
      <c r="E3" s="259"/>
      <c r="F3" s="267"/>
      <c r="G3" s="270" t="str">
        <f>IF(COUNTIF(H3:AU3,"&lt;&gt;")=0,"",SUMPRODUCT(((Recommendations[ImplStatus]="Implemented")+(Recommendations[ImplStatus]="Compensated"))*ISNUMBER(MATCH(Recommendations[Id],H3:AU3,0)))/COUNTIF(H3:AU3,"&lt;&gt;"))</f>
        <v/>
      </c>
      <c r="H3" s="267"/>
      <c r="I3" s="267"/>
      <c r="J3" s="267"/>
      <c r="K3" s="267"/>
      <c r="L3" s="267"/>
      <c r="M3" s="267"/>
      <c r="N3" s="267"/>
      <c r="O3" s="267"/>
      <c r="P3" s="267"/>
      <c r="Q3" s="267"/>
      <c r="R3" s="267"/>
      <c r="S3" s="267"/>
      <c r="T3" s="267"/>
      <c r="U3" s="267"/>
      <c r="V3" s="267"/>
      <c r="W3" s="267"/>
      <c r="X3" s="267"/>
      <c r="Y3" s="267"/>
      <c r="Z3" s="267"/>
      <c r="AA3" s="267"/>
      <c r="AB3" s="267"/>
      <c r="AC3" s="267"/>
      <c r="AD3" s="267"/>
      <c r="AE3" s="267"/>
      <c r="AF3" s="267"/>
      <c r="AG3" s="267"/>
      <c r="AH3" s="267"/>
      <c r="AI3" s="267"/>
      <c r="AJ3" s="267"/>
      <c r="AK3" s="267"/>
      <c r="AL3" s="267"/>
      <c r="AM3" s="267"/>
      <c r="AN3" s="267"/>
      <c r="AO3" s="267"/>
      <c r="AP3" s="267"/>
      <c r="AQ3" s="267"/>
      <c r="AR3" s="267"/>
      <c r="AS3" s="267"/>
      <c r="AT3" s="267"/>
      <c r="AU3" s="285"/>
    </row>
    <row r="4" spans="1:47" ht="60" customHeight="1" x14ac:dyDescent="0.35">
      <c r="A4" s="282" t="s">
        <v>6708</v>
      </c>
      <c r="B4" s="260" t="s">
        <v>6709</v>
      </c>
      <c r="C4" s="261" t="s">
        <v>6710</v>
      </c>
      <c r="D4" s="264" t="s">
        <v>6711</v>
      </c>
      <c r="E4" s="265" t="s">
        <v>6712</v>
      </c>
      <c r="F4" s="268" t="s">
        <v>6713</v>
      </c>
      <c r="G4" s="271" t="str">
        <f>IF(COUNTIF(H4:AU4,"&lt;&gt;")=0,"",SUMPRODUCT(((Recommendations[ImplStatus]="Implemented")+(Recommendations[ImplStatus]="Compensated"))*ISNUMBER(MATCH(Recommendations[Id],H4:AU4,0)))/COUNTIF(H4:AU4,"&lt;&gt;"))</f>
        <v/>
      </c>
      <c r="H4" s="272"/>
      <c r="I4" s="272"/>
      <c r="J4" s="272"/>
      <c r="K4" s="272"/>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2"/>
      <c r="AK4" s="272"/>
      <c r="AL4" s="272"/>
      <c r="AM4" s="272"/>
      <c r="AN4" s="272"/>
      <c r="AO4" s="272"/>
      <c r="AP4" s="272"/>
      <c r="AQ4" s="272"/>
      <c r="AR4" s="272"/>
      <c r="AS4" s="272"/>
      <c r="AT4" s="272"/>
      <c r="AU4" s="286"/>
    </row>
    <row r="5" spans="1:47" ht="60" customHeight="1" x14ac:dyDescent="0.35">
      <c r="A5" s="282" t="s">
        <v>6708</v>
      </c>
      <c r="B5" s="260" t="s">
        <v>6709</v>
      </c>
      <c r="C5" s="261" t="s">
        <v>6714</v>
      </c>
      <c r="D5" s="264" t="s">
        <v>6715</v>
      </c>
      <c r="E5" s="265" t="s">
        <v>6712</v>
      </c>
      <c r="F5" s="268" t="s">
        <v>6713</v>
      </c>
      <c r="G5" s="271" t="str">
        <f>IF(COUNTIF(H5:AU5,"&lt;&gt;")=0,"",SUMPRODUCT(((Recommendations[ImplStatus]="Implemented")+(Recommendations[ImplStatus]="Compensated"))*ISNUMBER(MATCH(Recommendations[Id],H5:AU5,0)))/COUNTIF(H5:AU5,"&lt;&gt;"))</f>
        <v/>
      </c>
      <c r="H5" s="272"/>
      <c r="I5" s="272"/>
      <c r="J5" s="272"/>
      <c r="K5" s="272"/>
      <c r="L5" s="272"/>
      <c r="M5" s="272"/>
      <c r="N5" s="272"/>
      <c r="O5" s="272"/>
      <c r="P5" s="272"/>
      <c r="Q5" s="272"/>
      <c r="R5" s="272"/>
      <c r="S5" s="272"/>
      <c r="T5" s="272"/>
      <c r="U5" s="272"/>
      <c r="V5" s="272"/>
      <c r="W5" s="272"/>
      <c r="X5" s="272"/>
      <c r="Y5" s="272"/>
      <c r="Z5" s="272"/>
      <c r="AA5" s="272"/>
      <c r="AB5" s="272"/>
      <c r="AC5" s="272"/>
      <c r="AD5" s="272"/>
      <c r="AE5" s="272"/>
      <c r="AF5" s="272"/>
      <c r="AG5" s="272"/>
      <c r="AH5" s="272"/>
      <c r="AI5" s="272"/>
      <c r="AJ5" s="272"/>
      <c r="AK5" s="272"/>
      <c r="AL5" s="272"/>
      <c r="AM5" s="272"/>
      <c r="AN5" s="272"/>
      <c r="AO5" s="272"/>
      <c r="AP5" s="272"/>
      <c r="AQ5" s="272"/>
      <c r="AR5" s="272"/>
      <c r="AS5" s="272"/>
      <c r="AT5" s="272"/>
      <c r="AU5" s="286"/>
    </row>
    <row r="6" spans="1:47" ht="60" customHeight="1" x14ac:dyDescent="0.35">
      <c r="A6" s="282" t="s">
        <v>6708</v>
      </c>
      <c r="B6" s="260" t="s">
        <v>6709</v>
      </c>
      <c r="C6" s="261" t="s">
        <v>6716</v>
      </c>
      <c r="D6" s="264" t="s">
        <v>6717</v>
      </c>
      <c r="E6" s="265" t="s">
        <v>6712</v>
      </c>
      <c r="F6" s="268" t="s">
        <v>6713</v>
      </c>
      <c r="G6" s="271" t="str">
        <f>IF(COUNTIF(H6:AU6,"&lt;&gt;")=0,"",SUMPRODUCT(((Recommendations[ImplStatus]="Implemented")+(Recommendations[ImplStatus]="Compensated"))*ISNUMBER(MATCH(Recommendations[Id],H6:AU6,0)))/COUNTIF(H6:AU6,"&lt;&gt;"))</f>
        <v/>
      </c>
      <c r="H6" s="272"/>
      <c r="I6" s="272"/>
      <c r="J6" s="272"/>
      <c r="K6" s="272"/>
      <c r="L6" s="272"/>
      <c r="M6" s="272"/>
      <c r="N6" s="272"/>
      <c r="O6" s="272"/>
      <c r="P6" s="272"/>
      <c r="Q6" s="272"/>
      <c r="R6" s="272"/>
      <c r="S6" s="272"/>
      <c r="T6" s="272"/>
      <c r="U6" s="272"/>
      <c r="V6" s="272"/>
      <c r="W6" s="272"/>
      <c r="X6" s="272"/>
      <c r="Y6" s="272"/>
      <c r="Z6" s="272"/>
      <c r="AA6" s="272"/>
      <c r="AB6" s="272"/>
      <c r="AC6" s="272"/>
      <c r="AD6" s="272"/>
      <c r="AE6" s="272"/>
      <c r="AF6" s="272"/>
      <c r="AG6" s="272"/>
      <c r="AH6" s="272"/>
      <c r="AI6" s="272"/>
      <c r="AJ6" s="272"/>
      <c r="AK6" s="272"/>
      <c r="AL6" s="272"/>
      <c r="AM6" s="272"/>
      <c r="AN6" s="272"/>
      <c r="AO6" s="272"/>
      <c r="AP6" s="272"/>
      <c r="AQ6" s="272"/>
      <c r="AR6" s="272"/>
      <c r="AS6" s="272"/>
      <c r="AT6" s="272"/>
      <c r="AU6" s="286"/>
    </row>
    <row r="7" spans="1:47" ht="60" customHeight="1" x14ac:dyDescent="0.35">
      <c r="A7" s="282" t="s">
        <v>6708</v>
      </c>
      <c r="B7" s="260" t="s">
        <v>6709</v>
      </c>
      <c r="C7" s="261" t="s">
        <v>6718</v>
      </c>
      <c r="D7" s="264" t="s">
        <v>6719</v>
      </c>
      <c r="E7" s="265" t="s">
        <v>6712</v>
      </c>
      <c r="F7" s="268" t="s">
        <v>6713</v>
      </c>
      <c r="G7" s="271" t="str">
        <f>IF(COUNTIF(H7:AU7,"&lt;&gt;")=0,"",SUMPRODUCT(((Recommendations[ImplStatus]="Implemented")+(Recommendations[ImplStatus]="Compensated"))*ISNUMBER(MATCH(Recommendations[Id],H7:AU7,0)))/COUNTIF(H7:AU7,"&lt;&gt;"))</f>
        <v/>
      </c>
      <c r="H7" s="272"/>
      <c r="I7" s="272"/>
      <c r="J7" s="272"/>
      <c r="K7" s="272"/>
      <c r="L7" s="272"/>
      <c r="M7" s="272"/>
      <c r="N7" s="272"/>
      <c r="O7" s="272"/>
      <c r="P7" s="272"/>
      <c r="Q7" s="272"/>
      <c r="R7" s="272"/>
      <c r="S7" s="272"/>
      <c r="T7" s="272"/>
      <c r="U7" s="272"/>
      <c r="V7" s="272"/>
      <c r="W7" s="272"/>
      <c r="X7" s="272"/>
      <c r="Y7" s="272"/>
      <c r="Z7" s="272"/>
      <c r="AA7" s="272"/>
      <c r="AB7" s="272"/>
      <c r="AC7" s="272"/>
      <c r="AD7" s="272"/>
      <c r="AE7" s="272"/>
      <c r="AF7" s="272"/>
      <c r="AG7" s="272"/>
      <c r="AH7" s="272"/>
      <c r="AI7" s="272"/>
      <c r="AJ7" s="272"/>
      <c r="AK7" s="272"/>
      <c r="AL7" s="272"/>
      <c r="AM7" s="272"/>
      <c r="AN7" s="272"/>
      <c r="AO7" s="272"/>
      <c r="AP7" s="272"/>
      <c r="AQ7" s="272"/>
      <c r="AR7" s="272"/>
      <c r="AS7" s="272"/>
      <c r="AT7" s="272"/>
      <c r="AU7" s="286"/>
    </row>
    <row r="8" spans="1:47" ht="60" customHeight="1" x14ac:dyDescent="0.35">
      <c r="A8" s="282" t="s">
        <v>6708</v>
      </c>
      <c r="B8" s="260" t="s">
        <v>6709</v>
      </c>
      <c r="C8" s="261" t="s">
        <v>6720</v>
      </c>
      <c r="D8" s="264" t="s">
        <v>6721</v>
      </c>
      <c r="E8" s="265" t="s">
        <v>6712</v>
      </c>
      <c r="F8" s="268" t="s">
        <v>6713</v>
      </c>
      <c r="G8" s="271" t="str">
        <f>IF(COUNTIF(H8:AU8,"&lt;&gt;")=0,"",SUMPRODUCT(((Recommendations[ImplStatus]="Implemented")+(Recommendations[ImplStatus]="Compensated"))*ISNUMBER(MATCH(Recommendations[Id],H8:AU8,0)))/COUNTIF(H8:AU8,"&lt;&gt;"))</f>
        <v/>
      </c>
      <c r="H8" s="272"/>
      <c r="I8" s="272"/>
      <c r="J8" s="272"/>
      <c r="K8" s="272"/>
      <c r="L8" s="272"/>
      <c r="M8" s="272"/>
      <c r="N8" s="272"/>
      <c r="O8" s="272"/>
      <c r="P8" s="272"/>
      <c r="Q8" s="272"/>
      <c r="R8" s="272"/>
      <c r="S8" s="272"/>
      <c r="T8" s="272"/>
      <c r="U8" s="272"/>
      <c r="V8" s="272"/>
      <c r="W8" s="272"/>
      <c r="X8" s="272"/>
      <c r="Y8" s="272"/>
      <c r="Z8" s="272"/>
      <c r="AA8" s="272"/>
      <c r="AB8" s="272"/>
      <c r="AC8" s="272"/>
      <c r="AD8" s="272"/>
      <c r="AE8" s="272"/>
      <c r="AF8" s="272"/>
      <c r="AG8" s="272"/>
      <c r="AH8" s="272"/>
      <c r="AI8" s="272"/>
      <c r="AJ8" s="272"/>
      <c r="AK8" s="272"/>
      <c r="AL8" s="272"/>
      <c r="AM8" s="272"/>
      <c r="AN8" s="272"/>
      <c r="AO8" s="272"/>
      <c r="AP8" s="272"/>
      <c r="AQ8" s="272"/>
      <c r="AR8" s="272"/>
      <c r="AS8" s="272"/>
      <c r="AT8" s="272"/>
      <c r="AU8" s="286"/>
    </row>
    <row r="9" spans="1:47" ht="60" customHeight="1" x14ac:dyDescent="0.35">
      <c r="A9" s="282" t="s">
        <v>6708</v>
      </c>
      <c r="B9" s="260" t="s">
        <v>6709</v>
      </c>
      <c r="C9" s="261" t="s">
        <v>6722</v>
      </c>
      <c r="D9" s="264" t="s">
        <v>6723</v>
      </c>
      <c r="E9" s="265" t="s">
        <v>6712</v>
      </c>
      <c r="F9" s="268" t="s">
        <v>6713</v>
      </c>
      <c r="G9" s="271" t="str">
        <f>IF(COUNTIF(H9:AU9,"&lt;&gt;")=0,"",SUMPRODUCT(((Recommendations[ImplStatus]="Implemented")+(Recommendations[ImplStatus]="Compensated"))*ISNUMBER(MATCH(Recommendations[Id],H9:AU9,0)))/COUNTIF(H9:AU9,"&lt;&gt;"))</f>
        <v/>
      </c>
      <c r="H9" s="272"/>
      <c r="I9" s="272"/>
      <c r="J9" s="272"/>
      <c r="K9" s="272"/>
      <c r="L9" s="272"/>
      <c r="M9" s="272"/>
      <c r="N9" s="272"/>
      <c r="O9" s="272"/>
      <c r="P9" s="272"/>
      <c r="Q9" s="272"/>
      <c r="R9" s="272"/>
      <c r="S9" s="272"/>
      <c r="T9" s="272"/>
      <c r="U9" s="272"/>
      <c r="V9" s="272"/>
      <c r="W9" s="272"/>
      <c r="X9" s="272"/>
      <c r="Y9" s="272"/>
      <c r="Z9" s="272"/>
      <c r="AA9" s="272"/>
      <c r="AB9" s="272"/>
      <c r="AC9" s="272"/>
      <c r="AD9" s="272"/>
      <c r="AE9" s="272"/>
      <c r="AF9" s="272"/>
      <c r="AG9" s="272"/>
      <c r="AH9" s="272"/>
      <c r="AI9" s="272"/>
      <c r="AJ9" s="272"/>
      <c r="AK9" s="272"/>
      <c r="AL9" s="272"/>
      <c r="AM9" s="272"/>
      <c r="AN9" s="272"/>
      <c r="AO9" s="272"/>
      <c r="AP9" s="272"/>
      <c r="AQ9" s="272"/>
      <c r="AR9" s="272"/>
      <c r="AS9" s="272"/>
      <c r="AT9" s="272"/>
      <c r="AU9" s="286"/>
    </row>
    <row r="10" spans="1:47" ht="60" customHeight="1" x14ac:dyDescent="0.35">
      <c r="A10" s="282" t="s">
        <v>6708</v>
      </c>
      <c r="B10" s="260" t="s">
        <v>6709</v>
      </c>
      <c r="C10" s="261" t="s">
        <v>6724</v>
      </c>
      <c r="D10" s="264" t="s">
        <v>6725</v>
      </c>
      <c r="E10" s="265" t="s">
        <v>6712</v>
      </c>
      <c r="F10" s="268" t="s">
        <v>6713</v>
      </c>
      <c r="G10" s="271" t="str">
        <f>IF(COUNTIF(H10:AU10,"&lt;&gt;")=0,"",SUMPRODUCT(((Recommendations[ImplStatus]="Implemented")+(Recommendations[ImplStatus]="Compensated"))*ISNUMBER(MATCH(Recommendations[Id],H10:AU10,0)))/COUNTIF(H10:AU10,"&lt;&gt;"))</f>
        <v/>
      </c>
      <c r="H10" s="272"/>
      <c r="I10" s="272"/>
      <c r="J10" s="272"/>
      <c r="K10" s="272"/>
      <c r="L10" s="272"/>
      <c r="M10" s="272"/>
      <c r="N10" s="272"/>
      <c r="O10" s="272"/>
      <c r="P10" s="272"/>
      <c r="Q10" s="272"/>
      <c r="R10" s="272"/>
      <c r="S10" s="272"/>
      <c r="T10" s="272"/>
      <c r="U10" s="272"/>
      <c r="V10" s="272"/>
      <c r="W10" s="272"/>
      <c r="X10" s="272"/>
      <c r="Y10" s="272"/>
      <c r="Z10" s="272"/>
      <c r="AA10" s="272"/>
      <c r="AB10" s="272"/>
      <c r="AC10" s="272"/>
      <c r="AD10" s="272"/>
      <c r="AE10" s="272"/>
      <c r="AF10" s="272"/>
      <c r="AG10" s="272"/>
      <c r="AH10" s="272"/>
      <c r="AI10" s="272"/>
      <c r="AJ10" s="272"/>
      <c r="AK10" s="272"/>
      <c r="AL10" s="272"/>
      <c r="AM10" s="272"/>
      <c r="AN10" s="272"/>
      <c r="AO10" s="272"/>
      <c r="AP10" s="272"/>
      <c r="AQ10" s="272"/>
      <c r="AR10" s="272"/>
      <c r="AS10" s="272"/>
      <c r="AT10" s="272"/>
      <c r="AU10" s="286"/>
    </row>
    <row r="11" spans="1:47" ht="60" customHeight="1" x14ac:dyDescent="0.35">
      <c r="A11" s="282" t="s">
        <v>6708</v>
      </c>
      <c r="B11" s="260" t="s">
        <v>6709</v>
      </c>
      <c r="C11" s="261" t="s">
        <v>6726</v>
      </c>
      <c r="D11" s="264" t="s">
        <v>6727</v>
      </c>
      <c r="E11" s="265" t="s">
        <v>6712</v>
      </c>
      <c r="F11" s="268" t="s">
        <v>6713</v>
      </c>
      <c r="G11" s="271" t="str">
        <f>IF(COUNTIF(H11:AU11,"&lt;&gt;")=0,"",SUMPRODUCT(((Recommendations[ImplStatus]="Implemented")+(Recommendations[ImplStatus]="Compensated"))*ISNUMBER(MATCH(Recommendations[Id],H11:AU11,0)))/COUNTIF(H11:AU11,"&lt;&gt;"))</f>
        <v/>
      </c>
      <c r="H11" s="272"/>
      <c r="I11" s="272"/>
      <c r="J11" s="272"/>
      <c r="K11" s="272"/>
      <c r="L11" s="272"/>
      <c r="M11" s="272"/>
      <c r="N11" s="272"/>
      <c r="O11" s="272"/>
      <c r="P11" s="272"/>
      <c r="Q11" s="272"/>
      <c r="R11" s="272"/>
      <c r="S11" s="272"/>
      <c r="T11" s="272"/>
      <c r="U11" s="272"/>
      <c r="V11" s="272"/>
      <c r="W11" s="272"/>
      <c r="X11" s="272"/>
      <c r="Y11" s="272"/>
      <c r="Z11" s="272"/>
      <c r="AA11" s="272"/>
      <c r="AB11" s="272"/>
      <c r="AC11" s="272"/>
      <c r="AD11" s="272"/>
      <c r="AE11" s="272"/>
      <c r="AF11" s="272"/>
      <c r="AG11" s="272"/>
      <c r="AH11" s="272"/>
      <c r="AI11" s="272"/>
      <c r="AJ11" s="272"/>
      <c r="AK11" s="272"/>
      <c r="AL11" s="272"/>
      <c r="AM11" s="272"/>
      <c r="AN11" s="272"/>
      <c r="AO11" s="272"/>
      <c r="AP11" s="272"/>
      <c r="AQ11" s="272"/>
      <c r="AR11" s="272"/>
      <c r="AS11" s="272"/>
      <c r="AT11" s="272"/>
      <c r="AU11" s="286"/>
    </row>
    <row r="12" spans="1:47" ht="60" customHeight="1" x14ac:dyDescent="0.35">
      <c r="A12" s="282" t="s">
        <v>6708</v>
      </c>
      <c r="B12" s="260" t="s">
        <v>6709</v>
      </c>
      <c r="C12" s="261" t="s">
        <v>6728</v>
      </c>
      <c r="D12" s="264" t="s">
        <v>6729</v>
      </c>
      <c r="E12" s="265" t="s">
        <v>6712</v>
      </c>
      <c r="F12" s="268" t="s">
        <v>6713</v>
      </c>
      <c r="G12" s="271" t="str">
        <f>IF(COUNTIF(H12:AU12,"&lt;&gt;")=0,"",SUMPRODUCT(((Recommendations[ImplStatus]="Implemented")+(Recommendations[ImplStatus]="Compensated"))*ISNUMBER(MATCH(Recommendations[Id],H12:AU12,0)))/COUNTIF(H12:AU12,"&lt;&gt;"))</f>
        <v/>
      </c>
      <c r="H12" s="272"/>
      <c r="I12" s="272"/>
      <c r="J12" s="272"/>
      <c r="K12" s="272"/>
      <c r="L12" s="272"/>
      <c r="M12" s="272"/>
      <c r="N12" s="272"/>
      <c r="O12" s="272"/>
      <c r="P12" s="272"/>
      <c r="Q12" s="272"/>
      <c r="R12" s="272"/>
      <c r="S12" s="272"/>
      <c r="T12" s="272"/>
      <c r="U12" s="272"/>
      <c r="V12" s="272"/>
      <c r="W12" s="272"/>
      <c r="X12" s="272"/>
      <c r="Y12" s="272"/>
      <c r="Z12" s="272"/>
      <c r="AA12" s="272"/>
      <c r="AB12" s="272"/>
      <c r="AC12" s="272"/>
      <c r="AD12" s="272"/>
      <c r="AE12" s="272"/>
      <c r="AF12" s="272"/>
      <c r="AG12" s="272"/>
      <c r="AH12" s="272"/>
      <c r="AI12" s="272"/>
      <c r="AJ12" s="272"/>
      <c r="AK12" s="272"/>
      <c r="AL12" s="272"/>
      <c r="AM12" s="272"/>
      <c r="AN12" s="272"/>
      <c r="AO12" s="272"/>
      <c r="AP12" s="272"/>
      <c r="AQ12" s="272"/>
      <c r="AR12" s="272"/>
      <c r="AS12" s="272"/>
      <c r="AT12" s="272"/>
      <c r="AU12" s="286"/>
    </row>
    <row r="13" spans="1:47" ht="60" customHeight="1" x14ac:dyDescent="0.35">
      <c r="A13" s="282" t="s">
        <v>6708</v>
      </c>
      <c r="B13" s="260" t="s">
        <v>6709</v>
      </c>
      <c r="C13" s="261" t="s">
        <v>6730</v>
      </c>
      <c r="D13" s="264" t="s">
        <v>6731</v>
      </c>
      <c r="E13" s="265" t="s">
        <v>6712</v>
      </c>
      <c r="F13" s="268" t="s">
        <v>6713</v>
      </c>
      <c r="G13" s="271" t="str">
        <f>IF(COUNTIF(H13:AU13,"&lt;&gt;")=0,"",SUMPRODUCT(((Recommendations[ImplStatus]="Implemented")+(Recommendations[ImplStatus]="Compensated"))*ISNUMBER(MATCH(Recommendations[Id],H13:AU13,0)))/COUNTIF(H13:AU13,"&lt;&gt;"))</f>
        <v/>
      </c>
      <c r="H13" s="272"/>
      <c r="I13" s="272"/>
      <c r="J13" s="272"/>
      <c r="K13" s="272"/>
      <c r="L13" s="272"/>
      <c r="M13" s="272"/>
      <c r="N13" s="272"/>
      <c r="O13" s="272"/>
      <c r="P13" s="272"/>
      <c r="Q13" s="272"/>
      <c r="R13" s="272"/>
      <c r="S13" s="272"/>
      <c r="T13" s="272"/>
      <c r="U13" s="272"/>
      <c r="V13" s="272"/>
      <c r="W13" s="272"/>
      <c r="X13" s="272"/>
      <c r="Y13" s="272"/>
      <c r="Z13" s="272"/>
      <c r="AA13" s="272"/>
      <c r="AB13" s="272"/>
      <c r="AC13" s="272"/>
      <c r="AD13" s="272"/>
      <c r="AE13" s="272"/>
      <c r="AF13" s="272"/>
      <c r="AG13" s="272"/>
      <c r="AH13" s="272"/>
      <c r="AI13" s="272"/>
      <c r="AJ13" s="272"/>
      <c r="AK13" s="272"/>
      <c r="AL13" s="272"/>
      <c r="AM13" s="272"/>
      <c r="AN13" s="272"/>
      <c r="AO13" s="272"/>
      <c r="AP13" s="272"/>
      <c r="AQ13" s="272"/>
      <c r="AR13" s="272"/>
      <c r="AS13" s="272"/>
      <c r="AT13" s="272"/>
      <c r="AU13" s="286"/>
    </row>
    <row r="14" spans="1:47" ht="60" customHeight="1" x14ac:dyDescent="0.35">
      <c r="A14" s="282" t="s">
        <v>6708</v>
      </c>
      <c r="B14" s="260" t="s">
        <v>6709</v>
      </c>
      <c r="C14" s="261" t="s">
        <v>6732</v>
      </c>
      <c r="D14" s="264" t="s">
        <v>6733</v>
      </c>
      <c r="E14" s="265" t="s">
        <v>6712</v>
      </c>
      <c r="F14" s="268" t="s">
        <v>6713</v>
      </c>
      <c r="G14" s="271" t="str">
        <f>IF(COUNTIF(H14:AU14,"&lt;&gt;")=0,"",SUMPRODUCT(((Recommendations[ImplStatus]="Implemented")+(Recommendations[ImplStatus]="Compensated"))*ISNUMBER(MATCH(Recommendations[Id],H14:AU14,0)))/COUNTIF(H14:AU14,"&lt;&gt;"))</f>
        <v/>
      </c>
      <c r="H14" s="272"/>
      <c r="I14" s="272"/>
      <c r="J14" s="272"/>
      <c r="K14" s="272"/>
      <c r="L14" s="272"/>
      <c r="M14" s="272"/>
      <c r="N14" s="272"/>
      <c r="O14" s="272"/>
      <c r="P14" s="272"/>
      <c r="Q14" s="272"/>
      <c r="R14" s="272"/>
      <c r="S14" s="272"/>
      <c r="T14" s="272"/>
      <c r="U14" s="272"/>
      <c r="V14" s="272"/>
      <c r="W14" s="272"/>
      <c r="X14" s="272"/>
      <c r="Y14" s="272"/>
      <c r="Z14" s="272"/>
      <c r="AA14" s="272"/>
      <c r="AB14" s="272"/>
      <c r="AC14" s="272"/>
      <c r="AD14" s="272"/>
      <c r="AE14" s="272"/>
      <c r="AF14" s="272"/>
      <c r="AG14" s="272"/>
      <c r="AH14" s="272"/>
      <c r="AI14" s="272"/>
      <c r="AJ14" s="272"/>
      <c r="AK14" s="272"/>
      <c r="AL14" s="272"/>
      <c r="AM14" s="272"/>
      <c r="AN14" s="272"/>
      <c r="AO14" s="272"/>
      <c r="AP14" s="272"/>
      <c r="AQ14" s="272"/>
      <c r="AR14" s="272"/>
      <c r="AS14" s="272"/>
      <c r="AT14" s="272"/>
      <c r="AU14" s="286"/>
    </row>
    <row r="15" spans="1:47" ht="60" customHeight="1" x14ac:dyDescent="0.35">
      <c r="A15" s="282" t="s">
        <v>6708</v>
      </c>
      <c r="B15" s="260" t="s">
        <v>6709</v>
      </c>
      <c r="C15" s="261" t="s">
        <v>6734</v>
      </c>
      <c r="D15" s="264" t="s">
        <v>6735</v>
      </c>
      <c r="E15" s="265" t="s">
        <v>6712</v>
      </c>
      <c r="F15" s="268" t="s">
        <v>6713</v>
      </c>
      <c r="G15" s="271" t="str">
        <f>IF(COUNTIF(H15:AU15,"&lt;&gt;")=0,"",SUMPRODUCT(((Recommendations[ImplStatus]="Implemented")+(Recommendations[ImplStatus]="Compensated"))*ISNUMBER(MATCH(Recommendations[Id],H15:AU15,0)))/COUNTIF(H15:AU15,"&lt;&gt;"))</f>
        <v/>
      </c>
      <c r="H15" s="272"/>
      <c r="I15" s="272"/>
      <c r="J15" s="272"/>
      <c r="K15" s="272"/>
      <c r="L15" s="272"/>
      <c r="M15" s="272"/>
      <c r="N15" s="272"/>
      <c r="O15" s="272"/>
      <c r="P15" s="272"/>
      <c r="Q15" s="272"/>
      <c r="R15" s="272"/>
      <c r="S15" s="272"/>
      <c r="T15" s="272"/>
      <c r="U15" s="272"/>
      <c r="V15" s="272"/>
      <c r="W15" s="272"/>
      <c r="X15" s="272"/>
      <c r="Y15" s="272"/>
      <c r="Z15" s="272"/>
      <c r="AA15" s="272"/>
      <c r="AB15" s="272"/>
      <c r="AC15" s="272"/>
      <c r="AD15" s="272"/>
      <c r="AE15" s="272"/>
      <c r="AF15" s="272"/>
      <c r="AG15" s="272"/>
      <c r="AH15" s="272"/>
      <c r="AI15" s="272"/>
      <c r="AJ15" s="272"/>
      <c r="AK15" s="272"/>
      <c r="AL15" s="272"/>
      <c r="AM15" s="272"/>
      <c r="AN15" s="272"/>
      <c r="AO15" s="272"/>
      <c r="AP15" s="272"/>
      <c r="AQ15" s="272"/>
      <c r="AR15" s="272"/>
      <c r="AS15" s="272"/>
      <c r="AT15" s="272"/>
      <c r="AU15" s="286"/>
    </row>
    <row r="16" spans="1:47" ht="60" customHeight="1" x14ac:dyDescent="0.35">
      <c r="A16" s="282" t="s">
        <v>6708</v>
      </c>
      <c r="B16" s="260" t="s">
        <v>6709</v>
      </c>
      <c r="C16" s="261" t="s">
        <v>6736</v>
      </c>
      <c r="D16" s="264" t="s">
        <v>6737</v>
      </c>
      <c r="E16" s="265" t="s">
        <v>6712</v>
      </c>
      <c r="F16" s="268" t="s">
        <v>6713</v>
      </c>
      <c r="G16" s="271" t="str">
        <f>IF(COUNTIF(H16:AU16,"&lt;&gt;")=0,"",SUMPRODUCT(((Recommendations[ImplStatus]="Implemented")+(Recommendations[ImplStatus]="Compensated"))*ISNUMBER(MATCH(Recommendations[Id],H16:AU16,0)))/COUNTIF(H16:AU16,"&lt;&gt;"))</f>
        <v/>
      </c>
      <c r="H16" s="272"/>
      <c r="I16" s="272"/>
      <c r="J16" s="272"/>
      <c r="K16" s="272"/>
      <c r="L16" s="272"/>
      <c r="M16" s="272"/>
      <c r="N16" s="272"/>
      <c r="O16" s="272"/>
      <c r="P16" s="272"/>
      <c r="Q16" s="272"/>
      <c r="R16" s="272"/>
      <c r="S16" s="272"/>
      <c r="T16" s="272"/>
      <c r="U16" s="272"/>
      <c r="V16" s="272"/>
      <c r="W16" s="272"/>
      <c r="X16" s="272"/>
      <c r="Y16" s="272"/>
      <c r="Z16" s="272"/>
      <c r="AA16" s="272"/>
      <c r="AB16" s="272"/>
      <c r="AC16" s="272"/>
      <c r="AD16" s="272"/>
      <c r="AE16" s="272"/>
      <c r="AF16" s="272"/>
      <c r="AG16" s="272"/>
      <c r="AH16" s="272"/>
      <c r="AI16" s="272"/>
      <c r="AJ16" s="272"/>
      <c r="AK16" s="272"/>
      <c r="AL16" s="272"/>
      <c r="AM16" s="272"/>
      <c r="AN16" s="272"/>
      <c r="AO16" s="272"/>
      <c r="AP16" s="272"/>
      <c r="AQ16" s="272"/>
      <c r="AR16" s="272"/>
      <c r="AS16" s="272"/>
      <c r="AT16" s="272"/>
      <c r="AU16" s="286"/>
    </row>
    <row r="17" spans="1:47" ht="60" customHeight="1" outlineLevel="2" x14ac:dyDescent="0.35">
      <c r="A17" s="281" t="s">
        <v>6708</v>
      </c>
      <c r="B17" s="259" t="s">
        <v>6738</v>
      </c>
      <c r="C17" s="259"/>
      <c r="D17" s="263"/>
      <c r="E17" s="259"/>
      <c r="F17" s="267"/>
      <c r="G17" s="270" t="str">
        <f>IF(COUNTIF(H17:AU17,"&lt;&gt;")=0,"",SUMPRODUCT(((Recommendations[ImplStatus]="Implemented")+(Recommendations[ImplStatus]="Compensated"))*ISNUMBER(MATCH(Recommendations[Id],H17:AU17,0)))/COUNTIF(H17:AU17,"&lt;&gt;"))</f>
        <v/>
      </c>
      <c r="H17" s="267"/>
      <c r="I17" s="267"/>
      <c r="J17" s="267"/>
      <c r="K17" s="267"/>
      <c r="L17" s="267"/>
      <c r="M17" s="267"/>
      <c r="N17" s="267"/>
      <c r="O17" s="267"/>
      <c r="P17" s="267"/>
      <c r="Q17" s="267"/>
      <c r="R17" s="267"/>
      <c r="S17" s="267"/>
      <c r="T17" s="267"/>
      <c r="U17" s="267"/>
      <c r="V17" s="267"/>
      <c r="W17" s="267"/>
      <c r="X17" s="267"/>
      <c r="Y17" s="267"/>
      <c r="Z17" s="267"/>
      <c r="AA17" s="267"/>
      <c r="AB17" s="267"/>
      <c r="AC17" s="267"/>
      <c r="AD17" s="267"/>
      <c r="AE17" s="267"/>
      <c r="AF17" s="267"/>
      <c r="AG17" s="267"/>
      <c r="AH17" s="267"/>
      <c r="AI17" s="267"/>
      <c r="AJ17" s="267"/>
      <c r="AK17" s="267"/>
      <c r="AL17" s="267"/>
      <c r="AM17" s="267"/>
      <c r="AN17" s="267"/>
      <c r="AO17" s="267"/>
      <c r="AP17" s="267"/>
      <c r="AQ17" s="267"/>
      <c r="AR17" s="267"/>
      <c r="AS17" s="267"/>
      <c r="AT17" s="267"/>
      <c r="AU17" s="285"/>
    </row>
    <row r="18" spans="1:47" ht="60" customHeight="1" x14ac:dyDescent="0.35">
      <c r="A18" s="282" t="s">
        <v>6708</v>
      </c>
      <c r="B18" s="260" t="s">
        <v>6738</v>
      </c>
      <c r="C18" s="261" t="s">
        <v>6739</v>
      </c>
      <c r="D18" s="264" t="s">
        <v>6740</v>
      </c>
      <c r="E18" s="265" t="s">
        <v>6741</v>
      </c>
      <c r="F18" s="268" t="s">
        <v>6742</v>
      </c>
      <c r="G18" s="271" t="str">
        <f>IF(COUNTIF(H18:AU18,"&lt;&gt;")=0,"",SUMPRODUCT(((Recommendations[ImplStatus]="Implemented")+(Recommendations[ImplStatus]="Compensated"))*ISNUMBER(MATCH(Recommendations[Id],H18:AU18,0)))/COUNTIF(H18:AU18,"&lt;&gt;"))</f>
        <v/>
      </c>
      <c r="H18" s="272"/>
      <c r="I18" s="272"/>
      <c r="J18" s="272"/>
      <c r="K18" s="272"/>
      <c r="L18" s="272"/>
      <c r="M18" s="272"/>
      <c r="N18" s="272"/>
      <c r="O18" s="272"/>
      <c r="P18" s="272"/>
      <c r="Q18" s="272"/>
      <c r="R18" s="272"/>
      <c r="S18" s="272"/>
      <c r="T18" s="272"/>
      <c r="U18" s="272"/>
      <c r="V18" s="272"/>
      <c r="W18" s="272"/>
      <c r="X18" s="272"/>
      <c r="Y18" s="272"/>
      <c r="Z18" s="272"/>
      <c r="AA18" s="272"/>
      <c r="AB18" s="272"/>
      <c r="AC18" s="272"/>
      <c r="AD18" s="272"/>
      <c r="AE18" s="272"/>
      <c r="AF18" s="272"/>
      <c r="AG18" s="272"/>
      <c r="AH18" s="272"/>
      <c r="AI18" s="272"/>
      <c r="AJ18" s="272"/>
      <c r="AK18" s="272"/>
      <c r="AL18" s="272"/>
      <c r="AM18" s="272"/>
      <c r="AN18" s="272"/>
      <c r="AO18" s="272"/>
      <c r="AP18" s="272"/>
      <c r="AQ18" s="272"/>
      <c r="AR18" s="272"/>
      <c r="AS18" s="272"/>
      <c r="AT18" s="272"/>
      <c r="AU18" s="286"/>
    </row>
    <row r="19" spans="1:47" ht="60" customHeight="1" x14ac:dyDescent="0.35">
      <c r="A19" s="282" t="s">
        <v>6708</v>
      </c>
      <c r="B19" s="260" t="s">
        <v>6738</v>
      </c>
      <c r="C19" s="261" t="s">
        <v>6743</v>
      </c>
      <c r="D19" s="264" t="s">
        <v>6744</v>
      </c>
      <c r="E19" s="265" t="s">
        <v>6741</v>
      </c>
      <c r="F19" s="268" t="s">
        <v>6742</v>
      </c>
      <c r="G19" s="271" t="str">
        <f>IF(COUNTIF(H19:AU19,"&lt;&gt;")=0,"",SUMPRODUCT(((Recommendations[ImplStatus]="Implemented")+(Recommendations[ImplStatus]="Compensated"))*ISNUMBER(MATCH(Recommendations[Id],H19:AU19,0)))/COUNTIF(H19:AU19,"&lt;&gt;"))</f>
        <v/>
      </c>
      <c r="H19" s="272"/>
      <c r="I19" s="272"/>
      <c r="J19" s="272"/>
      <c r="K19" s="272"/>
      <c r="L19" s="272"/>
      <c r="M19" s="272"/>
      <c r="N19" s="272"/>
      <c r="O19" s="272"/>
      <c r="P19" s="272"/>
      <c r="Q19" s="272"/>
      <c r="R19" s="272"/>
      <c r="S19" s="272"/>
      <c r="T19" s="272"/>
      <c r="U19" s="272"/>
      <c r="V19" s="272"/>
      <c r="W19" s="272"/>
      <c r="X19" s="272"/>
      <c r="Y19" s="272"/>
      <c r="Z19" s="272"/>
      <c r="AA19" s="272"/>
      <c r="AB19" s="272"/>
      <c r="AC19" s="272"/>
      <c r="AD19" s="272"/>
      <c r="AE19" s="272"/>
      <c r="AF19" s="272"/>
      <c r="AG19" s="272"/>
      <c r="AH19" s="272"/>
      <c r="AI19" s="272"/>
      <c r="AJ19" s="272"/>
      <c r="AK19" s="272"/>
      <c r="AL19" s="272"/>
      <c r="AM19" s="272"/>
      <c r="AN19" s="272"/>
      <c r="AO19" s="272"/>
      <c r="AP19" s="272"/>
      <c r="AQ19" s="272"/>
      <c r="AR19" s="272"/>
      <c r="AS19" s="272"/>
      <c r="AT19" s="272"/>
      <c r="AU19" s="286"/>
    </row>
    <row r="20" spans="1:47" ht="60" customHeight="1" x14ac:dyDescent="0.35">
      <c r="A20" s="282" t="s">
        <v>6708</v>
      </c>
      <c r="B20" s="260" t="s">
        <v>6738</v>
      </c>
      <c r="C20" s="261" t="s">
        <v>6745</v>
      </c>
      <c r="D20" s="264" t="s">
        <v>6746</v>
      </c>
      <c r="E20" s="265" t="s">
        <v>6741</v>
      </c>
      <c r="F20" s="268" t="s">
        <v>6742</v>
      </c>
      <c r="G20" s="271" t="str">
        <f>IF(COUNTIF(H20:AU20,"&lt;&gt;")=0,"",SUMPRODUCT(((Recommendations[ImplStatus]="Implemented")+(Recommendations[ImplStatus]="Compensated"))*ISNUMBER(MATCH(Recommendations[Id],H20:AU20,0)))/COUNTIF(H20:AU20,"&lt;&gt;"))</f>
        <v/>
      </c>
      <c r="H20" s="272"/>
      <c r="I20" s="272"/>
      <c r="J20" s="272"/>
      <c r="K20" s="272"/>
      <c r="L20" s="272"/>
      <c r="M20" s="272"/>
      <c r="N20" s="272"/>
      <c r="O20" s="272"/>
      <c r="P20" s="272"/>
      <c r="Q20" s="272"/>
      <c r="R20" s="272"/>
      <c r="S20" s="272"/>
      <c r="T20" s="272"/>
      <c r="U20" s="272"/>
      <c r="V20" s="272"/>
      <c r="W20" s="272"/>
      <c r="X20" s="272"/>
      <c r="Y20" s="272"/>
      <c r="Z20" s="272"/>
      <c r="AA20" s="272"/>
      <c r="AB20" s="272"/>
      <c r="AC20" s="272"/>
      <c r="AD20" s="272"/>
      <c r="AE20" s="272"/>
      <c r="AF20" s="272"/>
      <c r="AG20" s="272"/>
      <c r="AH20" s="272"/>
      <c r="AI20" s="272"/>
      <c r="AJ20" s="272"/>
      <c r="AK20" s="272"/>
      <c r="AL20" s="272"/>
      <c r="AM20" s="272"/>
      <c r="AN20" s="272"/>
      <c r="AO20" s="272"/>
      <c r="AP20" s="272"/>
      <c r="AQ20" s="272"/>
      <c r="AR20" s="272"/>
      <c r="AS20" s="272"/>
      <c r="AT20" s="272"/>
      <c r="AU20" s="286"/>
    </row>
    <row r="21" spans="1:47" ht="60" customHeight="1" x14ac:dyDescent="0.35">
      <c r="A21" s="282" t="s">
        <v>6708</v>
      </c>
      <c r="B21" s="260" t="s">
        <v>6738</v>
      </c>
      <c r="C21" s="261" t="s">
        <v>6747</v>
      </c>
      <c r="D21" s="264" t="s">
        <v>6748</v>
      </c>
      <c r="E21" s="265" t="s">
        <v>6741</v>
      </c>
      <c r="F21" s="268" t="s">
        <v>6742</v>
      </c>
      <c r="G21" s="271" t="str">
        <f>IF(COUNTIF(H21:AU21,"&lt;&gt;")=0,"",SUMPRODUCT(((Recommendations[ImplStatus]="Implemented")+(Recommendations[ImplStatus]="Compensated"))*ISNUMBER(MATCH(Recommendations[Id],H21:AU21,0)))/COUNTIF(H21:AU21,"&lt;&gt;"))</f>
        <v/>
      </c>
      <c r="H21" s="272"/>
      <c r="I21" s="272"/>
      <c r="J21" s="272"/>
      <c r="K21" s="272"/>
      <c r="L21" s="272"/>
      <c r="M21" s="272"/>
      <c r="N21" s="272"/>
      <c r="O21" s="272"/>
      <c r="P21" s="272"/>
      <c r="Q21" s="272"/>
      <c r="R21" s="272"/>
      <c r="S21" s="272"/>
      <c r="T21" s="272"/>
      <c r="U21" s="272"/>
      <c r="V21" s="272"/>
      <c r="W21" s="272"/>
      <c r="X21" s="272"/>
      <c r="Y21" s="272"/>
      <c r="Z21" s="272"/>
      <c r="AA21" s="272"/>
      <c r="AB21" s="272"/>
      <c r="AC21" s="272"/>
      <c r="AD21" s="272"/>
      <c r="AE21" s="272"/>
      <c r="AF21" s="272"/>
      <c r="AG21" s="272"/>
      <c r="AH21" s="272"/>
      <c r="AI21" s="272"/>
      <c r="AJ21" s="272"/>
      <c r="AK21" s="272"/>
      <c r="AL21" s="272"/>
      <c r="AM21" s="272"/>
      <c r="AN21" s="272"/>
      <c r="AO21" s="272"/>
      <c r="AP21" s="272"/>
      <c r="AQ21" s="272"/>
      <c r="AR21" s="272"/>
      <c r="AS21" s="272"/>
      <c r="AT21" s="272"/>
      <c r="AU21" s="286"/>
    </row>
    <row r="22" spans="1:47" ht="60" customHeight="1" x14ac:dyDescent="0.35">
      <c r="A22" s="282" t="s">
        <v>6708</v>
      </c>
      <c r="B22" s="260" t="s">
        <v>6738</v>
      </c>
      <c r="C22" s="261" t="s">
        <v>6749</v>
      </c>
      <c r="D22" s="264" t="s">
        <v>6750</v>
      </c>
      <c r="E22" s="265" t="s">
        <v>6741</v>
      </c>
      <c r="F22" s="268" t="s">
        <v>6742</v>
      </c>
      <c r="G22" s="271" t="str">
        <f>IF(COUNTIF(H22:AU22,"&lt;&gt;")=0,"",SUMPRODUCT(((Recommendations[ImplStatus]="Implemented")+(Recommendations[ImplStatus]="Compensated"))*ISNUMBER(MATCH(Recommendations[Id],H22:AU22,0)))/COUNTIF(H22:AU22,"&lt;&gt;"))</f>
        <v/>
      </c>
      <c r="H22" s="272"/>
      <c r="I22" s="272"/>
      <c r="J22" s="272"/>
      <c r="K22" s="272"/>
      <c r="L22" s="272"/>
      <c r="M22" s="272"/>
      <c r="N22" s="272"/>
      <c r="O22" s="272"/>
      <c r="P22" s="272"/>
      <c r="Q22" s="272"/>
      <c r="R22" s="272"/>
      <c r="S22" s="272"/>
      <c r="T22" s="272"/>
      <c r="U22" s="272"/>
      <c r="V22" s="272"/>
      <c r="W22" s="272"/>
      <c r="X22" s="272"/>
      <c r="Y22" s="272"/>
      <c r="Z22" s="272"/>
      <c r="AA22" s="272"/>
      <c r="AB22" s="272"/>
      <c r="AC22" s="272"/>
      <c r="AD22" s="272"/>
      <c r="AE22" s="272"/>
      <c r="AF22" s="272"/>
      <c r="AG22" s="272"/>
      <c r="AH22" s="272"/>
      <c r="AI22" s="272"/>
      <c r="AJ22" s="272"/>
      <c r="AK22" s="272"/>
      <c r="AL22" s="272"/>
      <c r="AM22" s="272"/>
      <c r="AN22" s="272"/>
      <c r="AO22" s="272"/>
      <c r="AP22" s="272"/>
      <c r="AQ22" s="272"/>
      <c r="AR22" s="272"/>
      <c r="AS22" s="272"/>
      <c r="AT22" s="272"/>
      <c r="AU22" s="286"/>
    </row>
    <row r="23" spans="1:47" ht="60" customHeight="1" x14ac:dyDescent="0.35">
      <c r="A23" s="282" t="s">
        <v>6708</v>
      </c>
      <c r="B23" s="260" t="s">
        <v>6738</v>
      </c>
      <c r="C23" s="261" t="s">
        <v>6751</v>
      </c>
      <c r="D23" s="264" t="s">
        <v>6752</v>
      </c>
      <c r="E23" s="265" t="s">
        <v>6712</v>
      </c>
      <c r="F23" s="268" t="s">
        <v>6713</v>
      </c>
      <c r="G23" s="271" t="str">
        <f>IF(COUNTIF(H23:AU23,"&lt;&gt;")=0,"",SUMPRODUCT(((Recommendations[ImplStatus]="Implemented")+(Recommendations[ImplStatus]="Compensated"))*ISNUMBER(MATCH(Recommendations[Id],H23:AU23,0)))/COUNTIF(H23:AU23,"&lt;&gt;"))</f>
        <v/>
      </c>
      <c r="H23" s="272"/>
      <c r="I23" s="272"/>
      <c r="J23" s="272"/>
      <c r="K23" s="272"/>
      <c r="L23" s="272"/>
      <c r="M23" s="272"/>
      <c r="N23" s="272"/>
      <c r="O23" s="272"/>
      <c r="P23" s="272"/>
      <c r="Q23" s="272"/>
      <c r="R23" s="272"/>
      <c r="S23" s="272"/>
      <c r="T23" s="272"/>
      <c r="U23" s="272"/>
      <c r="V23" s="272"/>
      <c r="W23" s="272"/>
      <c r="X23" s="272"/>
      <c r="Y23" s="272"/>
      <c r="Z23" s="272"/>
      <c r="AA23" s="272"/>
      <c r="AB23" s="272"/>
      <c r="AC23" s="272"/>
      <c r="AD23" s="272"/>
      <c r="AE23" s="272"/>
      <c r="AF23" s="272"/>
      <c r="AG23" s="272"/>
      <c r="AH23" s="272"/>
      <c r="AI23" s="272"/>
      <c r="AJ23" s="272"/>
      <c r="AK23" s="272"/>
      <c r="AL23" s="272"/>
      <c r="AM23" s="272"/>
      <c r="AN23" s="272"/>
      <c r="AO23" s="272"/>
      <c r="AP23" s="272"/>
      <c r="AQ23" s="272"/>
      <c r="AR23" s="272"/>
      <c r="AS23" s="272"/>
      <c r="AT23" s="272"/>
      <c r="AU23" s="286"/>
    </row>
    <row r="24" spans="1:47" ht="60" customHeight="1" x14ac:dyDescent="0.35">
      <c r="A24" s="282" t="s">
        <v>6708</v>
      </c>
      <c r="B24" s="260" t="s">
        <v>6738</v>
      </c>
      <c r="C24" s="261" t="s">
        <v>6753</v>
      </c>
      <c r="D24" s="264" t="s">
        <v>6754</v>
      </c>
      <c r="E24" s="265" t="s">
        <v>6712</v>
      </c>
      <c r="F24" s="268" t="s">
        <v>6713</v>
      </c>
      <c r="G24" s="271" t="str">
        <f>IF(COUNTIF(H24:AU24,"&lt;&gt;")=0,"",SUMPRODUCT(((Recommendations[ImplStatus]="Implemented")+(Recommendations[ImplStatus]="Compensated"))*ISNUMBER(MATCH(Recommendations[Id],H24:AU24,0)))/COUNTIF(H24:AU24,"&lt;&gt;"))</f>
        <v/>
      </c>
      <c r="H24" s="272"/>
      <c r="I24" s="272"/>
      <c r="J24" s="272"/>
      <c r="K24" s="272"/>
      <c r="L24" s="272"/>
      <c r="M24" s="272"/>
      <c r="N24" s="272"/>
      <c r="O24" s="272"/>
      <c r="P24" s="272"/>
      <c r="Q24" s="272"/>
      <c r="R24" s="272"/>
      <c r="S24" s="272"/>
      <c r="T24" s="272"/>
      <c r="U24" s="272"/>
      <c r="V24" s="272"/>
      <c r="W24" s="272"/>
      <c r="X24" s="272"/>
      <c r="Y24" s="272"/>
      <c r="Z24" s="272"/>
      <c r="AA24" s="272"/>
      <c r="AB24" s="272"/>
      <c r="AC24" s="272"/>
      <c r="AD24" s="272"/>
      <c r="AE24" s="272"/>
      <c r="AF24" s="272"/>
      <c r="AG24" s="272"/>
      <c r="AH24" s="272"/>
      <c r="AI24" s="272"/>
      <c r="AJ24" s="272"/>
      <c r="AK24" s="272"/>
      <c r="AL24" s="272"/>
      <c r="AM24" s="272"/>
      <c r="AN24" s="272"/>
      <c r="AO24" s="272"/>
      <c r="AP24" s="272"/>
      <c r="AQ24" s="272"/>
      <c r="AR24" s="272"/>
      <c r="AS24" s="272"/>
      <c r="AT24" s="272"/>
      <c r="AU24" s="286"/>
    </row>
    <row r="25" spans="1:47" ht="60" customHeight="1" x14ac:dyDescent="0.35">
      <c r="A25" s="282" t="s">
        <v>6708</v>
      </c>
      <c r="B25" s="260" t="s">
        <v>6738</v>
      </c>
      <c r="C25" s="261" t="s">
        <v>6755</v>
      </c>
      <c r="D25" s="264" t="s">
        <v>6756</v>
      </c>
      <c r="E25" s="265" t="s">
        <v>6712</v>
      </c>
      <c r="F25" s="268" t="s">
        <v>6757</v>
      </c>
      <c r="G25" s="271" t="str">
        <f>IF(COUNTIF(H25:AU25,"&lt;&gt;")=0,"",SUMPRODUCT(((Recommendations[ImplStatus]="Implemented")+(Recommendations[ImplStatus]="Compensated"))*ISNUMBER(MATCH(Recommendations[Id],H25:AU25,0)))/COUNTIF(H25:AU25,"&lt;&gt;"))</f>
        <v/>
      </c>
      <c r="H25" s="272"/>
      <c r="I25" s="272"/>
      <c r="J25" s="272"/>
      <c r="K25" s="272"/>
      <c r="L25" s="272"/>
      <c r="M25" s="272"/>
      <c r="N25" s="272"/>
      <c r="O25" s="272"/>
      <c r="P25" s="272"/>
      <c r="Q25" s="272"/>
      <c r="R25" s="272"/>
      <c r="S25" s="272"/>
      <c r="T25" s="272"/>
      <c r="U25" s="272"/>
      <c r="V25" s="272"/>
      <c r="W25" s="272"/>
      <c r="X25" s="272"/>
      <c r="Y25" s="272"/>
      <c r="Z25" s="272"/>
      <c r="AA25" s="272"/>
      <c r="AB25" s="272"/>
      <c r="AC25" s="272"/>
      <c r="AD25" s="272"/>
      <c r="AE25" s="272"/>
      <c r="AF25" s="272"/>
      <c r="AG25" s="272"/>
      <c r="AH25" s="272"/>
      <c r="AI25" s="272"/>
      <c r="AJ25" s="272"/>
      <c r="AK25" s="272"/>
      <c r="AL25" s="272"/>
      <c r="AM25" s="272"/>
      <c r="AN25" s="272"/>
      <c r="AO25" s="272"/>
      <c r="AP25" s="272"/>
      <c r="AQ25" s="272"/>
      <c r="AR25" s="272"/>
      <c r="AS25" s="272"/>
      <c r="AT25" s="272"/>
      <c r="AU25" s="286"/>
    </row>
    <row r="26" spans="1:47" ht="60" customHeight="1" x14ac:dyDescent="0.35">
      <c r="A26" s="282" t="s">
        <v>6708</v>
      </c>
      <c r="B26" s="260" t="s">
        <v>6738</v>
      </c>
      <c r="C26" s="261" t="s">
        <v>6758</v>
      </c>
      <c r="D26" s="264" t="s">
        <v>6759</v>
      </c>
      <c r="E26" s="265" t="s">
        <v>6712</v>
      </c>
      <c r="F26" s="268" t="s">
        <v>6757</v>
      </c>
      <c r="G26" s="271" t="str">
        <f>IF(COUNTIF(H26:AU26,"&lt;&gt;")=0,"",SUMPRODUCT(((Recommendations[ImplStatus]="Implemented")+(Recommendations[ImplStatus]="Compensated"))*ISNUMBER(MATCH(Recommendations[Id],H26:AU26,0)))/COUNTIF(H26:AU26,"&lt;&gt;"))</f>
        <v/>
      </c>
      <c r="H26" s="272"/>
      <c r="I26" s="272"/>
      <c r="J26" s="272"/>
      <c r="K26" s="272"/>
      <c r="L26" s="272"/>
      <c r="M26" s="272"/>
      <c r="N26" s="272"/>
      <c r="O26" s="272"/>
      <c r="P26" s="272"/>
      <c r="Q26" s="272"/>
      <c r="R26" s="272"/>
      <c r="S26" s="272"/>
      <c r="T26" s="272"/>
      <c r="U26" s="272"/>
      <c r="V26" s="272"/>
      <c r="W26" s="272"/>
      <c r="X26" s="272"/>
      <c r="Y26" s="272"/>
      <c r="Z26" s="272"/>
      <c r="AA26" s="272"/>
      <c r="AB26" s="272"/>
      <c r="AC26" s="272"/>
      <c r="AD26" s="272"/>
      <c r="AE26" s="272"/>
      <c r="AF26" s="272"/>
      <c r="AG26" s="272"/>
      <c r="AH26" s="272"/>
      <c r="AI26" s="272"/>
      <c r="AJ26" s="272"/>
      <c r="AK26" s="272"/>
      <c r="AL26" s="272"/>
      <c r="AM26" s="272"/>
      <c r="AN26" s="272"/>
      <c r="AO26" s="272"/>
      <c r="AP26" s="272"/>
      <c r="AQ26" s="272"/>
      <c r="AR26" s="272"/>
      <c r="AS26" s="272"/>
      <c r="AT26" s="272"/>
      <c r="AU26" s="286"/>
    </row>
    <row r="27" spans="1:47" ht="60" customHeight="1" x14ac:dyDescent="0.35">
      <c r="A27" s="282" t="s">
        <v>6708</v>
      </c>
      <c r="B27" s="260" t="s">
        <v>6738</v>
      </c>
      <c r="C27" s="261" t="s">
        <v>6760</v>
      </c>
      <c r="D27" s="264" t="s">
        <v>6761</v>
      </c>
      <c r="E27" s="265" t="s">
        <v>6712</v>
      </c>
      <c r="F27" s="268" t="s">
        <v>6757</v>
      </c>
      <c r="G27" s="271" t="str">
        <f>IF(COUNTIF(H27:AU27,"&lt;&gt;")=0,"",SUMPRODUCT(((Recommendations[ImplStatus]="Implemented")+(Recommendations[ImplStatus]="Compensated"))*ISNUMBER(MATCH(Recommendations[Id],H27:AU27,0)))/COUNTIF(H27:AU27,"&lt;&gt;"))</f>
        <v/>
      </c>
      <c r="H27" s="272"/>
      <c r="I27" s="272"/>
      <c r="J27" s="272"/>
      <c r="K27" s="272"/>
      <c r="L27" s="272"/>
      <c r="M27" s="272"/>
      <c r="N27" s="272"/>
      <c r="O27" s="272"/>
      <c r="P27" s="272"/>
      <c r="Q27" s="272"/>
      <c r="R27" s="272"/>
      <c r="S27" s="272"/>
      <c r="T27" s="272"/>
      <c r="U27" s="272"/>
      <c r="V27" s="272"/>
      <c r="W27" s="272"/>
      <c r="X27" s="272"/>
      <c r="Y27" s="272"/>
      <c r="Z27" s="272"/>
      <c r="AA27" s="272"/>
      <c r="AB27" s="272"/>
      <c r="AC27" s="272"/>
      <c r="AD27" s="272"/>
      <c r="AE27" s="272"/>
      <c r="AF27" s="272"/>
      <c r="AG27" s="272"/>
      <c r="AH27" s="272"/>
      <c r="AI27" s="272"/>
      <c r="AJ27" s="272"/>
      <c r="AK27" s="272"/>
      <c r="AL27" s="272"/>
      <c r="AM27" s="272"/>
      <c r="AN27" s="272"/>
      <c r="AO27" s="272"/>
      <c r="AP27" s="272"/>
      <c r="AQ27" s="272"/>
      <c r="AR27" s="272"/>
      <c r="AS27" s="272"/>
      <c r="AT27" s="272"/>
      <c r="AU27" s="286"/>
    </row>
    <row r="28" spans="1:47" ht="60" customHeight="1" x14ac:dyDescent="0.35">
      <c r="A28" s="282" t="s">
        <v>6708</v>
      </c>
      <c r="B28" s="260" t="s">
        <v>6738</v>
      </c>
      <c r="C28" s="261" t="s">
        <v>6762</v>
      </c>
      <c r="D28" s="264" t="s">
        <v>6763</v>
      </c>
      <c r="E28" s="265" t="s">
        <v>6712</v>
      </c>
      <c r="F28" s="268" t="s">
        <v>6757</v>
      </c>
      <c r="G28" s="271" t="str">
        <f>IF(COUNTIF(H28:AU28,"&lt;&gt;")=0,"",SUMPRODUCT(((Recommendations[ImplStatus]="Implemented")+(Recommendations[ImplStatus]="Compensated"))*ISNUMBER(MATCH(Recommendations[Id],H28:AU28,0)))/COUNTIF(H28:AU28,"&lt;&gt;"))</f>
        <v/>
      </c>
      <c r="H28" s="272"/>
      <c r="I28" s="272"/>
      <c r="J28" s="272"/>
      <c r="K28" s="272"/>
      <c r="L28" s="272"/>
      <c r="M28" s="272"/>
      <c r="N28" s="272"/>
      <c r="O28" s="272"/>
      <c r="P28" s="272"/>
      <c r="Q28" s="272"/>
      <c r="R28" s="272"/>
      <c r="S28" s="272"/>
      <c r="T28" s="272"/>
      <c r="U28" s="272"/>
      <c r="V28" s="272"/>
      <c r="W28" s="272"/>
      <c r="X28" s="272"/>
      <c r="Y28" s="272"/>
      <c r="Z28" s="272"/>
      <c r="AA28" s="272"/>
      <c r="AB28" s="272"/>
      <c r="AC28" s="272"/>
      <c r="AD28" s="272"/>
      <c r="AE28" s="272"/>
      <c r="AF28" s="272"/>
      <c r="AG28" s="272"/>
      <c r="AH28" s="272"/>
      <c r="AI28" s="272"/>
      <c r="AJ28" s="272"/>
      <c r="AK28" s="272"/>
      <c r="AL28" s="272"/>
      <c r="AM28" s="272"/>
      <c r="AN28" s="272"/>
      <c r="AO28" s="272"/>
      <c r="AP28" s="272"/>
      <c r="AQ28" s="272"/>
      <c r="AR28" s="272"/>
      <c r="AS28" s="272"/>
      <c r="AT28" s="272"/>
      <c r="AU28" s="286"/>
    </row>
    <row r="29" spans="1:47" ht="60" customHeight="1" x14ac:dyDescent="0.35">
      <c r="A29" s="282" t="s">
        <v>6708</v>
      </c>
      <c r="B29" s="260" t="s">
        <v>6738</v>
      </c>
      <c r="C29" s="261" t="s">
        <v>6764</v>
      </c>
      <c r="D29" s="264" t="s">
        <v>6765</v>
      </c>
      <c r="E29" s="265" t="s">
        <v>6712</v>
      </c>
      <c r="F29" s="268" t="s">
        <v>6757</v>
      </c>
      <c r="G29" s="271" t="str">
        <f>IF(COUNTIF(H29:AU29,"&lt;&gt;")=0,"",SUMPRODUCT(((Recommendations[ImplStatus]="Implemented")+(Recommendations[ImplStatus]="Compensated"))*ISNUMBER(MATCH(Recommendations[Id],H29:AU29,0)))/COUNTIF(H29:AU29,"&lt;&gt;"))</f>
        <v/>
      </c>
      <c r="H29" s="272"/>
      <c r="I29" s="272"/>
      <c r="J29" s="272"/>
      <c r="K29" s="272"/>
      <c r="L29" s="272"/>
      <c r="M29" s="272"/>
      <c r="N29" s="272"/>
      <c r="O29" s="272"/>
      <c r="P29" s="272"/>
      <c r="Q29" s="272"/>
      <c r="R29" s="272"/>
      <c r="S29" s="272"/>
      <c r="T29" s="272"/>
      <c r="U29" s="272"/>
      <c r="V29" s="272"/>
      <c r="W29" s="272"/>
      <c r="X29" s="272"/>
      <c r="Y29" s="272"/>
      <c r="Z29" s="272"/>
      <c r="AA29" s="272"/>
      <c r="AB29" s="272"/>
      <c r="AC29" s="272"/>
      <c r="AD29" s="272"/>
      <c r="AE29" s="272"/>
      <c r="AF29" s="272"/>
      <c r="AG29" s="272"/>
      <c r="AH29" s="272"/>
      <c r="AI29" s="272"/>
      <c r="AJ29" s="272"/>
      <c r="AK29" s="272"/>
      <c r="AL29" s="272"/>
      <c r="AM29" s="272"/>
      <c r="AN29" s="272"/>
      <c r="AO29" s="272"/>
      <c r="AP29" s="272"/>
      <c r="AQ29" s="272"/>
      <c r="AR29" s="272"/>
      <c r="AS29" s="272"/>
      <c r="AT29" s="272"/>
      <c r="AU29" s="286"/>
    </row>
    <row r="30" spans="1:47" ht="60" customHeight="1" x14ac:dyDescent="0.35">
      <c r="A30" s="282" t="s">
        <v>6708</v>
      </c>
      <c r="B30" s="260" t="s">
        <v>6738</v>
      </c>
      <c r="C30" s="261" t="s">
        <v>6766</v>
      </c>
      <c r="D30" s="264" t="s">
        <v>6767</v>
      </c>
      <c r="E30" s="265" t="s">
        <v>6712</v>
      </c>
      <c r="F30" s="268" t="s">
        <v>6757</v>
      </c>
      <c r="G30" s="271" t="str">
        <f>IF(COUNTIF(H30:AU30,"&lt;&gt;")=0,"",SUMPRODUCT(((Recommendations[ImplStatus]="Implemented")+(Recommendations[ImplStatus]="Compensated"))*ISNUMBER(MATCH(Recommendations[Id],H30:AU30,0)))/COUNTIF(H30:AU30,"&lt;&gt;"))</f>
        <v/>
      </c>
      <c r="H30" s="272"/>
      <c r="I30" s="272"/>
      <c r="J30" s="272"/>
      <c r="K30" s="272"/>
      <c r="L30" s="272"/>
      <c r="M30" s="272"/>
      <c r="N30" s="272"/>
      <c r="O30" s="272"/>
      <c r="P30" s="272"/>
      <c r="Q30" s="272"/>
      <c r="R30" s="272"/>
      <c r="S30" s="272"/>
      <c r="T30" s="272"/>
      <c r="U30" s="272"/>
      <c r="V30" s="272"/>
      <c r="W30" s="272"/>
      <c r="X30" s="272"/>
      <c r="Y30" s="272"/>
      <c r="Z30" s="272"/>
      <c r="AA30" s="272"/>
      <c r="AB30" s="272"/>
      <c r="AC30" s="272"/>
      <c r="AD30" s="272"/>
      <c r="AE30" s="272"/>
      <c r="AF30" s="272"/>
      <c r="AG30" s="272"/>
      <c r="AH30" s="272"/>
      <c r="AI30" s="272"/>
      <c r="AJ30" s="272"/>
      <c r="AK30" s="272"/>
      <c r="AL30" s="272"/>
      <c r="AM30" s="272"/>
      <c r="AN30" s="272"/>
      <c r="AO30" s="272"/>
      <c r="AP30" s="272"/>
      <c r="AQ30" s="272"/>
      <c r="AR30" s="272"/>
      <c r="AS30" s="272"/>
      <c r="AT30" s="272"/>
      <c r="AU30" s="286"/>
    </row>
    <row r="31" spans="1:47" ht="60" customHeight="1" x14ac:dyDescent="0.35">
      <c r="A31" s="282" t="s">
        <v>6708</v>
      </c>
      <c r="B31" s="260" t="s">
        <v>6738</v>
      </c>
      <c r="C31" s="261" t="s">
        <v>6768</v>
      </c>
      <c r="D31" s="264" t="s">
        <v>6769</v>
      </c>
      <c r="E31" s="265" t="s">
        <v>6712</v>
      </c>
      <c r="F31" s="268" t="s">
        <v>6757</v>
      </c>
      <c r="G31" s="271" t="str">
        <f>IF(COUNTIF(H31:AU31,"&lt;&gt;")=0,"",SUMPRODUCT(((Recommendations[ImplStatus]="Implemented")+(Recommendations[ImplStatus]="Compensated"))*ISNUMBER(MATCH(Recommendations[Id],H31:AU31,0)))/COUNTIF(H31:AU31,"&lt;&gt;"))</f>
        <v/>
      </c>
      <c r="H31" s="272"/>
      <c r="I31" s="272"/>
      <c r="J31" s="272"/>
      <c r="K31" s="272"/>
      <c r="L31" s="272"/>
      <c r="M31" s="272"/>
      <c r="N31" s="272"/>
      <c r="O31" s="272"/>
      <c r="P31" s="272"/>
      <c r="Q31" s="272"/>
      <c r="R31" s="272"/>
      <c r="S31" s="272"/>
      <c r="T31" s="272"/>
      <c r="U31" s="272"/>
      <c r="V31" s="272"/>
      <c r="W31" s="272"/>
      <c r="X31" s="272"/>
      <c r="Y31" s="272"/>
      <c r="Z31" s="272"/>
      <c r="AA31" s="272"/>
      <c r="AB31" s="272"/>
      <c r="AC31" s="272"/>
      <c r="AD31" s="272"/>
      <c r="AE31" s="272"/>
      <c r="AF31" s="272"/>
      <c r="AG31" s="272"/>
      <c r="AH31" s="272"/>
      <c r="AI31" s="272"/>
      <c r="AJ31" s="272"/>
      <c r="AK31" s="272"/>
      <c r="AL31" s="272"/>
      <c r="AM31" s="272"/>
      <c r="AN31" s="272"/>
      <c r="AO31" s="272"/>
      <c r="AP31" s="272"/>
      <c r="AQ31" s="272"/>
      <c r="AR31" s="272"/>
      <c r="AS31" s="272"/>
      <c r="AT31" s="272"/>
      <c r="AU31" s="286"/>
    </row>
    <row r="32" spans="1:47" ht="60" customHeight="1" x14ac:dyDescent="0.35">
      <c r="A32" s="282" t="s">
        <v>6708</v>
      </c>
      <c r="B32" s="260" t="s">
        <v>6738</v>
      </c>
      <c r="C32" s="261" t="s">
        <v>6770</v>
      </c>
      <c r="D32" s="264" t="s">
        <v>6771</v>
      </c>
      <c r="E32" s="265" t="s">
        <v>6712</v>
      </c>
      <c r="F32" s="268" t="s">
        <v>6757</v>
      </c>
      <c r="G32" s="271" t="str">
        <f>IF(COUNTIF(H32:AU32,"&lt;&gt;")=0,"",SUMPRODUCT(((Recommendations[ImplStatus]="Implemented")+(Recommendations[ImplStatus]="Compensated"))*ISNUMBER(MATCH(Recommendations[Id],H32:AU32,0)))/COUNTIF(H32:AU32,"&lt;&gt;"))</f>
        <v/>
      </c>
      <c r="H32" s="272"/>
      <c r="I32" s="272"/>
      <c r="J32" s="272"/>
      <c r="K32" s="272"/>
      <c r="L32" s="272"/>
      <c r="M32" s="272"/>
      <c r="N32" s="272"/>
      <c r="O32" s="272"/>
      <c r="P32" s="272"/>
      <c r="Q32" s="272"/>
      <c r="R32" s="272"/>
      <c r="S32" s="272"/>
      <c r="T32" s="272"/>
      <c r="U32" s="272"/>
      <c r="V32" s="272"/>
      <c r="W32" s="272"/>
      <c r="X32" s="272"/>
      <c r="Y32" s="272"/>
      <c r="Z32" s="272"/>
      <c r="AA32" s="272"/>
      <c r="AB32" s="272"/>
      <c r="AC32" s="272"/>
      <c r="AD32" s="272"/>
      <c r="AE32" s="272"/>
      <c r="AF32" s="272"/>
      <c r="AG32" s="272"/>
      <c r="AH32" s="272"/>
      <c r="AI32" s="272"/>
      <c r="AJ32" s="272"/>
      <c r="AK32" s="272"/>
      <c r="AL32" s="272"/>
      <c r="AM32" s="272"/>
      <c r="AN32" s="272"/>
      <c r="AO32" s="272"/>
      <c r="AP32" s="272"/>
      <c r="AQ32" s="272"/>
      <c r="AR32" s="272"/>
      <c r="AS32" s="272"/>
      <c r="AT32" s="272"/>
      <c r="AU32" s="286"/>
    </row>
    <row r="33" spans="1:47" ht="60" customHeight="1" x14ac:dyDescent="0.35">
      <c r="A33" s="282" t="s">
        <v>6708</v>
      </c>
      <c r="B33" s="260" t="s">
        <v>6738</v>
      </c>
      <c r="C33" s="261" t="s">
        <v>6772</v>
      </c>
      <c r="D33" s="264" t="s">
        <v>6773</v>
      </c>
      <c r="E33" s="265" t="s">
        <v>6741</v>
      </c>
      <c r="F33" s="268" t="s">
        <v>6742</v>
      </c>
      <c r="G33" s="271" t="str">
        <f>IF(COUNTIF(H33:AU33,"&lt;&gt;")=0,"",SUMPRODUCT(((Recommendations[ImplStatus]="Implemented")+(Recommendations[ImplStatus]="Compensated"))*ISNUMBER(MATCH(Recommendations[Id],H33:AU33,0)))/COUNTIF(H33:AU33,"&lt;&gt;"))</f>
        <v/>
      </c>
      <c r="H33" s="272"/>
      <c r="I33" s="272"/>
      <c r="J33" s="272"/>
      <c r="K33" s="272"/>
      <c r="L33" s="272"/>
      <c r="M33" s="272"/>
      <c r="N33" s="272"/>
      <c r="O33" s="272"/>
      <c r="P33" s="272"/>
      <c r="Q33" s="272"/>
      <c r="R33" s="272"/>
      <c r="S33" s="272"/>
      <c r="T33" s="272"/>
      <c r="U33" s="272"/>
      <c r="V33" s="272"/>
      <c r="W33" s="272"/>
      <c r="X33" s="272"/>
      <c r="Y33" s="272"/>
      <c r="Z33" s="272"/>
      <c r="AA33" s="272"/>
      <c r="AB33" s="272"/>
      <c r="AC33" s="272"/>
      <c r="AD33" s="272"/>
      <c r="AE33" s="272"/>
      <c r="AF33" s="272"/>
      <c r="AG33" s="272"/>
      <c r="AH33" s="272"/>
      <c r="AI33" s="272"/>
      <c r="AJ33" s="272"/>
      <c r="AK33" s="272"/>
      <c r="AL33" s="272"/>
      <c r="AM33" s="272"/>
      <c r="AN33" s="272"/>
      <c r="AO33" s="272"/>
      <c r="AP33" s="272"/>
      <c r="AQ33" s="272"/>
      <c r="AR33" s="272"/>
      <c r="AS33" s="272"/>
      <c r="AT33" s="272"/>
      <c r="AU33" s="286"/>
    </row>
    <row r="34" spans="1:47" ht="60" customHeight="1" x14ac:dyDescent="0.35">
      <c r="A34" s="282" t="s">
        <v>6708</v>
      </c>
      <c r="B34" s="260" t="s">
        <v>6738</v>
      </c>
      <c r="C34" s="261" t="s">
        <v>6774</v>
      </c>
      <c r="D34" s="264" t="s">
        <v>6775</v>
      </c>
      <c r="E34" s="265" t="s">
        <v>6712</v>
      </c>
      <c r="F34" s="268" t="s">
        <v>6757</v>
      </c>
      <c r="G34" s="271" t="str">
        <f>IF(COUNTIF(H34:AU34,"&lt;&gt;")=0,"",SUMPRODUCT(((Recommendations[ImplStatus]="Implemented")+(Recommendations[ImplStatus]="Compensated"))*ISNUMBER(MATCH(Recommendations[Id],H34:AU34,0)))/COUNTIF(H34:AU34,"&lt;&gt;"))</f>
        <v/>
      </c>
      <c r="H34" s="272"/>
      <c r="I34" s="272"/>
      <c r="J34" s="272"/>
      <c r="K34" s="272"/>
      <c r="L34" s="272"/>
      <c r="M34" s="272"/>
      <c r="N34" s="272"/>
      <c r="O34" s="272"/>
      <c r="P34" s="272"/>
      <c r="Q34" s="272"/>
      <c r="R34" s="272"/>
      <c r="S34" s="272"/>
      <c r="T34" s="272"/>
      <c r="U34" s="272"/>
      <c r="V34" s="272"/>
      <c r="W34" s="272"/>
      <c r="X34" s="272"/>
      <c r="Y34" s="272"/>
      <c r="Z34" s="272"/>
      <c r="AA34" s="272"/>
      <c r="AB34" s="272"/>
      <c r="AC34" s="272"/>
      <c r="AD34" s="272"/>
      <c r="AE34" s="272"/>
      <c r="AF34" s="272"/>
      <c r="AG34" s="272"/>
      <c r="AH34" s="272"/>
      <c r="AI34" s="272"/>
      <c r="AJ34" s="272"/>
      <c r="AK34" s="272"/>
      <c r="AL34" s="272"/>
      <c r="AM34" s="272"/>
      <c r="AN34" s="272"/>
      <c r="AO34" s="272"/>
      <c r="AP34" s="272"/>
      <c r="AQ34" s="272"/>
      <c r="AR34" s="272"/>
      <c r="AS34" s="272"/>
      <c r="AT34" s="272"/>
      <c r="AU34" s="286"/>
    </row>
    <row r="35" spans="1:47" ht="60" customHeight="1" outlineLevel="2" x14ac:dyDescent="0.35">
      <c r="A35" s="281" t="s">
        <v>6708</v>
      </c>
      <c r="B35" s="259" t="s">
        <v>6776</v>
      </c>
      <c r="C35" s="259"/>
      <c r="D35" s="263"/>
      <c r="E35" s="259"/>
      <c r="F35" s="267"/>
      <c r="G35" s="270" t="str">
        <f>IF(COUNTIF(H35:AU35,"&lt;&gt;")=0,"",SUMPRODUCT(((Recommendations[ImplStatus]="Implemented")+(Recommendations[ImplStatus]="Compensated"))*ISNUMBER(MATCH(Recommendations[Id],H35:AU35,0)))/COUNTIF(H35:AU35,"&lt;&gt;"))</f>
        <v/>
      </c>
      <c r="H35" s="267"/>
      <c r="I35" s="267"/>
      <c r="J35" s="267"/>
      <c r="K35" s="267"/>
      <c r="L35" s="267"/>
      <c r="M35" s="267"/>
      <c r="N35" s="267"/>
      <c r="O35" s="267"/>
      <c r="P35" s="267"/>
      <c r="Q35" s="267"/>
      <c r="R35" s="267"/>
      <c r="S35" s="267"/>
      <c r="T35" s="267"/>
      <c r="U35" s="267"/>
      <c r="V35" s="267"/>
      <c r="W35" s="267"/>
      <c r="X35" s="267"/>
      <c r="Y35" s="267"/>
      <c r="Z35" s="267"/>
      <c r="AA35" s="267"/>
      <c r="AB35" s="267"/>
      <c r="AC35" s="267"/>
      <c r="AD35" s="267"/>
      <c r="AE35" s="267"/>
      <c r="AF35" s="267"/>
      <c r="AG35" s="267"/>
      <c r="AH35" s="267"/>
      <c r="AI35" s="267"/>
      <c r="AJ35" s="267"/>
      <c r="AK35" s="267"/>
      <c r="AL35" s="267"/>
      <c r="AM35" s="267"/>
      <c r="AN35" s="267"/>
      <c r="AO35" s="267"/>
      <c r="AP35" s="267"/>
      <c r="AQ35" s="267"/>
      <c r="AR35" s="267"/>
      <c r="AS35" s="267"/>
      <c r="AT35" s="267"/>
      <c r="AU35" s="285"/>
    </row>
    <row r="36" spans="1:47" ht="60" customHeight="1" x14ac:dyDescent="0.35">
      <c r="A36" s="282" t="s">
        <v>6708</v>
      </c>
      <c r="B36" s="260" t="s">
        <v>6776</v>
      </c>
      <c r="C36" s="261" t="s">
        <v>6777</v>
      </c>
      <c r="D36" s="264" t="s">
        <v>6778</v>
      </c>
      <c r="E36" s="265" t="s">
        <v>6712</v>
      </c>
      <c r="F36" s="268" t="s">
        <v>6757</v>
      </c>
      <c r="G36" s="271" t="str">
        <f>IF(COUNTIF(H36:AU36,"&lt;&gt;")=0,"",SUMPRODUCT(((Recommendations[ImplStatus]="Implemented")+(Recommendations[ImplStatus]="Compensated"))*ISNUMBER(MATCH(Recommendations[Id],H36:AU36,0)))/COUNTIF(H36:AU36,"&lt;&gt;"))</f>
        <v/>
      </c>
      <c r="H36" s="272"/>
      <c r="I36" s="272"/>
      <c r="J36" s="272"/>
      <c r="K36" s="272"/>
      <c r="L36" s="272"/>
      <c r="M36" s="272"/>
      <c r="N36" s="272"/>
      <c r="O36" s="272"/>
      <c r="P36" s="272"/>
      <c r="Q36" s="272"/>
      <c r="R36" s="272"/>
      <c r="S36" s="272"/>
      <c r="T36" s="272"/>
      <c r="U36" s="272"/>
      <c r="V36" s="272"/>
      <c r="W36" s="272"/>
      <c r="X36" s="272"/>
      <c r="Y36" s="272"/>
      <c r="Z36" s="272"/>
      <c r="AA36" s="272"/>
      <c r="AB36" s="272"/>
      <c r="AC36" s="272"/>
      <c r="AD36" s="272"/>
      <c r="AE36" s="272"/>
      <c r="AF36" s="272"/>
      <c r="AG36" s="272"/>
      <c r="AH36" s="272"/>
      <c r="AI36" s="272"/>
      <c r="AJ36" s="272"/>
      <c r="AK36" s="272"/>
      <c r="AL36" s="272"/>
      <c r="AM36" s="272"/>
      <c r="AN36" s="272"/>
      <c r="AO36" s="272"/>
      <c r="AP36" s="272"/>
      <c r="AQ36" s="272"/>
      <c r="AR36" s="272"/>
      <c r="AS36" s="272"/>
      <c r="AT36" s="272"/>
      <c r="AU36" s="286"/>
    </row>
    <row r="37" spans="1:47" ht="60" customHeight="1" x14ac:dyDescent="0.35">
      <c r="A37" s="282" t="s">
        <v>6708</v>
      </c>
      <c r="B37" s="260" t="s">
        <v>6776</v>
      </c>
      <c r="C37" s="261" t="s">
        <v>6779</v>
      </c>
      <c r="D37" s="264" t="s">
        <v>6780</v>
      </c>
      <c r="E37" s="265" t="s">
        <v>6712</v>
      </c>
      <c r="F37" s="268" t="s">
        <v>6781</v>
      </c>
      <c r="G37" s="271" t="str">
        <f>IF(COUNTIF(H37:AU37,"&lt;&gt;")=0,"",SUMPRODUCT(((Recommendations[ImplStatus]="Implemented")+(Recommendations[ImplStatus]="Compensated"))*ISNUMBER(MATCH(Recommendations[Id],H37:AU37,0)))/COUNTIF(H37:AU37,"&lt;&gt;"))</f>
        <v/>
      </c>
      <c r="H37" s="272"/>
      <c r="I37" s="272"/>
      <c r="J37" s="272"/>
      <c r="K37" s="272"/>
      <c r="L37" s="272"/>
      <c r="M37" s="272"/>
      <c r="N37" s="272"/>
      <c r="O37" s="272"/>
      <c r="P37" s="272"/>
      <c r="Q37" s="272"/>
      <c r="R37" s="272"/>
      <c r="S37" s="272"/>
      <c r="T37" s="272"/>
      <c r="U37" s="272"/>
      <c r="V37" s="272"/>
      <c r="W37" s="272"/>
      <c r="X37" s="272"/>
      <c r="Y37" s="272"/>
      <c r="Z37" s="272"/>
      <c r="AA37" s="272"/>
      <c r="AB37" s="272"/>
      <c r="AC37" s="272"/>
      <c r="AD37" s="272"/>
      <c r="AE37" s="272"/>
      <c r="AF37" s="272"/>
      <c r="AG37" s="272"/>
      <c r="AH37" s="272"/>
      <c r="AI37" s="272"/>
      <c r="AJ37" s="272"/>
      <c r="AK37" s="272"/>
      <c r="AL37" s="272"/>
      <c r="AM37" s="272"/>
      <c r="AN37" s="272"/>
      <c r="AO37" s="272"/>
      <c r="AP37" s="272"/>
      <c r="AQ37" s="272"/>
      <c r="AR37" s="272"/>
      <c r="AS37" s="272"/>
      <c r="AT37" s="272"/>
      <c r="AU37" s="286"/>
    </row>
    <row r="38" spans="1:47" ht="60" customHeight="1" x14ac:dyDescent="0.35">
      <c r="A38" s="282" t="s">
        <v>6708</v>
      </c>
      <c r="B38" s="260" t="s">
        <v>6776</v>
      </c>
      <c r="C38" s="261" t="s">
        <v>6782</v>
      </c>
      <c r="D38" s="264" t="s">
        <v>6783</v>
      </c>
      <c r="E38" s="265" t="s">
        <v>6712</v>
      </c>
      <c r="F38" s="268" t="s">
        <v>6781</v>
      </c>
      <c r="G38" s="271" t="str">
        <f>IF(COUNTIF(H38:AU38,"&lt;&gt;")=0,"",SUMPRODUCT(((Recommendations[ImplStatus]="Implemented")+(Recommendations[ImplStatus]="Compensated"))*ISNUMBER(MATCH(Recommendations[Id],H38:AU38,0)))/COUNTIF(H38:AU38,"&lt;&gt;"))</f>
        <v/>
      </c>
      <c r="H38" s="272"/>
      <c r="I38" s="272"/>
      <c r="J38" s="272"/>
      <c r="K38" s="272"/>
      <c r="L38" s="272"/>
      <c r="M38" s="272"/>
      <c r="N38" s="272"/>
      <c r="O38" s="272"/>
      <c r="P38" s="272"/>
      <c r="Q38" s="272"/>
      <c r="R38" s="272"/>
      <c r="S38" s="272"/>
      <c r="T38" s="272"/>
      <c r="U38" s="272"/>
      <c r="V38" s="272"/>
      <c r="W38" s="272"/>
      <c r="X38" s="272"/>
      <c r="Y38" s="272"/>
      <c r="Z38" s="272"/>
      <c r="AA38" s="272"/>
      <c r="AB38" s="272"/>
      <c r="AC38" s="272"/>
      <c r="AD38" s="272"/>
      <c r="AE38" s="272"/>
      <c r="AF38" s="272"/>
      <c r="AG38" s="272"/>
      <c r="AH38" s="272"/>
      <c r="AI38" s="272"/>
      <c r="AJ38" s="272"/>
      <c r="AK38" s="272"/>
      <c r="AL38" s="272"/>
      <c r="AM38" s="272"/>
      <c r="AN38" s="272"/>
      <c r="AO38" s="272"/>
      <c r="AP38" s="272"/>
      <c r="AQ38" s="272"/>
      <c r="AR38" s="272"/>
      <c r="AS38" s="272"/>
      <c r="AT38" s="272"/>
      <c r="AU38" s="286"/>
    </row>
    <row r="39" spans="1:47" ht="60" customHeight="1" x14ac:dyDescent="0.35">
      <c r="A39" s="282" t="s">
        <v>6708</v>
      </c>
      <c r="B39" s="260" t="s">
        <v>6776</v>
      </c>
      <c r="C39" s="261" t="s">
        <v>6784</v>
      </c>
      <c r="D39" s="264" t="s">
        <v>6785</v>
      </c>
      <c r="E39" s="265" t="s">
        <v>6712</v>
      </c>
      <c r="F39" s="268" t="s">
        <v>6781</v>
      </c>
      <c r="G39" s="271" t="str">
        <f>IF(COUNTIF(H39:AU39,"&lt;&gt;")=0,"",SUMPRODUCT(((Recommendations[ImplStatus]="Implemented")+(Recommendations[ImplStatus]="Compensated"))*ISNUMBER(MATCH(Recommendations[Id],H39:AU39,0)))/COUNTIF(H39:AU39,"&lt;&gt;"))</f>
        <v/>
      </c>
      <c r="H39" s="272"/>
      <c r="I39" s="272"/>
      <c r="J39" s="272"/>
      <c r="K39" s="272"/>
      <c r="L39" s="272"/>
      <c r="M39" s="272"/>
      <c r="N39" s="272"/>
      <c r="O39" s="272"/>
      <c r="P39" s="272"/>
      <c r="Q39" s="272"/>
      <c r="R39" s="272"/>
      <c r="S39" s="272"/>
      <c r="T39" s="272"/>
      <c r="U39" s="272"/>
      <c r="V39" s="272"/>
      <c r="W39" s="272"/>
      <c r="X39" s="272"/>
      <c r="Y39" s="272"/>
      <c r="Z39" s="272"/>
      <c r="AA39" s="272"/>
      <c r="AB39" s="272"/>
      <c r="AC39" s="272"/>
      <c r="AD39" s="272"/>
      <c r="AE39" s="272"/>
      <c r="AF39" s="272"/>
      <c r="AG39" s="272"/>
      <c r="AH39" s="272"/>
      <c r="AI39" s="272"/>
      <c r="AJ39" s="272"/>
      <c r="AK39" s="272"/>
      <c r="AL39" s="272"/>
      <c r="AM39" s="272"/>
      <c r="AN39" s="272"/>
      <c r="AO39" s="272"/>
      <c r="AP39" s="272"/>
      <c r="AQ39" s="272"/>
      <c r="AR39" s="272"/>
      <c r="AS39" s="272"/>
      <c r="AT39" s="272"/>
      <c r="AU39" s="286"/>
    </row>
    <row r="40" spans="1:47" ht="60" customHeight="1" x14ac:dyDescent="0.35">
      <c r="A40" s="282" t="s">
        <v>6708</v>
      </c>
      <c r="B40" s="260" t="s">
        <v>6776</v>
      </c>
      <c r="C40" s="261" t="s">
        <v>6786</v>
      </c>
      <c r="D40" s="264" t="s">
        <v>6787</v>
      </c>
      <c r="E40" s="265" t="s">
        <v>6712</v>
      </c>
      <c r="F40" s="268" t="s">
        <v>6781</v>
      </c>
      <c r="G40" s="271" t="str">
        <f>IF(COUNTIF(H40:AU40,"&lt;&gt;")=0,"",SUMPRODUCT(((Recommendations[ImplStatus]="Implemented")+(Recommendations[ImplStatus]="Compensated"))*ISNUMBER(MATCH(Recommendations[Id],H40:AU40,0)))/COUNTIF(H40:AU40,"&lt;&gt;"))</f>
        <v/>
      </c>
      <c r="H40" s="272"/>
      <c r="I40" s="272"/>
      <c r="J40" s="272"/>
      <c r="K40" s="272"/>
      <c r="L40" s="272"/>
      <c r="M40" s="272"/>
      <c r="N40" s="272"/>
      <c r="O40" s="272"/>
      <c r="P40" s="272"/>
      <c r="Q40" s="272"/>
      <c r="R40" s="272"/>
      <c r="S40" s="272"/>
      <c r="T40" s="272"/>
      <c r="U40" s="272"/>
      <c r="V40" s="272"/>
      <c r="W40" s="272"/>
      <c r="X40" s="272"/>
      <c r="Y40" s="272"/>
      <c r="Z40" s="272"/>
      <c r="AA40" s="272"/>
      <c r="AB40" s="272"/>
      <c r="AC40" s="272"/>
      <c r="AD40" s="272"/>
      <c r="AE40" s="272"/>
      <c r="AF40" s="272"/>
      <c r="AG40" s="272"/>
      <c r="AH40" s="272"/>
      <c r="AI40" s="272"/>
      <c r="AJ40" s="272"/>
      <c r="AK40" s="272"/>
      <c r="AL40" s="272"/>
      <c r="AM40" s="272"/>
      <c r="AN40" s="272"/>
      <c r="AO40" s="272"/>
      <c r="AP40" s="272"/>
      <c r="AQ40" s="272"/>
      <c r="AR40" s="272"/>
      <c r="AS40" s="272"/>
      <c r="AT40" s="272"/>
      <c r="AU40" s="286"/>
    </row>
    <row r="41" spans="1:47" ht="60" customHeight="1" x14ac:dyDescent="0.35">
      <c r="A41" s="282" t="s">
        <v>6708</v>
      </c>
      <c r="B41" s="260" t="s">
        <v>6776</v>
      </c>
      <c r="C41" s="261" t="s">
        <v>6788</v>
      </c>
      <c r="D41" s="264" t="s">
        <v>6789</v>
      </c>
      <c r="E41" s="265" t="s">
        <v>6712</v>
      </c>
      <c r="F41" s="268" t="s">
        <v>6781</v>
      </c>
      <c r="G41" s="271" t="str">
        <f>IF(COUNTIF(H41:AU41,"&lt;&gt;")=0,"",SUMPRODUCT(((Recommendations[ImplStatus]="Implemented")+(Recommendations[ImplStatus]="Compensated"))*ISNUMBER(MATCH(Recommendations[Id],H41:AU41,0)))/COUNTIF(H41:AU41,"&lt;&gt;"))</f>
        <v/>
      </c>
      <c r="H41" s="272"/>
      <c r="I41" s="272"/>
      <c r="J41" s="272"/>
      <c r="K41" s="272"/>
      <c r="L41" s="272"/>
      <c r="M41" s="272"/>
      <c r="N41" s="272"/>
      <c r="O41" s="272"/>
      <c r="P41" s="272"/>
      <c r="Q41" s="272"/>
      <c r="R41" s="272"/>
      <c r="S41" s="272"/>
      <c r="T41" s="272"/>
      <c r="U41" s="272"/>
      <c r="V41" s="272"/>
      <c r="W41" s="272"/>
      <c r="X41" s="272"/>
      <c r="Y41" s="272"/>
      <c r="Z41" s="272"/>
      <c r="AA41" s="272"/>
      <c r="AB41" s="272"/>
      <c r="AC41" s="272"/>
      <c r="AD41" s="272"/>
      <c r="AE41" s="272"/>
      <c r="AF41" s="272"/>
      <c r="AG41" s="272"/>
      <c r="AH41" s="272"/>
      <c r="AI41" s="272"/>
      <c r="AJ41" s="272"/>
      <c r="AK41" s="272"/>
      <c r="AL41" s="272"/>
      <c r="AM41" s="272"/>
      <c r="AN41" s="272"/>
      <c r="AO41" s="272"/>
      <c r="AP41" s="272"/>
      <c r="AQ41" s="272"/>
      <c r="AR41" s="272"/>
      <c r="AS41" s="272"/>
      <c r="AT41" s="272"/>
      <c r="AU41" s="286"/>
    </row>
    <row r="42" spans="1:47" ht="60" customHeight="1" x14ac:dyDescent="0.35">
      <c r="A42" s="282" t="s">
        <v>6708</v>
      </c>
      <c r="B42" s="260" t="s">
        <v>6776</v>
      </c>
      <c r="C42" s="261" t="s">
        <v>6790</v>
      </c>
      <c r="D42" s="264" t="s">
        <v>6791</v>
      </c>
      <c r="E42" s="265" t="s">
        <v>6712</v>
      </c>
      <c r="F42" s="268" t="s">
        <v>6781</v>
      </c>
      <c r="G42" s="271" t="str">
        <f>IF(COUNTIF(H42:AU42,"&lt;&gt;")=0,"",SUMPRODUCT(((Recommendations[ImplStatus]="Implemented")+(Recommendations[ImplStatus]="Compensated"))*ISNUMBER(MATCH(Recommendations[Id],H42:AU42,0)))/COUNTIF(H42:AU42,"&lt;&gt;"))</f>
        <v/>
      </c>
      <c r="H42" s="272"/>
      <c r="I42" s="272"/>
      <c r="J42" s="272"/>
      <c r="K42" s="272"/>
      <c r="L42" s="272"/>
      <c r="M42" s="272"/>
      <c r="N42" s="272"/>
      <c r="O42" s="272"/>
      <c r="P42" s="272"/>
      <c r="Q42" s="272"/>
      <c r="R42" s="272"/>
      <c r="S42" s="272"/>
      <c r="T42" s="272"/>
      <c r="U42" s="272"/>
      <c r="V42" s="272"/>
      <c r="W42" s="272"/>
      <c r="X42" s="272"/>
      <c r="Y42" s="272"/>
      <c r="Z42" s="272"/>
      <c r="AA42" s="272"/>
      <c r="AB42" s="272"/>
      <c r="AC42" s="272"/>
      <c r="AD42" s="272"/>
      <c r="AE42" s="272"/>
      <c r="AF42" s="272"/>
      <c r="AG42" s="272"/>
      <c r="AH42" s="272"/>
      <c r="AI42" s="272"/>
      <c r="AJ42" s="272"/>
      <c r="AK42" s="272"/>
      <c r="AL42" s="272"/>
      <c r="AM42" s="272"/>
      <c r="AN42" s="272"/>
      <c r="AO42" s="272"/>
      <c r="AP42" s="272"/>
      <c r="AQ42" s="272"/>
      <c r="AR42" s="272"/>
      <c r="AS42" s="272"/>
      <c r="AT42" s="272"/>
      <c r="AU42" s="286"/>
    </row>
    <row r="43" spans="1:47" ht="60" customHeight="1" x14ac:dyDescent="0.35">
      <c r="A43" s="282" t="s">
        <v>6708</v>
      </c>
      <c r="B43" s="260" t="s">
        <v>6776</v>
      </c>
      <c r="C43" s="261" t="s">
        <v>6792</v>
      </c>
      <c r="D43" s="264" t="s">
        <v>6793</v>
      </c>
      <c r="E43" s="265" t="s">
        <v>6712</v>
      </c>
      <c r="F43" s="268" t="s">
        <v>6781</v>
      </c>
      <c r="G43" s="271" t="str">
        <f>IF(COUNTIF(H43:AU43,"&lt;&gt;")=0,"",SUMPRODUCT(((Recommendations[ImplStatus]="Implemented")+(Recommendations[ImplStatus]="Compensated"))*ISNUMBER(MATCH(Recommendations[Id],H43:AU43,0)))/COUNTIF(H43:AU43,"&lt;&gt;"))</f>
        <v/>
      </c>
      <c r="H43" s="272"/>
      <c r="I43" s="272"/>
      <c r="J43" s="272"/>
      <c r="K43" s="272"/>
      <c r="L43" s="272"/>
      <c r="M43" s="272"/>
      <c r="N43" s="272"/>
      <c r="O43" s="272"/>
      <c r="P43" s="272"/>
      <c r="Q43" s="272"/>
      <c r="R43" s="272"/>
      <c r="S43" s="272"/>
      <c r="T43" s="272"/>
      <c r="U43" s="272"/>
      <c r="V43" s="272"/>
      <c r="W43" s="272"/>
      <c r="X43" s="272"/>
      <c r="Y43" s="272"/>
      <c r="Z43" s="272"/>
      <c r="AA43" s="272"/>
      <c r="AB43" s="272"/>
      <c r="AC43" s="272"/>
      <c r="AD43" s="272"/>
      <c r="AE43" s="272"/>
      <c r="AF43" s="272"/>
      <c r="AG43" s="272"/>
      <c r="AH43" s="272"/>
      <c r="AI43" s="272"/>
      <c r="AJ43" s="272"/>
      <c r="AK43" s="272"/>
      <c r="AL43" s="272"/>
      <c r="AM43" s="272"/>
      <c r="AN43" s="272"/>
      <c r="AO43" s="272"/>
      <c r="AP43" s="272"/>
      <c r="AQ43" s="272"/>
      <c r="AR43" s="272"/>
      <c r="AS43" s="272"/>
      <c r="AT43" s="272"/>
      <c r="AU43" s="286"/>
    </row>
    <row r="44" spans="1:47" ht="60" customHeight="1" x14ac:dyDescent="0.35">
      <c r="A44" s="282" t="s">
        <v>6708</v>
      </c>
      <c r="B44" s="260" t="s">
        <v>6776</v>
      </c>
      <c r="C44" s="261" t="s">
        <v>6794</v>
      </c>
      <c r="D44" s="264" t="s">
        <v>6795</v>
      </c>
      <c r="E44" s="265" t="s">
        <v>6712</v>
      </c>
      <c r="F44" s="268" t="s">
        <v>6781</v>
      </c>
      <c r="G44" s="271" t="str">
        <f>IF(COUNTIF(H44:AU44,"&lt;&gt;")=0,"",SUMPRODUCT(((Recommendations[ImplStatus]="Implemented")+(Recommendations[ImplStatus]="Compensated"))*ISNUMBER(MATCH(Recommendations[Id],H44:AU44,0)))/COUNTIF(H44:AU44,"&lt;&gt;"))</f>
        <v/>
      </c>
      <c r="H44" s="272"/>
      <c r="I44" s="272"/>
      <c r="J44" s="272"/>
      <c r="K44" s="272"/>
      <c r="L44" s="272"/>
      <c r="M44" s="272"/>
      <c r="N44" s="272"/>
      <c r="O44" s="272"/>
      <c r="P44" s="272"/>
      <c r="Q44" s="272"/>
      <c r="R44" s="272"/>
      <c r="S44" s="272"/>
      <c r="T44" s="272"/>
      <c r="U44" s="272"/>
      <c r="V44" s="272"/>
      <c r="W44" s="272"/>
      <c r="X44" s="272"/>
      <c r="Y44" s="272"/>
      <c r="Z44" s="272"/>
      <c r="AA44" s="272"/>
      <c r="AB44" s="272"/>
      <c r="AC44" s="272"/>
      <c r="AD44" s="272"/>
      <c r="AE44" s="272"/>
      <c r="AF44" s="272"/>
      <c r="AG44" s="272"/>
      <c r="AH44" s="272"/>
      <c r="AI44" s="272"/>
      <c r="AJ44" s="272"/>
      <c r="AK44" s="272"/>
      <c r="AL44" s="272"/>
      <c r="AM44" s="272"/>
      <c r="AN44" s="272"/>
      <c r="AO44" s="272"/>
      <c r="AP44" s="272"/>
      <c r="AQ44" s="272"/>
      <c r="AR44" s="272"/>
      <c r="AS44" s="272"/>
      <c r="AT44" s="272"/>
      <c r="AU44" s="286"/>
    </row>
    <row r="45" spans="1:47" ht="60" customHeight="1" x14ac:dyDescent="0.35">
      <c r="A45" s="282" t="s">
        <v>6708</v>
      </c>
      <c r="B45" s="260" t="s">
        <v>6776</v>
      </c>
      <c r="C45" s="261" t="s">
        <v>6796</v>
      </c>
      <c r="D45" s="264" t="s">
        <v>6797</v>
      </c>
      <c r="E45" s="265" t="s">
        <v>6712</v>
      </c>
      <c r="F45" s="268" t="s">
        <v>6781</v>
      </c>
      <c r="G45" s="271" t="str">
        <f>IF(COUNTIF(H45:AU45,"&lt;&gt;")=0,"",SUMPRODUCT(((Recommendations[ImplStatus]="Implemented")+(Recommendations[ImplStatus]="Compensated"))*ISNUMBER(MATCH(Recommendations[Id],H45:AU45,0)))/COUNTIF(H45:AU45,"&lt;&gt;"))</f>
        <v/>
      </c>
      <c r="H45" s="272"/>
      <c r="I45" s="272"/>
      <c r="J45" s="272"/>
      <c r="K45" s="272"/>
      <c r="L45" s="272"/>
      <c r="M45" s="272"/>
      <c r="N45" s="272"/>
      <c r="O45" s="272"/>
      <c r="P45" s="272"/>
      <c r="Q45" s="272"/>
      <c r="R45" s="272"/>
      <c r="S45" s="272"/>
      <c r="T45" s="272"/>
      <c r="U45" s="272"/>
      <c r="V45" s="272"/>
      <c r="W45" s="272"/>
      <c r="X45" s="272"/>
      <c r="Y45" s="272"/>
      <c r="Z45" s="272"/>
      <c r="AA45" s="272"/>
      <c r="AB45" s="272"/>
      <c r="AC45" s="272"/>
      <c r="AD45" s="272"/>
      <c r="AE45" s="272"/>
      <c r="AF45" s="272"/>
      <c r="AG45" s="272"/>
      <c r="AH45" s="272"/>
      <c r="AI45" s="272"/>
      <c r="AJ45" s="272"/>
      <c r="AK45" s="272"/>
      <c r="AL45" s="272"/>
      <c r="AM45" s="272"/>
      <c r="AN45" s="272"/>
      <c r="AO45" s="272"/>
      <c r="AP45" s="272"/>
      <c r="AQ45" s="272"/>
      <c r="AR45" s="272"/>
      <c r="AS45" s="272"/>
      <c r="AT45" s="272"/>
      <c r="AU45" s="286"/>
    </row>
    <row r="46" spans="1:47" ht="60" customHeight="1" x14ac:dyDescent="0.35">
      <c r="A46" s="282" t="s">
        <v>6708</v>
      </c>
      <c r="B46" s="260" t="s">
        <v>6776</v>
      </c>
      <c r="C46" s="261" t="s">
        <v>6798</v>
      </c>
      <c r="D46" s="264" t="s">
        <v>6799</v>
      </c>
      <c r="E46" s="265" t="s">
        <v>6712</v>
      </c>
      <c r="F46" s="268" t="s">
        <v>6781</v>
      </c>
      <c r="G46" s="271" t="str">
        <f>IF(COUNTIF(H46:AU46,"&lt;&gt;")=0,"",SUMPRODUCT(((Recommendations[ImplStatus]="Implemented")+(Recommendations[ImplStatus]="Compensated"))*ISNUMBER(MATCH(Recommendations[Id],H46:AU46,0)))/COUNTIF(H46:AU46,"&lt;&gt;"))</f>
        <v/>
      </c>
      <c r="H46" s="272"/>
      <c r="I46" s="272"/>
      <c r="J46" s="272"/>
      <c r="K46" s="272"/>
      <c r="L46" s="272"/>
      <c r="M46" s="272"/>
      <c r="N46" s="272"/>
      <c r="O46" s="272"/>
      <c r="P46" s="272"/>
      <c r="Q46" s="272"/>
      <c r="R46" s="272"/>
      <c r="S46" s="272"/>
      <c r="T46" s="272"/>
      <c r="U46" s="272"/>
      <c r="V46" s="272"/>
      <c r="W46" s="272"/>
      <c r="X46" s="272"/>
      <c r="Y46" s="272"/>
      <c r="Z46" s="272"/>
      <c r="AA46" s="272"/>
      <c r="AB46" s="272"/>
      <c r="AC46" s="272"/>
      <c r="AD46" s="272"/>
      <c r="AE46" s="272"/>
      <c r="AF46" s="272"/>
      <c r="AG46" s="272"/>
      <c r="AH46" s="272"/>
      <c r="AI46" s="272"/>
      <c r="AJ46" s="272"/>
      <c r="AK46" s="272"/>
      <c r="AL46" s="272"/>
      <c r="AM46" s="272"/>
      <c r="AN46" s="272"/>
      <c r="AO46" s="272"/>
      <c r="AP46" s="272"/>
      <c r="AQ46" s="272"/>
      <c r="AR46" s="272"/>
      <c r="AS46" s="272"/>
      <c r="AT46" s="272"/>
      <c r="AU46" s="286"/>
    </row>
    <row r="47" spans="1:47" ht="60" customHeight="1" x14ac:dyDescent="0.35">
      <c r="A47" s="282" t="s">
        <v>6708</v>
      </c>
      <c r="B47" s="260" t="s">
        <v>6776</v>
      </c>
      <c r="C47" s="261" t="s">
        <v>6800</v>
      </c>
      <c r="D47" s="264" t="s">
        <v>6801</v>
      </c>
      <c r="E47" s="265" t="s">
        <v>6712</v>
      </c>
      <c r="F47" s="268" t="s">
        <v>6781</v>
      </c>
      <c r="G47" s="271" t="str">
        <f>IF(COUNTIF(H47:AU47,"&lt;&gt;")=0,"",SUMPRODUCT(((Recommendations[ImplStatus]="Implemented")+(Recommendations[ImplStatus]="Compensated"))*ISNUMBER(MATCH(Recommendations[Id],H47:AU47,0)))/COUNTIF(H47:AU47,"&lt;&gt;"))</f>
        <v/>
      </c>
      <c r="H47" s="272"/>
      <c r="I47" s="272"/>
      <c r="J47" s="272"/>
      <c r="K47" s="272"/>
      <c r="L47" s="272"/>
      <c r="M47" s="272"/>
      <c r="N47" s="272"/>
      <c r="O47" s="272"/>
      <c r="P47" s="272"/>
      <c r="Q47" s="272"/>
      <c r="R47" s="272"/>
      <c r="S47" s="272"/>
      <c r="T47" s="272"/>
      <c r="U47" s="272"/>
      <c r="V47" s="272"/>
      <c r="W47" s="272"/>
      <c r="X47" s="272"/>
      <c r="Y47" s="272"/>
      <c r="Z47" s="272"/>
      <c r="AA47" s="272"/>
      <c r="AB47" s="272"/>
      <c r="AC47" s="272"/>
      <c r="AD47" s="272"/>
      <c r="AE47" s="272"/>
      <c r="AF47" s="272"/>
      <c r="AG47" s="272"/>
      <c r="AH47" s="272"/>
      <c r="AI47" s="272"/>
      <c r="AJ47" s="272"/>
      <c r="AK47" s="272"/>
      <c r="AL47" s="272"/>
      <c r="AM47" s="272"/>
      <c r="AN47" s="272"/>
      <c r="AO47" s="272"/>
      <c r="AP47" s="272"/>
      <c r="AQ47" s="272"/>
      <c r="AR47" s="272"/>
      <c r="AS47" s="272"/>
      <c r="AT47" s="272"/>
      <c r="AU47" s="286"/>
    </row>
    <row r="48" spans="1:47" ht="60" customHeight="1" x14ac:dyDescent="0.35">
      <c r="A48" s="282" t="s">
        <v>6708</v>
      </c>
      <c r="B48" s="260" t="s">
        <v>6776</v>
      </c>
      <c r="C48" s="261" t="s">
        <v>6802</v>
      </c>
      <c r="D48" s="264" t="s">
        <v>6803</v>
      </c>
      <c r="E48" s="265" t="s">
        <v>6712</v>
      </c>
      <c r="F48" s="268" t="s">
        <v>6781</v>
      </c>
      <c r="G48" s="271" t="str">
        <f>IF(COUNTIF(H48:AU48,"&lt;&gt;")=0,"",SUMPRODUCT(((Recommendations[ImplStatus]="Implemented")+(Recommendations[ImplStatus]="Compensated"))*ISNUMBER(MATCH(Recommendations[Id],H48:AU48,0)))/COUNTIF(H48:AU48,"&lt;&gt;"))</f>
        <v/>
      </c>
      <c r="H48" s="272"/>
      <c r="I48" s="272"/>
      <c r="J48" s="272"/>
      <c r="K48" s="272"/>
      <c r="L48" s="272"/>
      <c r="M48" s="272"/>
      <c r="N48" s="272"/>
      <c r="O48" s="272"/>
      <c r="P48" s="272"/>
      <c r="Q48" s="272"/>
      <c r="R48" s="272"/>
      <c r="S48" s="272"/>
      <c r="T48" s="272"/>
      <c r="U48" s="272"/>
      <c r="V48" s="272"/>
      <c r="W48" s="272"/>
      <c r="X48" s="272"/>
      <c r="Y48" s="272"/>
      <c r="Z48" s="272"/>
      <c r="AA48" s="272"/>
      <c r="AB48" s="272"/>
      <c r="AC48" s="272"/>
      <c r="AD48" s="272"/>
      <c r="AE48" s="272"/>
      <c r="AF48" s="272"/>
      <c r="AG48" s="272"/>
      <c r="AH48" s="272"/>
      <c r="AI48" s="272"/>
      <c r="AJ48" s="272"/>
      <c r="AK48" s="272"/>
      <c r="AL48" s="272"/>
      <c r="AM48" s="272"/>
      <c r="AN48" s="272"/>
      <c r="AO48" s="272"/>
      <c r="AP48" s="272"/>
      <c r="AQ48" s="272"/>
      <c r="AR48" s="272"/>
      <c r="AS48" s="272"/>
      <c r="AT48" s="272"/>
      <c r="AU48" s="286"/>
    </row>
    <row r="49" spans="1:47" ht="60" customHeight="1" x14ac:dyDescent="0.35">
      <c r="A49" s="282" t="s">
        <v>6708</v>
      </c>
      <c r="B49" s="260" t="s">
        <v>6776</v>
      </c>
      <c r="C49" s="261" t="s">
        <v>6804</v>
      </c>
      <c r="D49" s="264" t="s">
        <v>6805</v>
      </c>
      <c r="E49" s="265" t="s">
        <v>6712</v>
      </c>
      <c r="F49" s="268" t="s">
        <v>6781</v>
      </c>
      <c r="G49" s="271" t="str">
        <f>IF(COUNTIF(H49:AU49,"&lt;&gt;")=0,"",SUMPRODUCT(((Recommendations[ImplStatus]="Implemented")+(Recommendations[ImplStatus]="Compensated"))*ISNUMBER(MATCH(Recommendations[Id],H49:AU49,0)))/COUNTIF(H49:AU49,"&lt;&gt;"))</f>
        <v/>
      </c>
      <c r="H49" s="272"/>
      <c r="I49" s="272"/>
      <c r="J49" s="272"/>
      <c r="K49" s="272"/>
      <c r="L49" s="272"/>
      <c r="M49" s="272"/>
      <c r="N49" s="272"/>
      <c r="O49" s="272"/>
      <c r="P49" s="272"/>
      <c r="Q49" s="272"/>
      <c r="R49" s="272"/>
      <c r="S49" s="272"/>
      <c r="T49" s="272"/>
      <c r="U49" s="272"/>
      <c r="V49" s="272"/>
      <c r="W49" s="272"/>
      <c r="X49" s="272"/>
      <c r="Y49" s="272"/>
      <c r="Z49" s="272"/>
      <c r="AA49" s="272"/>
      <c r="AB49" s="272"/>
      <c r="AC49" s="272"/>
      <c r="AD49" s="272"/>
      <c r="AE49" s="272"/>
      <c r="AF49" s="272"/>
      <c r="AG49" s="272"/>
      <c r="AH49" s="272"/>
      <c r="AI49" s="272"/>
      <c r="AJ49" s="272"/>
      <c r="AK49" s="272"/>
      <c r="AL49" s="272"/>
      <c r="AM49" s="272"/>
      <c r="AN49" s="272"/>
      <c r="AO49" s="272"/>
      <c r="AP49" s="272"/>
      <c r="AQ49" s="272"/>
      <c r="AR49" s="272"/>
      <c r="AS49" s="272"/>
      <c r="AT49" s="272"/>
      <c r="AU49" s="286"/>
    </row>
    <row r="50" spans="1:47" ht="60" customHeight="1" outlineLevel="2" x14ac:dyDescent="0.35">
      <c r="A50" s="281" t="s">
        <v>6708</v>
      </c>
      <c r="B50" s="259" t="s">
        <v>3978</v>
      </c>
      <c r="C50" s="259"/>
      <c r="D50" s="263"/>
      <c r="E50" s="259"/>
      <c r="F50" s="267"/>
      <c r="G50" s="270" t="str">
        <f>IF(COUNTIF(H50:AU50,"&lt;&gt;")=0,"",SUMPRODUCT(((Recommendations[ImplStatus]="Implemented")+(Recommendations[ImplStatus]="Compensated"))*ISNUMBER(MATCH(Recommendations[Id],H50:AU50,0)))/COUNTIF(H50:AU50,"&lt;&gt;"))</f>
        <v/>
      </c>
      <c r="H50" s="267"/>
      <c r="I50" s="267"/>
      <c r="J50" s="267"/>
      <c r="K50" s="267"/>
      <c r="L50" s="267"/>
      <c r="M50" s="267"/>
      <c r="N50" s="267"/>
      <c r="O50" s="267"/>
      <c r="P50" s="267"/>
      <c r="Q50" s="267"/>
      <c r="R50" s="267"/>
      <c r="S50" s="267"/>
      <c r="T50" s="267"/>
      <c r="U50" s="267"/>
      <c r="V50" s="267"/>
      <c r="W50" s="267"/>
      <c r="X50" s="267"/>
      <c r="Y50" s="267"/>
      <c r="Z50" s="267"/>
      <c r="AA50" s="267"/>
      <c r="AB50" s="267"/>
      <c r="AC50" s="267"/>
      <c r="AD50" s="267"/>
      <c r="AE50" s="267"/>
      <c r="AF50" s="267"/>
      <c r="AG50" s="267"/>
      <c r="AH50" s="267"/>
      <c r="AI50" s="267"/>
      <c r="AJ50" s="267"/>
      <c r="AK50" s="267"/>
      <c r="AL50" s="267"/>
      <c r="AM50" s="267"/>
      <c r="AN50" s="267"/>
      <c r="AO50" s="267"/>
      <c r="AP50" s="267"/>
      <c r="AQ50" s="267"/>
      <c r="AR50" s="267"/>
      <c r="AS50" s="267"/>
      <c r="AT50" s="267"/>
      <c r="AU50" s="285"/>
    </row>
    <row r="51" spans="1:47" ht="60" customHeight="1" x14ac:dyDescent="0.35">
      <c r="A51" s="282" t="s">
        <v>6708</v>
      </c>
      <c r="B51" s="260" t="s">
        <v>3978</v>
      </c>
      <c r="C51" s="261" t="s">
        <v>6806</v>
      </c>
      <c r="D51" s="264" t="s">
        <v>6807</v>
      </c>
      <c r="E51" s="265" t="s">
        <v>6808</v>
      </c>
      <c r="F51" s="268" t="s">
        <v>6809</v>
      </c>
      <c r="G51" s="271" t="str">
        <f>IF(COUNTIF(H51:AU51,"&lt;&gt;")=0,"",SUMPRODUCT(((Recommendations[ImplStatus]="Implemented")+(Recommendations[ImplStatus]="Compensated"))*ISNUMBER(MATCH(Recommendations[Id],H51:AU51,0)))/COUNTIF(H51:AU51,"&lt;&gt;"))</f>
        <v/>
      </c>
      <c r="H51" s="272"/>
      <c r="I51" s="272"/>
      <c r="J51" s="272"/>
      <c r="K51" s="272"/>
      <c r="L51" s="272"/>
      <c r="M51" s="272"/>
      <c r="N51" s="272"/>
      <c r="O51" s="272"/>
      <c r="P51" s="272"/>
      <c r="Q51" s="272"/>
      <c r="R51" s="272"/>
      <c r="S51" s="272"/>
      <c r="T51" s="272"/>
      <c r="U51" s="272"/>
      <c r="V51" s="272"/>
      <c r="W51" s="272"/>
      <c r="X51" s="272"/>
      <c r="Y51" s="272"/>
      <c r="Z51" s="272"/>
      <c r="AA51" s="272"/>
      <c r="AB51" s="272"/>
      <c r="AC51" s="272"/>
      <c r="AD51" s="272"/>
      <c r="AE51" s="272"/>
      <c r="AF51" s="272"/>
      <c r="AG51" s="272"/>
      <c r="AH51" s="272"/>
      <c r="AI51" s="272"/>
      <c r="AJ51" s="272"/>
      <c r="AK51" s="272"/>
      <c r="AL51" s="272"/>
      <c r="AM51" s="272"/>
      <c r="AN51" s="272"/>
      <c r="AO51" s="272"/>
      <c r="AP51" s="272"/>
      <c r="AQ51" s="272"/>
      <c r="AR51" s="272"/>
      <c r="AS51" s="272"/>
      <c r="AT51" s="272"/>
      <c r="AU51" s="286"/>
    </row>
    <row r="52" spans="1:47" ht="60" customHeight="1" x14ac:dyDescent="0.35">
      <c r="A52" s="282" t="s">
        <v>6708</v>
      </c>
      <c r="B52" s="260" t="s">
        <v>3978</v>
      </c>
      <c r="C52" s="261" t="s">
        <v>6810</v>
      </c>
      <c r="D52" s="264" t="s">
        <v>6811</v>
      </c>
      <c r="E52" s="265" t="s">
        <v>6808</v>
      </c>
      <c r="F52" s="268" t="s">
        <v>6809</v>
      </c>
      <c r="G52" s="271" t="str">
        <f>IF(COUNTIF(H52:AU52,"&lt;&gt;")=0,"",SUMPRODUCT(((Recommendations[ImplStatus]="Implemented")+(Recommendations[ImplStatus]="Compensated"))*ISNUMBER(MATCH(Recommendations[Id],H52:AU52,0)))/COUNTIF(H52:AU52,"&lt;&gt;"))</f>
        <v/>
      </c>
      <c r="H52" s="272"/>
      <c r="I52" s="272"/>
      <c r="J52" s="272"/>
      <c r="K52" s="272"/>
      <c r="L52" s="272"/>
      <c r="M52" s="272"/>
      <c r="N52" s="272"/>
      <c r="O52" s="272"/>
      <c r="P52" s="272"/>
      <c r="Q52" s="272"/>
      <c r="R52" s="272"/>
      <c r="S52" s="272"/>
      <c r="T52" s="272"/>
      <c r="U52" s="272"/>
      <c r="V52" s="272"/>
      <c r="W52" s="272"/>
      <c r="X52" s="272"/>
      <c r="Y52" s="272"/>
      <c r="Z52" s="272"/>
      <c r="AA52" s="272"/>
      <c r="AB52" s="272"/>
      <c r="AC52" s="272"/>
      <c r="AD52" s="272"/>
      <c r="AE52" s="272"/>
      <c r="AF52" s="272"/>
      <c r="AG52" s="272"/>
      <c r="AH52" s="272"/>
      <c r="AI52" s="272"/>
      <c r="AJ52" s="272"/>
      <c r="AK52" s="272"/>
      <c r="AL52" s="272"/>
      <c r="AM52" s="272"/>
      <c r="AN52" s="272"/>
      <c r="AO52" s="272"/>
      <c r="AP52" s="272"/>
      <c r="AQ52" s="272"/>
      <c r="AR52" s="272"/>
      <c r="AS52" s="272"/>
      <c r="AT52" s="272"/>
      <c r="AU52" s="286"/>
    </row>
    <row r="53" spans="1:47" ht="60" customHeight="1" x14ac:dyDescent="0.35">
      <c r="A53" s="282" t="s">
        <v>6708</v>
      </c>
      <c r="B53" s="260" t="s">
        <v>3978</v>
      </c>
      <c r="C53" s="261" t="s">
        <v>6812</v>
      </c>
      <c r="D53" s="264" t="s">
        <v>6813</v>
      </c>
      <c r="E53" s="265" t="s">
        <v>6808</v>
      </c>
      <c r="F53" s="268" t="s">
        <v>6809</v>
      </c>
      <c r="G53" s="271" t="str">
        <f>IF(COUNTIF(H53:AU53,"&lt;&gt;")=0,"",SUMPRODUCT(((Recommendations[ImplStatus]="Implemented")+(Recommendations[ImplStatus]="Compensated"))*ISNUMBER(MATCH(Recommendations[Id],H53:AU53,0)))/COUNTIF(H53:AU53,"&lt;&gt;"))</f>
        <v/>
      </c>
      <c r="H53" s="272"/>
      <c r="I53" s="272"/>
      <c r="J53" s="272"/>
      <c r="K53" s="272"/>
      <c r="L53" s="272"/>
      <c r="M53" s="272"/>
      <c r="N53" s="272"/>
      <c r="O53" s="272"/>
      <c r="P53" s="272"/>
      <c r="Q53" s="272"/>
      <c r="R53" s="272"/>
      <c r="S53" s="272"/>
      <c r="T53" s="272"/>
      <c r="U53" s="272"/>
      <c r="V53" s="272"/>
      <c r="W53" s="272"/>
      <c r="X53" s="272"/>
      <c r="Y53" s="272"/>
      <c r="Z53" s="272"/>
      <c r="AA53" s="272"/>
      <c r="AB53" s="272"/>
      <c r="AC53" s="272"/>
      <c r="AD53" s="272"/>
      <c r="AE53" s="272"/>
      <c r="AF53" s="272"/>
      <c r="AG53" s="272"/>
      <c r="AH53" s="272"/>
      <c r="AI53" s="272"/>
      <c r="AJ53" s="272"/>
      <c r="AK53" s="272"/>
      <c r="AL53" s="272"/>
      <c r="AM53" s="272"/>
      <c r="AN53" s="272"/>
      <c r="AO53" s="272"/>
      <c r="AP53" s="272"/>
      <c r="AQ53" s="272"/>
      <c r="AR53" s="272"/>
      <c r="AS53" s="272"/>
      <c r="AT53" s="272"/>
      <c r="AU53" s="286"/>
    </row>
    <row r="54" spans="1:47" ht="60" customHeight="1" x14ac:dyDescent="0.35">
      <c r="A54" s="282" t="s">
        <v>6708</v>
      </c>
      <c r="B54" s="260" t="s">
        <v>3978</v>
      </c>
      <c r="C54" s="261" t="s">
        <v>6814</v>
      </c>
      <c r="D54" s="264" t="s">
        <v>6815</v>
      </c>
      <c r="E54" s="265" t="s">
        <v>6808</v>
      </c>
      <c r="F54" s="268" t="s">
        <v>6809</v>
      </c>
      <c r="G54" s="271" t="str">
        <f>IF(COUNTIF(H54:AU54,"&lt;&gt;")=0,"",SUMPRODUCT(((Recommendations[ImplStatus]="Implemented")+(Recommendations[ImplStatus]="Compensated"))*ISNUMBER(MATCH(Recommendations[Id],H54:AU54,0)))/COUNTIF(H54:AU54,"&lt;&gt;"))</f>
        <v/>
      </c>
      <c r="H54" s="272"/>
      <c r="I54" s="272"/>
      <c r="J54" s="272"/>
      <c r="K54" s="272"/>
      <c r="L54" s="272"/>
      <c r="M54" s="272"/>
      <c r="N54" s="272"/>
      <c r="O54" s="272"/>
      <c r="P54" s="272"/>
      <c r="Q54" s="272"/>
      <c r="R54" s="272"/>
      <c r="S54" s="272"/>
      <c r="T54" s="272"/>
      <c r="U54" s="272"/>
      <c r="V54" s="272"/>
      <c r="W54" s="272"/>
      <c r="X54" s="272"/>
      <c r="Y54" s="272"/>
      <c r="Z54" s="272"/>
      <c r="AA54" s="272"/>
      <c r="AB54" s="272"/>
      <c r="AC54" s="272"/>
      <c r="AD54" s="272"/>
      <c r="AE54" s="272"/>
      <c r="AF54" s="272"/>
      <c r="AG54" s="272"/>
      <c r="AH54" s="272"/>
      <c r="AI54" s="272"/>
      <c r="AJ54" s="272"/>
      <c r="AK54" s="272"/>
      <c r="AL54" s="272"/>
      <c r="AM54" s="272"/>
      <c r="AN54" s="272"/>
      <c r="AO54" s="272"/>
      <c r="AP54" s="272"/>
      <c r="AQ54" s="272"/>
      <c r="AR54" s="272"/>
      <c r="AS54" s="272"/>
      <c r="AT54" s="272"/>
      <c r="AU54" s="286"/>
    </row>
    <row r="55" spans="1:47" ht="60" customHeight="1" x14ac:dyDescent="0.35">
      <c r="A55" s="282" t="s">
        <v>6708</v>
      </c>
      <c r="B55" s="260" t="s">
        <v>3978</v>
      </c>
      <c r="C55" s="261" t="s">
        <v>6816</v>
      </c>
      <c r="D55" s="264" t="s">
        <v>6817</v>
      </c>
      <c r="E55" s="265" t="s">
        <v>6808</v>
      </c>
      <c r="F55" s="268" t="s">
        <v>6809</v>
      </c>
      <c r="G55" s="271" t="str">
        <f>IF(COUNTIF(H55:AU55,"&lt;&gt;")=0,"",SUMPRODUCT(((Recommendations[ImplStatus]="Implemented")+(Recommendations[ImplStatus]="Compensated"))*ISNUMBER(MATCH(Recommendations[Id],H55:AU55,0)))/COUNTIF(H55:AU55,"&lt;&gt;"))</f>
        <v/>
      </c>
      <c r="H55" s="272"/>
      <c r="I55" s="272"/>
      <c r="J55" s="272"/>
      <c r="K55" s="272"/>
      <c r="L55" s="272"/>
      <c r="M55" s="272"/>
      <c r="N55" s="272"/>
      <c r="O55" s="272"/>
      <c r="P55" s="272"/>
      <c r="Q55" s="272"/>
      <c r="R55" s="272"/>
      <c r="S55" s="272"/>
      <c r="T55" s="272"/>
      <c r="U55" s="272"/>
      <c r="V55" s="272"/>
      <c r="W55" s="272"/>
      <c r="X55" s="272"/>
      <c r="Y55" s="272"/>
      <c r="Z55" s="272"/>
      <c r="AA55" s="272"/>
      <c r="AB55" s="272"/>
      <c r="AC55" s="272"/>
      <c r="AD55" s="272"/>
      <c r="AE55" s="272"/>
      <c r="AF55" s="272"/>
      <c r="AG55" s="272"/>
      <c r="AH55" s="272"/>
      <c r="AI55" s="272"/>
      <c r="AJ55" s="272"/>
      <c r="AK55" s="272"/>
      <c r="AL55" s="272"/>
      <c r="AM55" s="272"/>
      <c r="AN55" s="272"/>
      <c r="AO55" s="272"/>
      <c r="AP55" s="272"/>
      <c r="AQ55" s="272"/>
      <c r="AR55" s="272"/>
      <c r="AS55" s="272"/>
      <c r="AT55" s="272"/>
      <c r="AU55" s="286"/>
    </row>
    <row r="56" spans="1:47" ht="60" customHeight="1" x14ac:dyDescent="0.35">
      <c r="A56" s="282" t="s">
        <v>6708</v>
      </c>
      <c r="B56" s="260" t="s">
        <v>3978</v>
      </c>
      <c r="C56" s="261" t="s">
        <v>6818</v>
      </c>
      <c r="D56" s="264" t="s">
        <v>6819</v>
      </c>
      <c r="E56" s="265" t="s">
        <v>6808</v>
      </c>
      <c r="F56" s="268" t="s">
        <v>6809</v>
      </c>
      <c r="G56" s="271" t="str">
        <f>IF(COUNTIF(H56:AU56,"&lt;&gt;")=0,"",SUMPRODUCT(((Recommendations[ImplStatus]="Implemented")+(Recommendations[ImplStatus]="Compensated"))*ISNUMBER(MATCH(Recommendations[Id],H56:AU56,0)))/COUNTIF(H56:AU56,"&lt;&gt;"))</f>
        <v/>
      </c>
      <c r="H56" s="272"/>
      <c r="I56" s="272"/>
      <c r="J56" s="272"/>
      <c r="K56" s="272"/>
      <c r="L56" s="272"/>
      <c r="M56" s="272"/>
      <c r="N56" s="272"/>
      <c r="O56" s="272"/>
      <c r="P56" s="272"/>
      <c r="Q56" s="272"/>
      <c r="R56" s="272"/>
      <c r="S56" s="272"/>
      <c r="T56" s="272"/>
      <c r="U56" s="272"/>
      <c r="V56" s="272"/>
      <c r="W56" s="272"/>
      <c r="X56" s="272"/>
      <c r="Y56" s="272"/>
      <c r="Z56" s="272"/>
      <c r="AA56" s="272"/>
      <c r="AB56" s="272"/>
      <c r="AC56" s="272"/>
      <c r="AD56" s="272"/>
      <c r="AE56" s="272"/>
      <c r="AF56" s="272"/>
      <c r="AG56" s="272"/>
      <c r="AH56" s="272"/>
      <c r="AI56" s="272"/>
      <c r="AJ56" s="272"/>
      <c r="AK56" s="272"/>
      <c r="AL56" s="272"/>
      <c r="AM56" s="272"/>
      <c r="AN56" s="272"/>
      <c r="AO56" s="272"/>
      <c r="AP56" s="272"/>
      <c r="AQ56" s="272"/>
      <c r="AR56" s="272"/>
      <c r="AS56" s="272"/>
      <c r="AT56" s="272"/>
      <c r="AU56" s="286"/>
    </row>
    <row r="57" spans="1:47" ht="60" customHeight="1" x14ac:dyDescent="0.35">
      <c r="A57" s="282" t="s">
        <v>6708</v>
      </c>
      <c r="B57" s="260" t="s">
        <v>3978</v>
      </c>
      <c r="C57" s="261" t="s">
        <v>6820</v>
      </c>
      <c r="D57" s="264" t="s">
        <v>6821</v>
      </c>
      <c r="E57" s="265" t="s">
        <v>6808</v>
      </c>
      <c r="F57" s="268" t="s">
        <v>6809</v>
      </c>
      <c r="G57" s="271" t="str">
        <f>IF(COUNTIF(H57:AU57,"&lt;&gt;")=0,"",SUMPRODUCT(((Recommendations[ImplStatus]="Implemented")+(Recommendations[ImplStatus]="Compensated"))*ISNUMBER(MATCH(Recommendations[Id],H57:AU57,0)))/COUNTIF(H57:AU57,"&lt;&gt;"))</f>
        <v/>
      </c>
      <c r="H57" s="272"/>
      <c r="I57" s="272"/>
      <c r="J57" s="272"/>
      <c r="K57" s="272"/>
      <c r="L57" s="272"/>
      <c r="M57" s="272"/>
      <c r="N57" s="272"/>
      <c r="O57" s="272"/>
      <c r="P57" s="272"/>
      <c r="Q57" s="272"/>
      <c r="R57" s="272"/>
      <c r="S57" s="272"/>
      <c r="T57" s="272"/>
      <c r="U57" s="272"/>
      <c r="V57" s="272"/>
      <c r="W57" s="272"/>
      <c r="X57" s="272"/>
      <c r="Y57" s="272"/>
      <c r="Z57" s="272"/>
      <c r="AA57" s="272"/>
      <c r="AB57" s="272"/>
      <c r="AC57" s="272"/>
      <c r="AD57" s="272"/>
      <c r="AE57" s="272"/>
      <c r="AF57" s="272"/>
      <c r="AG57" s="272"/>
      <c r="AH57" s="272"/>
      <c r="AI57" s="272"/>
      <c r="AJ57" s="272"/>
      <c r="AK57" s="272"/>
      <c r="AL57" s="272"/>
      <c r="AM57" s="272"/>
      <c r="AN57" s="272"/>
      <c r="AO57" s="272"/>
      <c r="AP57" s="272"/>
      <c r="AQ57" s="272"/>
      <c r="AR57" s="272"/>
      <c r="AS57" s="272"/>
      <c r="AT57" s="272"/>
      <c r="AU57" s="286"/>
    </row>
    <row r="58" spans="1:47" ht="60" customHeight="1" x14ac:dyDescent="0.35">
      <c r="A58" s="282" t="s">
        <v>6708</v>
      </c>
      <c r="B58" s="260" t="s">
        <v>3978</v>
      </c>
      <c r="C58" s="261" t="s">
        <v>6822</v>
      </c>
      <c r="D58" s="264" t="s">
        <v>6823</v>
      </c>
      <c r="E58" s="265" t="s">
        <v>6712</v>
      </c>
      <c r="F58" s="268" t="s">
        <v>6809</v>
      </c>
      <c r="G58" s="271" t="str">
        <f>IF(COUNTIF(H58:AU58,"&lt;&gt;")=0,"",SUMPRODUCT(((Recommendations[ImplStatus]="Implemented")+(Recommendations[ImplStatus]="Compensated"))*ISNUMBER(MATCH(Recommendations[Id],H58:AU58,0)))/COUNTIF(H58:AU58,"&lt;&gt;"))</f>
        <v/>
      </c>
      <c r="H58" s="272"/>
      <c r="I58" s="272"/>
      <c r="J58" s="272"/>
      <c r="K58" s="272"/>
      <c r="L58" s="272"/>
      <c r="M58" s="272"/>
      <c r="N58" s="272"/>
      <c r="O58" s="272"/>
      <c r="P58" s="272"/>
      <c r="Q58" s="272"/>
      <c r="R58" s="272"/>
      <c r="S58" s="272"/>
      <c r="T58" s="272"/>
      <c r="U58" s="272"/>
      <c r="V58" s="272"/>
      <c r="W58" s="272"/>
      <c r="X58" s="272"/>
      <c r="Y58" s="272"/>
      <c r="Z58" s="272"/>
      <c r="AA58" s="272"/>
      <c r="AB58" s="272"/>
      <c r="AC58" s="272"/>
      <c r="AD58" s="272"/>
      <c r="AE58" s="272"/>
      <c r="AF58" s="272"/>
      <c r="AG58" s="272"/>
      <c r="AH58" s="272"/>
      <c r="AI58" s="272"/>
      <c r="AJ58" s="272"/>
      <c r="AK58" s="272"/>
      <c r="AL58" s="272"/>
      <c r="AM58" s="272"/>
      <c r="AN58" s="272"/>
      <c r="AO58" s="272"/>
      <c r="AP58" s="272"/>
      <c r="AQ58" s="272"/>
      <c r="AR58" s="272"/>
      <c r="AS58" s="272"/>
      <c r="AT58" s="272"/>
      <c r="AU58" s="286"/>
    </row>
    <row r="59" spans="1:47" ht="60" customHeight="1" x14ac:dyDescent="0.35">
      <c r="A59" s="282" t="s">
        <v>6708</v>
      </c>
      <c r="B59" s="260" t="s">
        <v>3978</v>
      </c>
      <c r="C59" s="261" t="s">
        <v>6824</v>
      </c>
      <c r="D59" s="264" t="s">
        <v>6825</v>
      </c>
      <c r="E59" s="265" t="s">
        <v>6712</v>
      </c>
      <c r="F59" s="268" t="s">
        <v>6809</v>
      </c>
      <c r="G59" s="271" t="str">
        <f>IF(COUNTIF(H59:AU59,"&lt;&gt;")=0,"",SUMPRODUCT(((Recommendations[ImplStatus]="Implemented")+(Recommendations[ImplStatus]="Compensated"))*ISNUMBER(MATCH(Recommendations[Id],H59:AU59,0)))/COUNTIF(H59:AU59,"&lt;&gt;"))</f>
        <v/>
      </c>
      <c r="H59" s="272"/>
      <c r="I59" s="272"/>
      <c r="J59" s="272"/>
      <c r="K59" s="272"/>
      <c r="L59" s="272"/>
      <c r="M59" s="272"/>
      <c r="N59" s="272"/>
      <c r="O59" s="272"/>
      <c r="P59" s="272"/>
      <c r="Q59" s="272"/>
      <c r="R59" s="272"/>
      <c r="S59" s="272"/>
      <c r="T59" s="272"/>
      <c r="U59" s="272"/>
      <c r="V59" s="272"/>
      <c r="W59" s="272"/>
      <c r="X59" s="272"/>
      <c r="Y59" s="272"/>
      <c r="Z59" s="272"/>
      <c r="AA59" s="272"/>
      <c r="AB59" s="272"/>
      <c r="AC59" s="272"/>
      <c r="AD59" s="272"/>
      <c r="AE59" s="272"/>
      <c r="AF59" s="272"/>
      <c r="AG59" s="272"/>
      <c r="AH59" s="272"/>
      <c r="AI59" s="272"/>
      <c r="AJ59" s="272"/>
      <c r="AK59" s="272"/>
      <c r="AL59" s="272"/>
      <c r="AM59" s="272"/>
      <c r="AN59" s="272"/>
      <c r="AO59" s="272"/>
      <c r="AP59" s="272"/>
      <c r="AQ59" s="272"/>
      <c r="AR59" s="272"/>
      <c r="AS59" s="272"/>
      <c r="AT59" s="272"/>
      <c r="AU59" s="286"/>
    </row>
    <row r="60" spans="1:47" ht="60" customHeight="1" outlineLevel="2" x14ac:dyDescent="0.35">
      <c r="A60" s="281" t="s">
        <v>6708</v>
      </c>
      <c r="B60" s="259" t="s">
        <v>6826</v>
      </c>
      <c r="C60" s="259"/>
      <c r="D60" s="263"/>
      <c r="E60" s="259"/>
      <c r="F60" s="267"/>
      <c r="G60" s="270" t="str">
        <f>IF(COUNTIF(H60:AU60,"&lt;&gt;")=0,"",SUMPRODUCT(((Recommendations[ImplStatus]="Implemented")+(Recommendations[ImplStatus]="Compensated"))*ISNUMBER(MATCH(Recommendations[Id],H60:AU60,0)))/COUNTIF(H60:AU60,"&lt;&gt;"))</f>
        <v/>
      </c>
      <c r="H60" s="267"/>
      <c r="I60" s="267"/>
      <c r="J60" s="267"/>
      <c r="K60" s="267"/>
      <c r="L60" s="267"/>
      <c r="M60" s="267"/>
      <c r="N60" s="267"/>
      <c r="O60" s="267"/>
      <c r="P60" s="267"/>
      <c r="Q60" s="267"/>
      <c r="R60" s="267"/>
      <c r="S60" s="267"/>
      <c r="T60" s="267"/>
      <c r="U60" s="267"/>
      <c r="V60" s="267"/>
      <c r="W60" s="267"/>
      <c r="X60" s="267"/>
      <c r="Y60" s="267"/>
      <c r="Z60" s="267"/>
      <c r="AA60" s="267"/>
      <c r="AB60" s="267"/>
      <c r="AC60" s="267"/>
      <c r="AD60" s="267"/>
      <c r="AE60" s="267"/>
      <c r="AF60" s="267"/>
      <c r="AG60" s="267"/>
      <c r="AH60" s="267"/>
      <c r="AI60" s="267"/>
      <c r="AJ60" s="267"/>
      <c r="AK60" s="267"/>
      <c r="AL60" s="267"/>
      <c r="AM60" s="267"/>
      <c r="AN60" s="267"/>
      <c r="AO60" s="267"/>
      <c r="AP60" s="267"/>
      <c r="AQ60" s="267"/>
      <c r="AR60" s="267"/>
      <c r="AS60" s="267"/>
      <c r="AT60" s="267"/>
      <c r="AU60" s="285"/>
    </row>
    <row r="61" spans="1:47" ht="60" customHeight="1" x14ac:dyDescent="0.35">
      <c r="A61" s="282" t="s">
        <v>6708</v>
      </c>
      <c r="B61" s="260" t="s">
        <v>6826</v>
      </c>
      <c r="C61" s="261" t="s">
        <v>6827</v>
      </c>
      <c r="D61" s="264" t="s">
        <v>6828</v>
      </c>
      <c r="E61" s="265" t="s">
        <v>6712</v>
      </c>
      <c r="F61" s="268" t="s">
        <v>6829</v>
      </c>
      <c r="G61" s="271" t="str">
        <f>IF(COUNTIF(H61:AU61,"&lt;&gt;")=0,"",SUMPRODUCT(((Recommendations[ImplStatus]="Implemented")+(Recommendations[ImplStatus]="Compensated"))*ISNUMBER(MATCH(Recommendations[Id],H61:AU61,0)))/COUNTIF(H61:AU61,"&lt;&gt;"))</f>
        <v/>
      </c>
      <c r="H61" s="272"/>
      <c r="I61" s="272"/>
      <c r="J61" s="272"/>
      <c r="K61" s="272"/>
      <c r="L61" s="272"/>
      <c r="M61" s="272"/>
      <c r="N61" s="272"/>
      <c r="O61" s="272"/>
      <c r="P61" s="272"/>
      <c r="Q61" s="272"/>
      <c r="R61" s="272"/>
      <c r="S61" s="272"/>
      <c r="T61" s="272"/>
      <c r="U61" s="272"/>
      <c r="V61" s="272"/>
      <c r="W61" s="272"/>
      <c r="X61" s="272"/>
      <c r="Y61" s="272"/>
      <c r="Z61" s="272"/>
      <c r="AA61" s="272"/>
      <c r="AB61" s="272"/>
      <c r="AC61" s="272"/>
      <c r="AD61" s="272"/>
      <c r="AE61" s="272"/>
      <c r="AF61" s="272"/>
      <c r="AG61" s="272"/>
      <c r="AH61" s="272"/>
      <c r="AI61" s="272"/>
      <c r="AJ61" s="272"/>
      <c r="AK61" s="272"/>
      <c r="AL61" s="272"/>
      <c r="AM61" s="272"/>
      <c r="AN61" s="272"/>
      <c r="AO61" s="272"/>
      <c r="AP61" s="272"/>
      <c r="AQ61" s="272"/>
      <c r="AR61" s="272"/>
      <c r="AS61" s="272"/>
      <c r="AT61" s="272"/>
      <c r="AU61" s="286"/>
    </row>
    <row r="62" spans="1:47" ht="60" customHeight="1" x14ac:dyDescent="0.35">
      <c r="A62" s="282" t="s">
        <v>6708</v>
      </c>
      <c r="B62" s="260" t="s">
        <v>6826</v>
      </c>
      <c r="C62" s="261" t="s">
        <v>6830</v>
      </c>
      <c r="D62" s="264" t="s">
        <v>6831</v>
      </c>
      <c r="E62" s="265" t="s">
        <v>6712</v>
      </c>
      <c r="F62" s="268" t="s">
        <v>6829</v>
      </c>
      <c r="G62" s="271" t="str">
        <f>IF(COUNTIF(H62:AU62,"&lt;&gt;")=0,"",SUMPRODUCT(((Recommendations[ImplStatus]="Implemented")+(Recommendations[ImplStatus]="Compensated"))*ISNUMBER(MATCH(Recommendations[Id],H62:AU62,0)))/COUNTIF(H62:AU62,"&lt;&gt;"))</f>
        <v/>
      </c>
      <c r="H62" s="272"/>
      <c r="I62" s="272"/>
      <c r="J62" s="272"/>
      <c r="K62" s="272"/>
      <c r="L62" s="272"/>
      <c r="M62" s="272"/>
      <c r="N62" s="272"/>
      <c r="O62" s="272"/>
      <c r="P62" s="272"/>
      <c r="Q62" s="272"/>
      <c r="R62" s="272"/>
      <c r="S62" s="272"/>
      <c r="T62" s="272"/>
      <c r="U62" s="272"/>
      <c r="V62" s="272"/>
      <c r="W62" s="272"/>
      <c r="X62" s="272"/>
      <c r="Y62" s="272"/>
      <c r="Z62" s="272"/>
      <c r="AA62" s="272"/>
      <c r="AB62" s="272"/>
      <c r="AC62" s="272"/>
      <c r="AD62" s="272"/>
      <c r="AE62" s="272"/>
      <c r="AF62" s="272"/>
      <c r="AG62" s="272"/>
      <c r="AH62" s="272"/>
      <c r="AI62" s="272"/>
      <c r="AJ62" s="272"/>
      <c r="AK62" s="272"/>
      <c r="AL62" s="272"/>
      <c r="AM62" s="272"/>
      <c r="AN62" s="272"/>
      <c r="AO62" s="272"/>
      <c r="AP62" s="272"/>
      <c r="AQ62" s="272"/>
      <c r="AR62" s="272"/>
      <c r="AS62" s="272"/>
      <c r="AT62" s="272"/>
      <c r="AU62" s="286"/>
    </row>
    <row r="63" spans="1:47" ht="60" customHeight="1" x14ac:dyDescent="0.35">
      <c r="A63" s="282" t="s">
        <v>6708</v>
      </c>
      <c r="B63" s="260" t="s">
        <v>6826</v>
      </c>
      <c r="C63" s="261" t="s">
        <v>6832</v>
      </c>
      <c r="D63" s="264" t="s">
        <v>6833</v>
      </c>
      <c r="E63" s="265" t="s">
        <v>6712</v>
      </c>
      <c r="F63" s="268" t="s">
        <v>6829</v>
      </c>
      <c r="G63" s="271" t="str">
        <f>IF(COUNTIF(H63:AU63,"&lt;&gt;")=0,"",SUMPRODUCT(((Recommendations[ImplStatus]="Implemented")+(Recommendations[ImplStatus]="Compensated"))*ISNUMBER(MATCH(Recommendations[Id],H63:AU63,0)))/COUNTIF(H63:AU63,"&lt;&gt;"))</f>
        <v/>
      </c>
      <c r="H63" s="272"/>
      <c r="I63" s="272"/>
      <c r="J63" s="272"/>
      <c r="K63" s="272"/>
      <c r="L63" s="272"/>
      <c r="M63" s="272"/>
      <c r="N63" s="272"/>
      <c r="O63" s="272"/>
      <c r="P63" s="272"/>
      <c r="Q63" s="272"/>
      <c r="R63" s="272"/>
      <c r="S63" s="272"/>
      <c r="T63" s="272"/>
      <c r="U63" s="272"/>
      <c r="V63" s="272"/>
      <c r="W63" s="272"/>
      <c r="X63" s="272"/>
      <c r="Y63" s="272"/>
      <c r="Z63" s="272"/>
      <c r="AA63" s="272"/>
      <c r="AB63" s="272"/>
      <c r="AC63" s="272"/>
      <c r="AD63" s="272"/>
      <c r="AE63" s="272"/>
      <c r="AF63" s="272"/>
      <c r="AG63" s="272"/>
      <c r="AH63" s="272"/>
      <c r="AI63" s="272"/>
      <c r="AJ63" s="272"/>
      <c r="AK63" s="272"/>
      <c r="AL63" s="272"/>
      <c r="AM63" s="272"/>
      <c r="AN63" s="272"/>
      <c r="AO63" s="272"/>
      <c r="AP63" s="272"/>
      <c r="AQ63" s="272"/>
      <c r="AR63" s="272"/>
      <c r="AS63" s="272"/>
      <c r="AT63" s="272"/>
      <c r="AU63" s="286"/>
    </row>
    <row r="64" spans="1:47" ht="60" customHeight="1" x14ac:dyDescent="0.35">
      <c r="A64" s="282" t="s">
        <v>6708</v>
      </c>
      <c r="B64" s="260" t="s">
        <v>6826</v>
      </c>
      <c r="C64" s="261" t="s">
        <v>6834</v>
      </c>
      <c r="D64" s="264" t="s">
        <v>6835</v>
      </c>
      <c r="E64" s="265" t="s">
        <v>6712</v>
      </c>
      <c r="F64" s="268" t="s">
        <v>6829</v>
      </c>
      <c r="G64" s="271" t="str">
        <f>IF(COUNTIF(H64:AU64,"&lt;&gt;")=0,"",SUMPRODUCT(((Recommendations[ImplStatus]="Implemented")+(Recommendations[ImplStatus]="Compensated"))*ISNUMBER(MATCH(Recommendations[Id],H64:AU64,0)))/COUNTIF(H64:AU64,"&lt;&gt;"))</f>
        <v/>
      </c>
      <c r="H64" s="272"/>
      <c r="I64" s="272"/>
      <c r="J64" s="272"/>
      <c r="K64" s="272"/>
      <c r="L64" s="272"/>
      <c r="M64" s="272"/>
      <c r="N64" s="272"/>
      <c r="O64" s="272"/>
      <c r="P64" s="272"/>
      <c r="Q64" s="272"/>
      <c r="R64" s="272"/>
      <c r="S64" s="272"/>
      <c r="T64" s="272"/>
      <c r="U64" s="272"/>
      <c r="V64" s="272"/>
      <c r="W64" s="272"/>
      <c r="X64" s="272"/>
      <c r="Y64" s="272"/>
      <c r="Z64" s="272"/>
      <c r="AA64" s="272"/>
      <c r="AB64" s="272"/>
      <c r="AC64" s="272"/>
      <c r="AD64" s="272"/>
      <c r="AE64" s="272"/>
      <c r="AF64" s="272"/>
      <c r="AG64" s="272"/>
      <c r="AH64" s="272"/>
      <c r="AI64" s="272"/>
      <c r="AJ64" s="272"/>
      <c r="AK64" s="272"/>
      <c r="AL64" s="272"/>
      <c r="AM64" s="272"/>
      <c r="AN64" s="272"/>
      <c r="AO64" s="272"/>
      <c r="AP64" s="272"/>
      <c r="AQ64" s="272"/>
      <c r="AR64" s="272"/>
      <c r="AS64" s="272"/>
      <c r="AT64" s="272"/>
      <c r="AU64" s="286"/>
    </row>
    <row r="65" spans="1:47" ht="60" customHeight="1" x14ac:dyDescent="0.35">
      <c r="A65" s="282" t="s">
        <v>6708</v>
      </c>
      <c r="B65" s="260" t="s">
        <v>6826</v>
      </c>
      <c r="C65" s="261" t="s">
        <v>6836</v>
      </c>
      <c r="D65" s="264" t="s">
        <v>6837</v>
      </c>
      <c r="E65" s="265" t="s">
        <v>6712</v>
      </c>
      <c r="F65" s="268" t="s">
        <v>6829</v>
      </c>
      <c r="G65" s="271" t="str">
        <f>IF(COUNTIF(H65:AU65,"&lt;&gt;")=0,"",SUMPRODUCT(((Recommendations[ImplStatus]="Implemented")+(Recommendations[ImplStatus]="Compensated"))*ISNUMBER(MATCH(Recommendations[Id],H65:AU65,0)))/COUNTIF(H65:AU65,"&lt;&gt;"))</f>
        <v/>
      </c>
      <c r="H65" s="272"/>
      <c r="I65" s="272"/>
      <c r="J65" s="272"/>
      <c r="K65" s="272"/>
      <c r="L65" s="272"/>
      <c r="M65" s="272"/>
      <c r="N65" s="272"/>
      <c r="O65" s="272"/>
      <c r="P65" s="272"/>
      <c r="Q65" s="272"/>
      <c r="R65" s="272"/>
      <c r="S65" s="272"/>
      <c r="T65" s="272"/>
      <c r="U65" s="272"/>
      <c r="V65" s="272"/>
      <c r="W65" s="272"/>
      <c r="X65" s="272"/>
      <c r="Y65" s="272"/>
      <c r="Z65" s="272"/>
      <c r="AA65" s="272"/>
      <c r="AB65" s="272"/>
      <c r="AC65" s="272"/>
      <c r="AD65" s="272"/>
      <c r="AE65" s="272"/>
      <c r="AF65" s="272"/>
      <c r="AG65" s="272"/>
      <c r="AH65" s="272"/>
      <c r="AI65" s="272"/>
      <c r="AJ65" s="272"/>
      <c r="AK65" s="272"/>
      <c r="AL65" s="272"/>
      <c r="AM65" s="272"/>
      <c r="AN65" s="272"/>
      <c r="AO65" s="272"/>
      <c r="AP65" s="272"/>
      <c r="AQ65" s="272"/>
      <c r="AR65" s="272"/>
      <c r="AS65" s="272"/>
      <c r="AT65" s="272"/>
      <c r="AU65" s="286"/>
    </row>
    <row r="66" spans="1:47" ht="60" customHeight="1" x14ac:dyDescent="0.35">
      <c r="A66" s="282" t="s">
        <v>6708</v>
      </c>
      <c r="B66" s="260" t="s">
        <v>6826</v>
      </c>
      <c r="C66" s="261" t="s">
        <v>6838</v>
      </c>
      <c r="D66" s="264" t="s">
        <v>6839</v>
      </c>
      <c r="E66" s="265" t="s">
        <v>6712</v>
      </c>
      <c r="F66" s="268" t="s">
        <v>6829</v>
      </c>
      <c r="G66" s="271" t="str">
        <f>IF(COUNTIF(H66:AU66,"&lt;&gt;")=0,"",SUMPRODUCT(((Recommendations[ImplStatus]="Implemented")+(Recommendations[ImplStatus]="Compensated"))*ISNUMBER(MATCH(Recommendations[Id],H66:AU66,0)))/COUNTIF(H66:AU66,"&lt;&gt;"))</f>
        <v/>
      </c>
      <c r="H66" s="272"/>
      <c r="I66" s="272"/>
      <c r="J66" s="272"/>
      <c r="K66" s="272"/>
      <c r="L66" s="272"/>
      <c r="M66" s="272"/>
      <c r="N66" s="272"/>
      <c r="O66" s="272"/>
      <c r="P66" s="272"/>
      <c r="Q66" s="272"/>
      <c r="R66" s="272"/>
      <c r="S66" s="272"/>
      <c r="T66" s="272"/>
      <c r="U66" s="272"/>
      <c r="V66" s="272"/>
      <c r="W66" s="272"/>
      <c r="X66" s="272"/>
      <c r="Y66" s="272"/>
      <c r="Z66" s="272"/>
      <c r="AA66" s="272"/>
      <c r="AB66" s="272"/>
      <c r="AC66" s="272"/>
      <c r="AD66" s="272"/>
      <c r="AE66" s="272"/>
      <c r="AF66" s="272"/>
      <c r="AG66" s="272"/>
      <c r="AH66" s="272"/>
      <c r="AI66" s="272"/>
      <c r="AJ66" s="272"/>
      <c r="AK66" s="272"/>
      <c r="AL66" s="272"/>
      <c r="AM66" s="272"/>
      <c r="AN66" s="272"/>
      <c r="AO66" s="272"/>
      <c r="AP66" s="272"/>
      <c r="AQ66" s="272"/>
      <c r="AR66" s="272"/>
      <c r="AS66" s="272"/>
      <c r="AT66" s="272"/>
      <c r="AU66" s="286"/>
    </row>
    <row r="67" spans="1:47" ht="60" customHeight="1" x14ac:dyDescent="0.35">
      <c r="A67" s="282" t="s">
        <v>6708</v>
      </c>
      <c r="B67" s="260" t="s">
        <v>6826</v>
      </c>
      <c r="C67" s="261" t="s">
        <v>6840</v>
      </c>
      <c r="D67" s="264" t="s">
        <v>6841</v>
      </c>
      <c r="E67" s="265" t="s">
        <v>6712</v>
      </c>
      <c r="F67" s="268" t="s">
        <v>6829</v>
      </c>
      <c r="G67" s="271" t="str">
        <f>IF(COUNTIF(H67:AU67,"&lt;&gt;")=0,"",SUMPRODUCT(((Recommendations[ImplStatus]="Implemented")+(Recommendations[ImplStatus]="Compensated"))*ISNUMBER(MATCH(Recommendations[Id],H67:AU67,0)))/COUNTIF(H67:AU67,"&lt;&gt;"))</f>
        <v/>
      </c>
      <c r="H67" s="272"/>
      <c r="I67" s="272"/>
      <c r="J67" s="272"/>
      <c r="K67" s="272"/>
      <c r="L67" s="272"/>
      <c r="M67" s="272"/>
      <c r="N67" s="272"/>
      <c r="O67" s="272"/>
      <c r="P67" s="272"/>
      <c r="Q67" s="272"/>
      <c r="R67" s="272"/>
      <c r="S67" s="272"/>
      <c r="T67" s="272"/>
      <c r="U67" s="272"/>
      <c r="V67" s="272"/>
      <c r="W67" s="272"/>
      <c r="X67" s="272"/>
      <c r="Y67" s="272"/>
      <c r="Z67" s="272"/>
      <c r="AA67" s="272"/>
      <c r="AB67" s="272"/>
      <c r="AC67" s="272"/>
      <c r="AD67" s="272"/>
      <c r="AE67" s="272"/>
      <c r="AF67" s="272"/>
      <c r="AG67" s="272"/>
      <c r="AH67" s="272"/>
      <c r="AI67" s="272"/>
      <c r="AJ67" s="272"/>
      <c r="AK67" s="272"/>
      <c r="AL67" s="272"/>
      <c r="AM67" s="272"/>
      <c r="AN67" s="272"/>
      <c r="AO67" s="272"/>
      <c r="AP67" s="272"/>
      <c r="AQ67" s="272"/>
      <c r="AR67" s="272"/>
      <c r="AS67" s="272"/>
      <c r="AT67" s="272"/>
      <c r="AU67" s="286"/>
    </row>
    <row r="68" spans="1:47" ht="60" customHeight="1" x14ac:dyDescent="0.35">
      <c r="A68" s="282" t="s">
        <v>6708</v>
      </c>
      <c r="B68" s="260" t="s">
        <v>6826</v>
      </c>
      <c r="C68" s="261" t="s">
        <v>6842</v>
      </c>
      <c r="D68" s="264" t="s">
        <v>6843</v>
      </c>
      <c r="E68" s="265" t="s">
        <v>6712</v>
      </c>
      <c r="F68" s="268" t="s">
        <v>6844</v>
      </c>
      <c r="G68" s="271" t="str">
        <f>IF(COUNTIF(H68:AU68,"&lt;&gt;")=0,"",SUMPRODUCT(((Recommendations[ImplStatus]="Implemented")+(Recommendations[ImplStatus]="Compensated"))*ISNUMBER(MATCH(Recommendations[Id],H68:AU68,0)))/COUNTIF(H68:AU68,"&lt;&gt;"))</f>
        <v/>
      </c>
      <c r="H68" s="272"/>
      <c r="I68" s="272"/>
      <c r="J68" s="272"/>
      <c r="K68" s="272"/>
      <c r="L68" s="272"/>
      <c r="M68" s="272"/>
      <c r="N68" s="272"/>
      <c r="O68" s="272"/>
      <c r="P68" s="272"/>
      <c r="Q68" s="272"/>
      <c r="R68" s="272"/>
      <c r="S68" s="272"/>
      <c r="T68" s="272"/>
      <c r="U68" s="272"/>
      <c r="V68" s="272"/>
      <c r="W68" s="272"/>
      <c r="X68" s="272"/>
      <c r="Y68" s="272"/>
      <c r="Z68" s="272"/>
      <c r="AA68" s="272"/>
      <c r="AB68" s="272"/>
      <c r="AC68" s="272"/>
      <c r="AD68" s="272"/>
      <c r="AE68" s="272"/>
      <c r="AF68" s="272"/>
      <c r="AG68" s="272"/>
      <c r="AH68" s="272"/>
      <c r="AI68" s="272"/>
      <c r="AJ68" s="272"/>
      <c r="AK68" s="272"/>
      <c r="AL68" s="272"/>
      <c r="AM68" s="272"/>
      <c r="AN68" s="272"/>
      <c r="AO68" s="272"/>
      <c r="AP68" s="272"/>
      <c r="AQ68" s="272"/>
      <c r="AR68" s="272"/>
      <c r="AS68" s="272"/>
      <c r="AT68" s="272"/>
      <c r="AU68" s="286"/>
    </row>
    <row r="69" spans="1:47" ht="60" customHeight="1" x14ac:dyDescent="0.35">
      <c r="A69" s="282" t="s">
        <v>6708</v>
      </c>
      <c r="B69" s="260" t="s">
        <v>6826</v>
      </c>
      <c r="C69" s="261" t="s">
        <v>6845</v>
      </c>
      <c r="D69" s="264" t="s">
        <v>6846</v>
      </c>
      <c r="E69" s="265" t="s">
        <v>6712</v>
      </c>
      <c r="F69" s="268" t="s">
        <v>6844</v>
      </c>
      <c r="G69" s="271" t="str">
        <f>IF(COUNTIF(H69:AU69,"&lt;&gt;")=0,"",SUMPRODUCT(((Recommendations[ImplStatus]="Implemented")+(Recommendations[ImplStatus]="Compensated"))*ISNUMBER(MATCH(Recommendations[Id],H69:AU69,0)))/COUNTIF(H69:AU69,"&lt;&gt;"))</f>
        <v/>
      </c>
      <c r="H69" s="272"/>
      <c r="I69" s="272"/>
      <c r="J69" s="272"/>
      <c r="K69" s="272"/>
      <c r="L69" s="272"/>
      <c r="M69" s="272"/>
      <c r="N69" s="272"/>
      <c r="O69" s="272"/>
      <c r="P69" s="272"/>
      <c r="Q69" s="272"/>
      <c r="R69" s="272"/>
      <c r="S69" s="272"/>
      <c r="T69" s="272"/>
      <c r="U69" s="272"/>
      <c r="V69" s="272"/>
      <c r="W69" s="272"/>
      <c r="X69" s="272"/>
      <c r="Y69" s="272"/>
      <c r="Z69" s="272"/>
      <c r="AA69" s="272"/>
      <c r="AB69" s="272"/>
      <c r="AC69" s="272"/>
      <c r="AD69" s="272"/>
      <c r="AE69" s="272"/>
      <c r="AF69" s="272"/>
      <c r="AG69" s="272"/>
      <c r="AH69" s="272"/>
      <c r="AI69" s="272"/>
      <c r="AJ69" s="272"/>
      <c r="AK69" s="272"/>
      <c r="AL69" s="272"/>
      <c r="AM69" s="272"/>
      <c r="AN69" s="272"/>
      <c r="AO69" s="272"/>
      <c r="AP69" s="272"/>
      <c r="AQ69" s="272"/>
      <c r="AR69" s="272"/>
      <c r="AS69" s="272"/>
      <c r="AT69" s="272"/>
      <c r="AU69" s="286"/>
    </row>
    <row r="70" spans="1:47" ht="60" customHeight="1" x14ac:dyDescent="0.35">
      <c r="A70" s="282" t="s">
        <v>6708</v>
      </c>
      <c r="B70" s="260" t="s">
        <v>6826</v>
      </c>
      <c r="C70" s="261" t="s">
        <v>6847</v>
      </c>
      <c r="D70" s="264" t="s">
        <v>6848</v>
      </c>
      <c r="E70" s="265" t="s">
        <v>6712</v>
      </c>
      <c r="F70" s="268" t="s">
        <v>6844</v>
      </c>
      <c r="G70" s="271" t="str">
        <f>IF(COUNTIF(H70:AU70,"&lt;&gt;")=0,"",SUMPRODUCT(((Recommendations[ImplStatus]="Implemented")+(Recommendations[ImplStatus]="Compensated"))*ISNUMBER(MATCH(Recommendations[Id],H70:AU70,0)))/COUNTIF(H70:AU70,"&lt;&gt;"))</f>
        <v/>
      </c>
      <c r="H70" s="272"/>
      <c r="I70" s="272"/>
      <c r="J70" s="272"/>
      <c r="K70" s="272"/>
      <c r="L70" s="272"/>
      <c r="M70" s="272"/>
      <c r="N70" s="272"/>
      <c r="O70" s="272"/>
      <c r="P70" s="272"/>
      <c r="Q70" s="272"/>
      <c r="R70" s="272"/>
      <c r="S70" s="272"/>
      <c r="T70" s="272"/>
      <c r="U70" s="272"/>
      <c r="V70" s="272"/>
      <c r="W70" s="272"/>
      <c r="X70" s="272"/>
      <c r="Y70" s="272"/>
      <c r="Z70" s="272"/>
      <c r="AA70" s="272"/>
      <c r="AB70" s="272"/>
      <c r="AC70" s="272"/>
      <c r="AD70" s="272"/>
      <c r="AE70" s="272"/>
      <c r="AF70" s="272"/>
      <c r="AG70" s="272"/>
      <c r="AH70" s="272"/>
      <c r="AI70" s="272"/>
      <c r="AJ70" s="272"/>
      <c r="AK70" s="272"/>
      <c r="AL70" s="272"/>
      <c r="AM70" s="272"/>
      <c r="AN70" s="272"/>
      <c r="AO70" s="272"/>
      <c r="AP70" s="272"/>
      <c r="AQ70" s="272"/>
      <c r="AR70" s="272"/>
      <c r="AS70" s="272"/>
      <c r="AT70" s="272"/>
      <c r="AU70" s="286"/>
    </row>
    <row r="71" spans="1:47" ht="60" customHeight="1" x14ac:dyDescent="0.35">
      <c r="A71" s="282" t="s">
        <v>6708</v>
      </c>
      <c r="B71" s="260" t="s">
        <v>6826</v>
      </c>
      <c r="C71" s="261" t="s">
        <v>6849</v>
      </c>
      <c r="D71" s="264" t="s">
        <v>6850</v>
      </c>
      <c r="E71" s="265" t="s">
        <v>6712</v>
      </c>
      <c r="F71" s="268" t="s">
        <v>6851</v>
      </c>
      <c r="G71" s="271" t="str">
        <f>IF(COUNTIF(H71:AU71,"&lt;&gt;")=0,"",SUMPRODUCT(((Recommendations[ImplStatus]="Implemented")+(Recommendations[ImplStatus]="Compensated"))*ISNUMBER(MATCH(Recommendations[Id],H71:AU71,0)))/COUNTIF(H71:AU71,"&lt;&gt;"))</f>
        <v/>
      </c>
      <c r="H71" s="272"/>
      <c r="I71" s="272"/>
      <c r="J71" s="272"/>
      <c r="K71" s="272"/>
      <c r="L71" s="272"/>
      <c r="M71" s="272"/>
      <c r="N71" s="272"/>
      <c r="O71" s="272"/>
      <c r="P71" s="272"/>
      <c r="Q71" s="272"/>
      <c r="R71" s="272"/>
      <c r="S71" s="272"/>
      <c r="T71" s="272"/>
      <c r="U71" s="272"/>
      <c r="V71" s="272"/>
      <c r="W71" s="272"/>
      <c r="X71" s="272"/>
      <c r="Y71" s="272"/>
      <c r="Z71" s="272"/>
      <c r="AA71" s="272"/>
      <c r="AB71" s="272"/>
      <c r="AC71" s="272"/>
      <c r="AD71" s="272"/>
      <c r="AE71" s="272"/>
      <c r="AF71" s="272"/>
      <c r="AG71" s="272"/>
      <c r="AH71" s="272"/>
      <c r="AI71" s="272"/>
      <c r="AJ71" s="272"/>
      <c r="AK71" s="272"/>
      <c r="AL71" s="272"/>
      <c r="AM71" s="272"/>
      <c r="AN71" s="272"/>
      <c r="AO71" s="272"/>
      <c r="AP71" s="272"/>
      <c r="AQ71" s="272"/>
      <c r="AR71" s="272"/>
      <c r="AS71" s="272"/>
      <c r="AT71" s="272"/>
      <c r="AU71" s="286"/>
    </row>
    <row r="72" spans="1:47" ht="60" customHeight="1" x14ac:dyDescent="0.35">
      <c r="A72" s="282" t="s">
        <v>6708</v>
      </c>
      <c r="B72" s="260" t="s">
        <v>6826</v>
      </c>
      <c r="C72" s="261" t="s">
        <v>6852</v>
      </c>
      <c r="D72" s="264" t="s">
        <v>6853</v>
      </c>
      <c r="E72" s="265" t="s">
        <v>6712</v>
      </c>
      <c r="F72" s="268" t="s">
        <v>6829</v>
      </c>
      <c r="G72" s="271" t="str">
        <f>IF(COUNTIF(H72:AU72,"&lt;&gt;")=0,"",SUMPRODUCT(((Recommendations[ImplStatus]="Implemented")+(Recommendations[ImplStatus]="Compensated"))*ISNUMBER(MATCH(Recommendations[Id],H72:AU72,0)))/COUNTIF(H72:AU72,"&lt;&gt;"))</f>
        <v/>
      </c>
      <c r="H72" s="272"/>
      <c r="I72" s="272"/>
      <c r="J72" s="272"/>
      <c r="K72" s="272"/>
      <c r="L72" s="272"/>
      <c r="M72" s="272"/>
      <c r="N72" s="272"/>
      <c r="O72" s="272"/>
      <c r="P72" s="272"/>
      <c r="Q72" s="272"/>
      <c r="R72" s="272"/>
      <c r="S72" s="272"/>
      <c r="T72" s="272"/>
      <c r="U72" s="272"/>
      <c r="V72" s="272"/>
      <c r="W72" s="272"/>
      <c r="X72" s="272"/>
      <c r="Y72" s="272"/>
      <c r="Z72" s="272"/>
      <c r="AA72" s="272"/>
      <c r="AB72" s="272"/>
      <c r="AC72" s="272"/>
      <c r="AD72" s="272"/>
      <c r="AE72" s="272"/>
      <c r="AF72" s="272"/>
      <c r="AG72" s="272"/>
      <c r="AH72" s="272"/>
      <c r="AI72" s="272"/>
      <c r="AJ72" s="272"/>
      <c r="AK72" s="272"/>
      <c r="AL72" s="272"/>
      <c r="AM72" s="272"/>
      <c r="AN72" s="272"/>
      <c r="AO72" s="272"/>
      <c r="AP72" s="272"/>
      <c r="AQ72" s="272"/>
      <c r="AR72" s="272"/>
      <c r="AS72" s="272"/>
      <c r="AT72" s="272"/>
      <c r="AU72" s="286"/>
    </row>
    <row r="73" spans="1:47" ht="60" customHeight="1" x14ac:dyDescent="0.35">
      <c r="A73" s="282" t="s">
        <v>6708</v>
      </c>
      <c r="B73" s="260" t="s">
        <v>6826</v>
      </c>
      <c r="C73" s="261" t="s">
        <v>6854</v>
      </c>
      <c r="D73" s="264" t="s">
        <v>6855</v>
      </c>
      <c r="E73" s="265" t="s">
        <v>6856</v>
      </c>
      <c r="F73" s="268" t="s">
        <v>6829</v>
      </c>
      <c r="G73" s="271" t="str">
        <f>IF(COUNTIF(H73:AU73,"&lt;&gt;")=0,"",SUMPRODUCT(((Recommendations[ImplStatus]="Implemented")+(Recommendations[ImplStatus]="Compensated"))*ISNUMBER(MATCH(Recommendations[Id],H73:AU73,0)))/COUNTIF(H73:AU73,"&lt;&gt;"))</f>
        <v/>
      </c>
      <c r="H73" s="272"/>
      <c r="I73" s="272"/>
      <c r="J73" s="272"/>
      <c r="K73" s="272"/>
      <c r="L73" s="272"/>
      <c r="M73" s="272"/>
      <c r="N73" s="272"/>
      <c r="O73" s="272"/>
      <c r="P73" s="272"/>
      <c r="Q73" s="272"/>
      <c r="R73" s="272"/>
      <c r="S73" s="272"/>
      <c r="T73" s="272"/>
      <c r="U73" s="272"/>
      <c r="V73" s="272"/>
      <c r="W73" s="272"/>
      <c r="X73" s="272"/>
      <c r="Y73" s="272"/>
      <c r="Z73" s="272"/>
      <c r="AA73" s="272"/>
      <c r="AB73" s="272"/>
      <c r="AC73" s="272"/>
      <c r="AD73" s="272"/>
      <c r="AE73" s="272"/>
      <c r="AF73" s="272"/>
      <c r="AG73" s="272"/>
      <c r="AH73" s="272"/>
      <c r="AI73" s="272"/>
      <c r="AJ73" s="272"/>
      <c r="AK73" s="272"/>
      <c r="AL73" s="272"/>
      <c r="AM73" s="272"/>
      <c r="AN73" s="272"/>
      <c r="AO73" s="272"/>
      <c r="AP73" s="272"/>
      <c r="AQ73" s="272"/>
      <c r="AR73" s="272"/>
      <c r="AS73" s="272"/>
      <c r="AT73" s="272"/>
      <c r="AU73" s="286"/>
    </row>
    <row r="74" spans="1:47" ht="60" customHeight="1" outlineLevel="2" x14ac:dyDescent="0.35">
      <c r="A74" s="281" t="s">
        <v>6708</v>
      </c>
      <c r="B74" s="259" t="s">
        <v>6857</v>
      </c>
      <c r="C74" s="259"/>
      <c r="D74" s="263"/>
      <c r="E74" s="259"/>
      <c r="F74" s="267"/>
      <c r="G74" s="270" t="str">
        <f>IF(COUNTIF(H74:AU74,"&lt;&gt;")=0,"",SUMPRODUCT(((Recommendations[ImplStatus]="Implemented")+(Recommendations[ImplStatus]="Compensated"))*ISNUMBER(MATCH(Recommendations[Id],H74:AU74,0)))/COUNTIF(H74:AU74,"&lt;&gt;"))</f>
        <v/>
      </c>
      <c r="H74" s="267"/>
      <c r="I74" s="267"/>
      <c r="J74" s="267"/>
      <c r="K74" s="267"/>
      <c r="L74" s="267"/>
      <c r="M74" s="267"/>
      <c r="N74" s="267"/>
      <c r="O74" s="267"/>
      <c r="P74" s="267"/>
      <c r="Q74" s="267"/>
      <c r="R74" s="267"/>
      <c r="S74" s="267"/>
      <c r="T74" s="267"/>
      <c r="U74" s="267"/>
      <c r="V74" s="267"/>
      <c r="W74" s="267"/>
      <c r="X74" s="267"/>
      <c r="Y74" s="267"/>
      <c r="Z74" s="267"/>
      <c r="AA74" s="267"/>
      <c r="AB74" s="267"/>
      <c r="AC74" s="267"/>
      <c r="AD74" s="267"/>
      <c r="AE74" s="267"/>
      <c r="AF74" s="267"/>
      <c r="AG74" s="267"/>
      <c r="AH74" s="267"/>
      <c r="AI74" s="267"/>
      <c r="AJ74" s="267"/>
      <c r="AK74" s="267"/>
      <c r="AL74" s="267"/>
      <c r="AM74" s="267"/>
      <c r="AN74" s="267"/>
      <c r="AO74" s="267"/>
      <c r="AP74" s="267"/>
      <c r="AQ74" s="267"/>
      <c r="AR74" s="267"/>
      <c r="AS74" s="267"/>
      <c r="AT74" s="267"/>
      <c r="AU74" s="285"/>
    </row>
    <row r="75" spans="1:47" ht="60" customHeight="1" x14ac:dyDescent="0.35">
      <c r="A75" s="282" t="s">
        <v>6708</v>
      </c>
      <c r="B75" s="260" t="s">
        <v>6857</v>
      </c>
      <c r="C75" s="261" t="s">
        <v>6858</v>
      </c>
      <c r="D75" s="264" t="s">
        <v>6859</v>
      </c>
      <c r="E75" s="265" t="s">
        <v>6856</v>
      </c>
      <c r="F75" s="268" t="s">
        <v>6860</v>
      </c>
      <c r="G75" s="271" t="str">
        <f>IF(COUNTIF(H75:AU75,"&lt;&gt;")=0,"",SUMPRODUCT(((Recommendations[ImplStatus]="Implemented")+(Recommendations[ImplStatus]="Compensated"))*ISNUMBER(MATCH(Recommendations[Id],H75:AU75,0)))/COUNTIF(H75:AU75,"&lt;&gt;"))</f>
        <v/>
      </c>
      <c r="H75" s="272"/>
      <c r="I75" s="272"/>
      <c r="J75" s="272"/>
      <c r="K75" s="272"/>
      <c r="L75" s="272"/>
      <c r="M75" s="272"/>
      <c r="N75" s="272"/>
      <c r="O75" s="272"/>
      <c r="P75" s="272"/>
      <c r="Q75" s="272"/>
      <c r="R75" s="272"/>
      <c r="S75" s="272"/>
      <c r="T75" s="272"/>
      <c r="U75" s="272"/>
      <c r="V75" s="272"/>
      <c r="W75" s="272"/>
      <c r="X75" s="272"/>
      <c r="Y75" s="272"/>
      <c r="Z75" s="272"/>
      <c r="AA75" s="272"/>
      <c r="AB75" s="272"/>
      <c r="AC75" s="272"/>
      <c r="AD75" s="272"/>
      <c r="AE75" s="272"/>
      <c r="AF75" s="272"/>
      <c r="AG75" s="272"/>
      <c r="AH75" s="272"/>
      <c r="AI75" s="272"/>
      <c r="AJ75" s="272"/>
      <c r="AK75" s="272"/>
      <c r="AL75" s="272"/>
      <c r="AM75" s="272"/>
      <c r="AN75" s="272"/>
      <c r="AO75" s="272"/>
      <c r="AP75" s="272"/>
      <c r="AQ75" s="272"/>
      <c r="AR75" s="272"/>
      <c r="AS75" s="272"/>
      <c r="AT75" s="272"/>
      <c r="AU75" s="286"/>
    </row>
    <row r="76" spans="1:47" ht="60" customHeight="1" x14ac:dyDescent="0.35">
      <c r="A76" s="282" t="s">
        <v>6708</v>
      </c>
      <c r="B76" s="260" t="s">
        <v>6857</v>
      </c>
      <c r="C76" s="261" t="s">
        <v>6861</v>
      </c>
      <c r="D76" s="264" t="s">
        <v>6862</v>
      </c>
      <c r="E76" s="265" t="s">
        <v>6856</v>
      </c>
      <c r="F76" s="268" t="s">
        <v>6860</v>
      </c>
      <c r="G76" s="271" t="str">
        <f>IF(COUNTIF(H76:AU76,"&lt;&gt;")=0,"",SUMPRODUCT(((Recommendations[ImplStatus]="Implemented")+(Recommendations[ImplStatus]="Compensated"))*ISNUMBER(MATCH(Recommendations[Id],H76:AU76,0)))/COUNTIF(H76:AU76,"&lt;&gt;"))</f>
        <v/>
      </c>
      <c r="H76" s="272"/>
      <c r="I76" s="272"/>
      <c r="J76" s="272"/>
      <c r="K76" s="272"/>
      <c r="L76" s="272"/>
      <c r="M76" s="272"/>
      <c r="N76" s="272"/>
      <c r="O76" s="272"/>
      <c r="P76" s="272"/>
      <c r="Q76" s="272"/>
      <c r="R76" s="272"/>
      <c r="S76" s="272"/>
      <c r="T76" s="272"/>
      <c r="U76" s="272"/>
      <c r="V76" s="272"/>
      <c r="W76" s="272"/>
      <c r="X76" s="272"/>
      <c r="Y76" s="272"/>
      <c r="Z76" s="272"/>
      <c r="AA76" s="272"/>
      <c r="AB76" s="272"/>
      <c r="AC76" s="272"/>
      <c r="AD76" s="272"/>
      <c r="AE76" s="272"/>
      <c r="AF76" s="272"/>
      <c r="AG76" s="272"/>
      <c r="AH76" s="272"/>
      <c r="AI76" s="272"/>
      <c r="AJ76" s="272"/>
      <c r="AK76" s="272"/>
      <c r="AL76" s="272"/>
      <c r="AM76" s="272"/>
      <c r="AN76" s="272"/>
      <c r="AO76" s="272"/>
      <c r="AP76" s="272"/>
      <c r="AQ76" s="272"/>
      <c r="AR76" s="272"/>
      <c r="AS76" s="272"/>
      <c r="AT76" s="272"/>
      <c r="AU76" s="286"/>
    </row>
    <row r="77" spans="1:47" ht="60" customHeight="1" x14ac:dyDescent="0.35">
      <c r="A77" s="282" t="s">
        <v>6708</v>
      </c>
      <c r="B77" s="260" t="s">
        <v>6857</v>
      </c>
      <c r="C77" s="261" t="s">
        <v>6863</v>
      </c>
      <c r="D77" s="264" t="s">
        <v>6864</v>
      </c>
      <c r="E77" s="265" t="s">
        <v>6856</v>
      </c>
      <c r="F77" s="268" t="s">
        <v>6860</v>
      </c>
      <c r="G77" s="271" t="str">
        <f>IF(COUNTIF(H77:AU77,"&lt;&gt;")=0,"",SUMPRODUCT(((Recommendations[ImplStatus]="Implemented")+(Recommendations[ImplStatus]="Compensated"))*ISNUMBER(MATCH(Recommendations[Id],H77:AU77,0)))/COUNTIF(H77:AU77,"&lt;&gt;"))</f>
        <v/>
      </c>
      <c r="H77" s="272"/>
      <c r="I77" s="272"/>
      <c r="J77" s="272"/>
      <c r="K77" s="272"/>
      <c r="L77" s="272"/>
      <c r="M77" s="272"/>
      <c r="N77" s="272"/>
      <c r="O77" s="272"/>
      <c r="P77" s="272"/>
      <c r="Q77" s="272"/>
      <c r="R77" s="272"/>
      <c r="S77" s="272"/>
      <c r="T77" s="272"/>
      <c r="U77" s="272"/>
      <c r="V77" s="272"/>
      <c r="W77" s="272"/>
      <c r="X77" s="272"/>
      <c r="Y77" s="272"/>
      <c r="Z77" s="272"/>
      <c r="AA77" s="272"/>
      <c r="AB77" s="272"/>
      <c r="AC77" s="272"/>
      <c r="AD77" s="272"/>
      <c r="AE77" s="272"/>
      <c r="AF77" s="272"/>
      <c r="AG77" s="272"/>
      <c r="AH77" s="272"/>
      <c r="AI77" s="272"/>
      <c r="AJ77" s="272"/>
      <c r="AK77" s="272"/>
      <c r="AL77" s="272"/>
      <c r="AM77" s="272"/>
      <c r="AN77" s="272"/>
      <c r="AO77" s="272"/>
      <c r="AP77" s="272"/>
      <c r="AQ77" s="272"/>
      <c r="AR77" s="272"/>
      <c r="AS77" s="272"/>
      <c r="AT77" s="272"/>
      <c r="AU77" s="286"/>
    </row>
    <row r="78" spans="1:47" ht="60" customHeight="1" x14ac:dyDescent="0.35">
      <c r="A78" s="282" t="s">
        <v>6708</v>
      </c>
      <c r="B78" s="260" t="s">
        <v>6857</v>
      </c>
      <c r="C78" s="261" t="s">
        <v>6865</v>
      </c>
      <c r="D78" s="264" t="s">
        <v>6866</v>
      </c>
      <c r="E78" s="265" t="s">
        <v>6856</v>
      </c>
      <c r="F78" s="268" t="s">
        <v>6860</v>
      </c>
      <c r="G78" s="271" t="str">
        <f>IF(COUNTIF(H78:AU78,"&lt;&gt;")=0,"",SUMPRODUCT(((Recommendations[ImplStatus]="Implemented")+(Recommendations[ImplStatus]="Compensated"))*ISNUMBER(MATCH(Recommendations[Id],H78:AU78,0)))/COUNTIF(H78:AU78,"&lt;&gt;"))</f>
        <v/>
      </c>
      <c r="H78" s="272"/>
      <c r="I78" s="272"/>
      <c r="J78" s="272"/>
      <c r="K78" s="272"/>
      <c r="L78" s="272"/>
      <c r="M78" s="272"/>
      <c r="N78" s="272"/>
      <c r="O78" s="272"/>
      <c r="P78" s="272"/>
      <c r="Q78" s="272"/>
      <c r="R78" s="272"/>
      <c r="S78" s="272"/>
      <c r="T78" s="272"/>
      <c r="U78" s="272"/>
      <c r="V78" s="272"/>
      <c r="W78" s="272"/>
      <c r="X78" s="272"/>
      <c r="Y78" s="272"/>
      <c r="Z78" s="272"/>
      <c r="AA78" s="272"/>
      <c r="AB78" s="272"/>
      <c r="AC78" s="272"/>
      <c r="AD78" s="272"/>
      <c r="AE78" s="272"/>
      <c r="AF78" s="272"/>
      <c r="AG78" s="272"/>
      <c r="AH78" s="272"/>
      <c r="AI78" s="272"/>
      <c r="AJ78" s="272"/>
      <c r="AK78" s="272"/>
      <c r="AL78" s="272"/>
      <c r="AM78" s="272"/>
      <c r="AN78" s="272"/>
      <c r="AO78" s="272"/>
      <c r="AP78" s="272"/>
      <c r="AQ78" s="272"/>
      <c r="AR78" s="272"/>
      <c r="AS78" s="272"/>
      <c r="AT78" s="272"/>
      <c r="AU78" s="286"/>
    </row>
    <row r="79" spans="1:47" ht="60" customHeight="1" x14ac:dyDescent="0.35">
      <c r="A79" s="282" t="s">
        <v>6708</v>
      </c>
      <c r="B79" s="260" t="s">
        <v>6857</v>
      </c>
      <c r="C79" s="261" t="s">
        <v>6867</v>
      </c>
      <c r="D79" s="264" t="s">
        <v>6868</v>
      </c>
      <c r="E79" s="265" t="s">
        <v>6856</v>
      </c>
      <c r="F79" s="268" t="s">
        <v>6860</v>
      </c>
      <c r="G79" s="271" t="str">
        <f>IF(COUNTIF(H79:AU79,"&lt;&gt;")=0,"",SUMPRODUCT(((Recommendations[ImplStatus]="Implemented")+(Recommendations[ImplStatus]="Compensated"))*ISNUMBER(MATCH(Recommendations[Id],H79:AU79,0)))/COUNTIF(H79:AU79,"&lt;&gt;"))</f>
        <v/>
      </c>
      <c r="H79" s="272"/>
      <c r="I79" s="272"/>
      <c r="J79" s="272"/>
      <c r="K79" s="272"/>
      <c r="L79" s="272"/>
      <c r="M79" s="272"/>
      <c r="N79" s="272"/>
      <c r="O79" s="272"/>
      <c r="P79" s="272"/>
      <c r="Q79" s="272"/>
      <c r="R79" s="272"/>
      <c r="S79" s="272"/>
      <c r="T79" s="272"/>
      <c r="U79" s="272"/>
      <c r="V79" s="272"/>
      <c r="W79" s="272"/>
      <c r="X79" s="272"/>
      <c r="Y79" s="272"/>
      <c r="Z79" s="272"/>
      <c r="AA79" s="272"/>
      <c r="AB79" s="272"/>
      <c r="AC79" s="272"/>
      <c r="AD79" s="272"/>
      <c r="AE79" s="272"/>
      <c r="AF79" s="272"/>
      <c r="AG79" s="272"/>
      <c r="AH79" s="272"/>
      <c r="AI79" s="272"/>
      <c r="AJ79" s="272"/>
      <c r="AK79" s="272"/>
      <c r="AL79" s="272"/>
      <c r="AM79" s="272"/>
      <c r="AN79" s="272"/>
      <c r="AO79" s="272"/>
      <c r="AP79" s="272"/>
      <c r="AQ79" s="272"/>
      <c r="AR79" s="272"/>
      <c r="AS79" s="272"/>
      <c r="AT79" s="272"/>
      <c r="AU79" s="286"/>
    </row>
    <row r="80" spans="1:47" ht="60" customHeight="1" x14ac:dyDescent="0.35">
      <c r="A80" s="282" t="s">
        <v>6708</v>
      </c>
      <c r="B80" s="260" t="s">
        <v>6857</v>
      </c>
      <c r="C80" s="261" t="s">
        <v>6869</v>
      </c>
      <c r="D80" s="264" t="s">
        <v>6870</v>
      </c>
      <c r="E80" s="265" t="s">
        <v>6856</v>
      </c>
      <c r="F80" s="268" t="s">
        <v>6860</v>
      </c>
      <c r="G80" s="271" t="str">
        <f>IF(COUNTIF(H80:AU80,"&lt;&gt;")=0,"",SUMPRODUCT(((Recommendations[ImplStatus]="Implemented")+(Recommendations[ImplStatus]="Compensated"))*ISNUMBER(MATCH(Recommendations[Id],H80:AU80,0)))/COUNTIF(H80:AU80,"&lt;&gt;"))</f>
        <v/>
      </c>
      <c r="H80" s="272"/>
      <c r="I80" s="272"/>
      <c r="J80" s="272"/>
      <c r="K80" s="272"/>
      <c r="L80" s="272"/>
      <c r="M80" s="272"/>
      <c r="N80" s="272"/>
      <c r="O80" s="272"/>
      <c r="P80" s="272"/>
      <c r="Q80" s="272"/>
      <c r="R80" s="272"/>
      <c r="S80" s="272"/>
      <c r="T80" s="272"/>
      <c r="U80" s="272"/>
      <c r="V80" s="272"/>
      <c r="W80" s="272"/>
      <c r="X80" s="272"/>
      <c r="Y80" s="272"/>
      <c r="Z80" s="272"/>
      <c r="AA80" s="272"/>
      <c r="AB80" s="272"/>
      <c r="AC80" s="272"/>
      <c r="AD80" s="272"/>
      <c r="AE80" s="272"/>
      <c r="AF80" s="272"/>
      <c r="AG80" s="272"/>
      <c r="AH80" s="272"/>
      <c r="AI80" s="272"/>
      <c r="AJ80" s="272"/>
      <c r="AK80" s="272"/>
      <c r="AL80" s="272"/>
      <c r="AM80" s="272"/>
      <c r="AN80" s="272"/>
      <c r="AO80" s="272"/>
      <c r="AP80" s="272"/>
      <c r="AQ80" s="272"/>
      <c r="AR80" s="272"/>
      <c r="AS80" s="272"/>
      <c r="AT80" s="272"/>
      <c r="AU80" s="286"/>
    </row>
    <row r="81" spans="1:47" ht="60" customHeight="1" x14ac:dyDescent="0.35">
      <c r="A81" s="282" t="s">
        <v>6708</v>
      </c>
      <c r="B81" s="260" t="s">
        <v>6857</v>
      </c>
      <c r="C81" s="261" t="s">
        <v>6871</v>
      </c>
      <c r="D81" s="264" t="s">
        <v>6872</v>
      </c>
      <c r="E81" s="265" t="s">
        <v>6856</v>
      </c>
      <c r="F81" s="268" t="s">
        <v>6860</v>
      </c>
      <c r="G81" s="271" t="str">
        <f>IF(COUNTIF(H81:AU81,"&lt;&gt;")=0,"",SUMPRODUCT(((Recommendations[ImplStatus]="Implemented")+(Recommendations[ImplStatus]="Compensated"))*ISNUMBER(MATCH(Recommendations[Id],H81:AU81,0)))/COUNTIF(H81:AU81,"&lt;&gt;"))</f>
        <v/>
      </c>
      <c r="H81" s="272"/>
      <c r="I81" s="272"/>
      <c r="J81" s="272"/>
      <c r="K81" s="272"/>
      <c r="L81" s="272"/>
      <c r="M81" s="272"/>
      <c r="N81" s="272"/>
      <c r="O81" s="272"/>
      <c r="P81" s="272"/>
      <c r="Q81" s="272"/>
      <c r="R81" s="272"/>
      <c r="S81" s="272"/>
      <c r="T81" s="272"/>
      <c r="U81" s="272"/>
      <c r="V81" s="272"/>
      <c r="W81" s="272"/>
      <c r="X81" s="272"/>
      <c r="Y81" s="272"/>
      <c r="Z81" s="272"/>
      <c r="AA81" s="272"/>
      <c r="AB81" s="272"/>
      <c r="AC81" s="272"/>
      <c r="AD81" s="272"/>
      <c r="AE81" s="272"/>
      <c r="AF81" s="272"/>
      <c r="AG81" s="272"/>
      <c r="AH81" s="272"/>
      <c r="AI81" s="272"/>
      <c r="AJ81" s="272"/>
      <c r="AK81" s="272"/>
      <c r="AL81" s="272"/>
      <c r="AM81" s="272"/>
      <c r="AN81" s="272"/>
      <c r="AO81" s="272"/>
      <c r="AP81" s="272"/>
      <c r="AQ81" s="272"/>
      <c r="AR81" s="272"/>
      <c r="AS81" s="272"/>
      <c r="AT81" s="272"/>
      <c r="AU81" s="286"/>
    </row>
    <row r="82" spans="1:47" ht="60" customHeight="1" x14ac:dyDescent="0.35">
      <c r="A82" s="282" t="s">
        <v>6708</v>
      </c>
      <c r="B82" s="260" t="s">
        <v>6857</v>
      </c>
      <c r="C82" s="261" t="s">
        <v>6873</v>
      </c>
      <c r="D82" s="264" t="s">
        <v>6874</v>
      </c>
      <c r="E82" s="265" t="s">
        <v>6856</v>
      </c>
      <c r="F82" s="268" t="s">
        <v>6860</v>
      </c>
      <c r="G82" s="271" t="str">
        <f>IF(COUNTIF(H82:AU82,"&lt;&gt;")=0,"",SUMPRODUCT(((Recommendations[ImplStatus]="Implemented")+(Recommendations[ImplStatus]="Compensated"))*ISNUMBER(MATCH(Recommendations[Id],H82:AU82,0)))/COUNTIF(H82:AU82,"&lt;&gt;"))</f>
        <v/>
      </c>
      <c r="H82" s="272"/>
      <c r="I82" s="272"/>
      <c r="J82" s="272"/>
      <c r="K82" s="272"/>
      <c r="L82" s="272"/>
      <c r="M82" s="272"/>
      <c r="N82" s="272"/>
      <c r="O82" s="272"/>
      <c r="P82" s="272"/>
      <c r="Q82" s="272"/>
      <c r="R82" s="272"/>
      <c r="S82" s="272"/>
      <c r="T82" s="272"/>
      <c r="U82" s="272"/>
      <c r="V82" s="272"/>
      <c r="W82" s="272"/>
      <c r="X82" s="272"/>
      <c r="Y82" s="272"/>
      <c r="Z82" s="272"/>
      <c r="AA82" s="272"/>
      <c r="AB82" s="272"/>
      <c r="AC82" s="272"/>
      <c r="AD82" s="272"/>
      <c r="AE82" s="272"/>
      <c r="AF82" s="272"/>
      <c r="AG82" s="272"/>
      <c r="AH82" s="272"/>
      <c r="AI82" s="272"/>
      <c r="AJ82" s="272"/>
      <c r="AK82" s="272"/>
      <c r="AL82" s="272"/>
      <c r="AM82" s="272"/>
      <c r="AN82" s="272"/>
      <c r="AO82" s="272"/>
      <c r="AP82" s="272"/>
      <c r="AQ82" s="272"/>
      <c r="AR82" s="272"/>
      <c r="AS82" s="272"/>
      <c r="AT82" s="272"/>
      <c r="AU82" s="286"/>
    </row>
    <row r="83" spans="1:47" ht="60" customHeight="1" x14ac:dyDescent="0.35">
      <c r="A83" s="282" t="s">
        <v>6708</v>
      </c>
      <c r="B83" s="260" t="s">
        <v>6857</v>
      </c>
      <c r="C83" s="261" t="s">
        <v>6875</v>
      </c>
      <c r="D83" s="264" t="s">
        <v>6876</v>
      </c>
      <c r="E83" s="265" t="s">
        <v>6856</v>
      </c>
      <c r="F83" s="268" t="s">
        <v>6860</v>
      </c>
      <c r="G83" s="271" t="str">
        <f>IF(COUNTIF(H83:AU83,"&lt;&gt;")=0,"",SUMPRODUCT(((Recommendations[ImplStatus]="Implemented")+(Recommendations[ImplStatus]="Compensated"))*ISNUMBER(MATCH(Recommendations[Id],H83:AU83,0)))/COUNTIF(H83:AU83,"&lt;&gt;"))</f>
        <v/>
      </c>
      <c r="H83" s="272"/>
      <c r="I83" s="272"/>
      <c r="J83" s="272"/>
      <c r="K83" s="272"/>
      <c r="L83" s="272"/>
      <c r="M83" s="272"/>
      <c r="N83" s="272"/>
      <c r="O83" s="272"/>
      <c r="P83" s="272"/>
      <c r="Q83" s="272"/>
      <c r="R83" s="272"/>
      <c r="S83" s="272"/>
      <c r="T83" s="272"/>
      <c r="U83" s="272"/>
      <c r="V83" s="272"/>
      <c r="W83" s="272"/>
      <c r="X83" s="272"/>
      <c r="Y83" s="272"/>
      <c r="Z83" s="272"/>
      <c r="AA83" s="272"/>
      <c r="AB83" s="272"/>
      <c r="AC83" s="272"/>
      <c r="AD83" s="272"/>
      <c r="AE83" s="272"/>
      <c r="AF83" s="272"/>
      <c r="AG83" s="272"/>
      <c r="AH83" s="272"/>
      <c r="AI83" s="272"/>
      <c r="AJ83" s="272"/>
      <c r="AK83" s="272"/>
      <c r="AL83" s="272"/>
      <c r="AM83" s="272"/>
      <c r="AN83" s="272"/>
      <c r="AO83" s="272"/>
      <c r="AP83" s="272"/>
      <c r="AQ83" s="272"/>
      <c r="AR83" s="272"/>
      <c r="AS83" s="272"/>
      <c r="AT83" s="272"/>
      <c r="AU83" s="286"/>
    </row>
    <row r="84" spans="1:47" ht="60" customHeight="1" x14ac:dyDescent="0.35">
      <c r="A84" s="282" t="s">
        <v>6708</v>
      </c>
      <c r="B84" s="260" t="s">
        <v>6857</v>
      </c>
      <c r="C84" s="261" t="s">
        <v>6877</v>
      </c>
      <c r="D84" s="264" t="s">
        <v>6878</v>
      </c>
      <c r="E84" s="265" t="s">
        <v>6856</v>
      </c>
      <c r="F84" s="268" t="s">
        <v>6860</v>
      </c>
      <c r="G84" s="271" t="str">
        <f>IF(COUNTIF(H84:AU84,"&lt;&gt;")=0,"",SUMPRODUCT(((Recommendations[ImplStatus]="Implemented")+(Recommendations[ImplStatus]="Compensated"))*ISNUMBER(MATCH(Recommendations[Id],H84:AU84,0)))/COUNTIF(H84:AU84,"&lt;&gt;"))</f>
        <v/>
      </c>
      <c r="H84" s="272"/>
      <c r="I84" s="272"/>
      <c r="J84" s="272"/>
      <c r="K84" s="272"/>
      <c r="L84" s="272"/>
      <c r="M84" s="272"/>
      <c r="N84" s="272"/>
      <c r="O84" s="272"/>
      <c r="P84" s="272"/>
      <c r="Q84" s="272"/>
      <c r="R84" s="272"/>
      <c r="S84" s="272"/>
      <c r="T84" s="272"/>
      <c r="U84" s="272"/>
      <c r="V84" s="272"/>
      <c r="W84" s="272"/>
      <c r="X84" s="272"/>
      <c r="Y84" s="272"/>
      <c r="Z84" s="272"/>
      <c r="AA84" s="272"/>
      <c r="AB84" s="272"/>
      <c r="AC84" s="272"/>
      <c r="AD84" s="272"/>
      <c r="AE84" s="272"/>
      <c r="AF84" s="272"/>
      <c r="AG84" s="272"/>
      <c r="AH84" s="272"/>
      <c r="AI84" s="272"/>
      <c r="AJ84" s="272"/>
      <c r="AK84" s="272"/>
      <c r="AL84" s="272"/>
      <c r="AM84" s="272"/>
      <c r="AN84" s="272"/>
      <c r="AO84" s="272"/>
      <c r="AP84" s="272"/>
      <c r="AQ84" s="272"/>
      <c r="AR84" s="272"/>
      <c r="AS84" s="272"/>
      <c r="AT84" s="272"/>
      <c r="AU84" s="286"/>
    </row>
    <row r="85" spans="1:47" ht="60" customHeight="1" x14ac:dyDescent="0.35">
      <c r="A85" s="282" t="s">
        <v>6708</v>
      </c>
      <c r="B85" s="260" t="s">
        <v>6857</v>
      </c>
      <c r="C85" s="261" t="s">
        <v>6879</v>
      </c>
      <c r="D85" s="264" t="s">
        <v>6880</v>
      </c>
      <c r="E85" s="265" t="s">
        <v>6856</v>
      </c>
      <c r="F85" s="268" t="s">
        <v>6860</v>
      </c>
      <c r="G85" s="271" t="str">
        <f>IF(COUNTIF(H85:AU85,"&lt;&gt;")=0,"",SUMPRODUCT(((Recommendations[ImplStatus]="Implemented")+(Recommendations[ImplStatus]="Compensated"))*ISNUMBER(MATCH(Recommendations[Id],H85:AU85,0)))/COUNTIF(H85:AU85,"&lt;&gt;"))</f>
        <v/>
      </c>
      <c r="H85" s="272"/>
      <c r="I85" s="272"/>
      <c r="J85" s="272"/>
      <c r="K85" s="272"/>
      <c r="L85" s="272"/>
      <c r="M85" s="272"/>
      <c r="N85" s="272"/>
      <c r="O85" s="272"/>
      <c r="P85" s="272"/>
      <c r="Q85" s="272"/>
      <c r="R85" s="272"/>
      <c r="S85" s="272"/>
      <c r="T85" s="272"/>
      <c r="U85" s="272"/>
      <c r="V85" s="272"/>
      <c r="W85" s="272"/>
      <c r="X85" s="272"/>
      <c r="Y85" s="272"/>
      <c r="Z85" s="272"/>
      <c r="AA85" s="272"/>
      <c r="AB85" s="272"/>
      <c r="AC85" s="272"/>
      <c r="AD85" s="272"/>
      <c r="AE85" s="272"/>
      <c r="AF85" s="272"/>
      <c r="AG85" s="272"/>
      <c r="AH85" s="272"/>
      <c r="AI85" s="272"/>
      <c r="AJ85" s="272"/>
      <c r="AK85" s="272"/>
      <c r="AL85" s="272"/>
      <c r="AM85" s="272"/>
      <c r="AN85" s="272"/>
      <c r="AO85" s="272"/>
      <c r="AP85" s="272"/>
      <c r="AQ85" s="272"/>
      <c r="AR85" s="272"/>
      <c r="AS85" s="272"/>
      <c r="AT85" s="272"/>
      <c r="AU85" s="286"/>
    </row>
    <row r="86" spans="1:47" ht="60" customHeight="1" x14ac:dyDescent="0.35">
      <c r="A86" s="282" t="s">
        <v>6708</v>
      </c>
      <c r="B86" s="260" t="s">
        <v>6857</v>
      </c>
      <c r="C86" s="261" t="s">
        <v>6881</v>
      </c>
      <c r="D86" s="264" t="s">
        <v>6882</v>
      </c>
      <c r="E86" s="265" t="s">
        <v>6856</v>
      </c>
      <c r="F86" s="268" t="s">
        <v>6860</v>
      </c>
      <c r="G86" s="271" t="str">
        <f>IF(COUNTIF(H86:AU86,"&lt;&gt;")=0,"",SUMPRODUCT(((Recommendations[ImplStatus]="Implemented")+(Recommendations[ImplStatus]="Compensated"))*ISNUMBER(MATCH(Recommendations[Id],H86:AU86,0)))/COUNTIF(H86:AU86,"&lt;&gt;"))</f>
        <v/>
      </c>
      <c r="H86" s="272"/>
      <c r="I86" s="272"/>
      <c r="J86" s="272"/>
      <c r="K86" s="272"/>
      <c r="L86" s="272"/>
      <c r="M86" s="272"/>
      <c r="N86" s="272"/>
      <c r="O86" s="272"/>
      <c r="P86" s="272"/>
      <c r="Q86" s="272"/>
      <c r="R86" s="272"/>
      <c r="S86" s="272"/>
      <c r="T86" s="272"/>
      <c r="U86" s="272"/>
      <c r="V86" s="272"/>
      <c r="W86" s="272"/>
      <c r="X86" s="272"/>
      <c r="Y86" s="272"/>
      <c r="Z86" s="272"/>
      <c r="AA86" s="272"/>
      <c r="AB86" s="272"/>
      <c r="AC86" s="272"/>
      <c r="AD86" s="272"/>
      <c r="AE86" s="272"/>
      <c r="AF86" s="272"/>
      <c r="AG86" s="272"/>
      <c r="AH86" s="272"/>
      <c r="AI86" s="272"/>
      <c r="AJ86" s="272"/>
      <c r="AK86" s="272"/>
      <c r="AL86" s="272"/>
      <c r="AM86" s="272"/>
      <c r="AN86" s="272"/>
      <c r="AO86" s="272"/>
      <c r="AP86" s="272"/>
      <c r="AQ86" s="272"/>
      <c r="AR86" s="272"/>
      <c r="AS86" s="272"/>
      <c r="AT86" s="272"/>
      <c r="AU86" s="286"/>
    </row>
    <row r="87" spans="1:47" ht="60" customHeight="1" x14ac:dyDescent="0.35">
      <c r="A87" s="282" t="s">
        <v>6708</v>
      </c>
      <c r="B87" s="260" t="s">
        <v>6857</v>
      </c>
      <c r="C87" s="261" t="s">
        <v>6883</v>
      </c>
      <c r="D87" s="264" t="s">
        <v>6884</v>
      </c>
      <c r="E87" s="265" t="s">
        <v>6856</v>
      </c>
      <c r="F87" s="268" t="s">
        <v>6860</v>
      </c>
      <c r="G87" s="271" t="str">
        <f>IF(COUNTIF(H87:AU87,"&lt;&gt;")=0,"",SUMPRODUCT(((Recommendations[ImplStatus]="Implemented")+(Recommendations[ImplStatus]="Compensated"))*ISNUMBER(MATCH(Recommendations[Id],H87:AU87,0)))/COUNTIF(H87:AU87,"&lt;&gt;"))</f>
        <v/>
      </c>
      <c r="H87" s="272"/>
      <c r="I87" s="272"/>
      <c r="J87" s="272"/>
      <c r="K87" s="272"/>
      <c r="L87" s="272"/>
      <c r="M87" s="272"/>
      <c r="N87" s="272"/>
      <c r="O87" s="272"/>
      <c r="P87" s="272"/>
      <c r="Q87" s="272"/>
      <c r="R87" s="272"/>
      <c r="S87" s="272"/>
      <c r="T87" s="272"/>
      <c r="U87" s="272"/>
      <c r="V87" s="272"/>
      <c r="W87" s="272"/>
      <c r="X87" s="272"/>
      <c r="Y87" s="272"/>
      <c r="Z87" s="272"/>
      <c r="AA87" s="272"/>
      <c r="AB87" s="272"/>
      <c r="AC87" s="272"/>
      <c r="AD87" s="272"/>
      <c r="AE87" s="272"/>
      <c r="AF87" s="272"/>
      <c r="AG87" s="272"/>
      <c r="AH87" s="272"/>
      <c r="AI87" s="272"/>
      <c r="AJ87" s="272"/>
      <c r="AK87" s="272"/>
      <c r="AL87" s="272"/>
      <c r="AM87" s="272"/>
      <c r="AN87" s="272"/>
      <c r="AO87" s="272"/>
      <c r="AP87" s="272"/>
      <c r="AQ87" s="272"/>
      <c r="AR87" s="272"/>
      <c r="AS87" s="272"/>
      <c r="AT87" s="272"/>
      <c r="AU87" s="286"/>
    </row>
    <row r="88" spans="1:47" ht="60" customHeight="1" x14ac:dyDescent="0.35">
      <c r="A88" s="282" t="s">
        <v>6708</v>
      </c>
      <c r="B88" s="260" t="s">
        <v>6857</v>
      </c>
      <c r="C88" s="261" t="s">
        <v>6885</v>
      </c>
      <c r="D88" s="264" t="s">
        <v>6886</v>
      </c>
      <c r="E88" s="265" t="s">
        <v>6856</v>
      </c>
      <c r="F88" s="268" t="s">
        <v>6844</v>
      </c>
      <c r="G88" s="271" t="str">
        <f>IF(COUNTIF(H88:AU88,"&lt;&gt;")=0,"",SUMPRODUCT(((Recommendations[ImplStatus]="Implemented")+(Recommendations[ImplStatus]="Compensated"))*ISNUMBER(MATCH(Recommendations[Id],H88:AU88,0)))/COUNTIF(H88:AU88,"&lt;&gt;"))</f>
        <v/>
      </c>
      <c r="H88" s="272"/>
      <c r="I88" s="272"/>
      <c r="J88" s="272"/>
      <c r="K88" s="272"/>
      <c r="L88" s="272"/>
      <c r="M88" s="272"/>
      <c r="N88" s="272"/>
      <c r="O88" s="272"/>
      <c r="P88" s="272"/>
      <c r="Q88" s="272"/>
      <c r="R88" s="272"/>
      <c r="S88" s="272"/>
      <c r="T88" s="272"/>
      <c r="U88" s="272"/>
      <c r="V88" s="272"/>
      <c r="W88" s="272"/>
      <c r="X88" s="272"/>
      <c r="Y88" s="272"/>
      <c r="Z88" s="272"/>
      <c r="AA88" s="272"/>
      <c r="AB88" s="272"/>
      <c r="AC88" s="272"/>
      <c r="AD88" s="272"/>
      <c r="AE88" s="272"/>
      <c r="AF88" s="272"/>
      <c r="AG88" s="272"/>
      <c r="AH88" s="272"/>
      <c r="AI88" s="272"/>
      <c r="AJ88" s="272"/>
      <c r="AK88" s="272"/>
      <c r="AL88" s="272"/>
      <c r="AM88" s="272"/>
      <c r="AN88" s="272"/>
      <c r="AO88" s="272"/>
      <c r="AP88" s="272"/>
      <c r="AQ88" s="272"/>
      <c r="AR88" s="272"/>
      <c r="AS88" s="272"/>
      <c r="AT88" s="272"/>
      <c r="AU88" s="286"/>
    </row>
    <row r="89" spans="1:47" ht="60" customHeight="1" x14ac:dyDescent="0.35">
      <c r="A89" s="282" t="s">
        <v>6708</v>
      </c>
      <c r="B89" s="260" t="s">
        <v>6857</v>
      </c>
      <c r="C89" s="261" t="s">
        <v>6887</v>
      </c>
      <c r="D89" s="264" t="s">
        <v>6888</v>
      </c>
      <c r="E89" s="265" t="s">
        <v>6856</v>
      </c>
      <c r="F89" s="268" t="s">
        <v>6844</v>
      </c>
      <c r="G89" s="271" t="str">
        <f>IF(COUNTIF(H89:AU89,"&lt;&gt;")=0,"",SUMPRODUCT(((Recommendations[ImplStatus]="Implemented")+(Recommendations[ImplStatus]="Compensated"))*ISNUMBER(MATCH(Recommendations[Id],H89:AU89,0)))/COUNTIF(H89:AU89,"&lt;&gt;"))</f>
        <v/>
      </c>
      <c r="H89" s="272"/>
      <c r="I89" s="272"/>
      <c r="J89" s="272"/>
      <c r="K89" s="272"/>
      <c r="L89" s="272"/>
      <c r="M89" s="272"/>
      <c r="N89" s="272"/>
      <c r="O89" s="272"/>
      <c r="P89" s="272"/>
      <c r="Q89" s="272"/>
      <c r="R89" s="272"/>
      <c r="S89" s="272"/>
      <c r="T89" s="272"/>
      <c r="U89" s="272"/>
      <c r="V89" s="272"/>
      <c r="W89" s="272"/>
      <c r="X89" s="272"/>
      <c r="Y89" s="272"/>
      <c r="Z89" s="272"/>
      <c r="AA89" s="272"/>
      <c r="AB89" s="272"/>
      <c r="AC89" s="272"/>
      <c r="AD89" s="272"/>
      <c r="AE89" s="272"/>
      <c r="AF89" s="272"/>
      <c r="AG89" s="272"/>
      <c r="AH89" s="272"/>
      <c r="AI89" s="272"/>
      <c r="AJ89" s="272"/>
      <c r="AK89" s="272"/>
      <c r="AL89" s="272"/>
      <c r="AM89" s="272"/>
      <c r="AN89" s="272"/>
      <c r="AO89" s="272"/>
      <c r="AP89" s="272"/>
      <c r="AQ89" s="272"/>
      <c r="AR89" s="272"/>
      <c r="AS89" s="272"/>
      <c r="AT89" s="272"/>
      <c r="AU89" s="286"/>
    </row>
    <row r="90" spans="1:47" ht="60" customHeight="1" x14ac:dyDescent="0.35">
      <c r="A90" s="282" t="s">
        <v>6708</v>
      </c>
      <c r="B90" s="260" t="s">
        <v>6857</v>
      </c>
      <c r="C90" s="261" t="s">
        <v>6889</v>
      </c>
      <c r="D90" s="264" t="s">
        <v>6890</v>
      </c>
      <c r="E90" s="265" t="s">
        <v>6856</v>
      </c>
      <c r="F90" s="268" t="s">
        <v>6844</v>
      </c>
      <c r="G90" s="271" t="str">
        <f>IF(COUNTIF(H90:AU90,"&lt;&gt;")=0,"",SUMPRODUCT(((Recommendations[ImplStatus]="Implemented")+(Recommendations[ImplStatus]="Compensated"))*ISNUMBER(MATCH(Recommendations[Id],H90:AU90,0)))/COUNTIF(H90:AU90,"&lt;&gt;"))</f>
        <v/>
      </c>
      <c r="H90" s="272"/>
      <c r="I90" s="272"/>
      <c r="J90" s="272"/>
      <c r="K90" s="272"/>
      <c r="L90" s="272"/>
      <c r="M90" s="272"/>
      <c r="N90" s="272"/>
      <c r="O90" s="272"/>
      <c r="P90" s="272"/>
      <c r="Q90" s="272"/>
      <c r="R90" s="272"/>
      <c r="S90" s="272"/>
      <c r="T90" s="272"/>
      <c r="U90" s="272"/>
      <c r="V90" s="272"/>
      <c r="W90" s="272"/>
      <c r="X90" s="272"/>
      <c r="Y90" s="272"/>
      <c r="Z90" s="272"/>
      <c r="AA90" s="272"/>
      <c r="AB90" s="272"/>
      <c r="AC90" s="272"/>
      <c r="AD90" s="272"/>
      <c r="AE90" s="272"/>
      <c r="AF90" s="272"/>
      <c r="AG90" s="272"/>
      <c r="AH90" s="272"/>
      <c r="AI90" s="272"/>
      <c r="AJ90" s="272"/>
      <c r="AK90" s="272"/>
      <c r="AL90" s="272"/>
      <c r="AM90" s="272"/>
      <c r="AN90" s="272"/>
      <c r="AO90" s="272"/>
      <c r="AP90" s="272"/>
      <c r="AQ90" s="272"/>
      <c r="AR90" s="272"/>
      <c r="AS90" s="272"/>
      <c r="AT90" s="272"/>
      <c r="AU90" s="286"/>
    </row>
    <row r="91" spans="1:47" ht="60" customHeight="1" outlineLevel="2" x14ac:dyDescent="0.35">
      <c r="A91" s="281" t="s">
        <v>6708</v>
      </c>
      <c r="B91" s="259" t="s">
        <v>6891</v>
      </c>
      <c r="C91" s="259"/>
      <c r="D91" s="263"/>
      <c r="E91" s="259"/>
      <c r="F91" s="267"/>
      <c r="G91" s="270" t="str">
        <f>IF(COUNTIF(H91:AU91,"&lt;&gt;")=0,"",SUMPRODUCT(((Recommendations[ImplStatus]="Implemented")+(Recommendations[ImplStatus]="Compensated"))*ISNUMBER(MATCH(Recommendations[Id],H91:AU91,0)))/COUNTIF(H91:AU91,"&lt;&gt;"))</f>
        <v/>
      </c>
      <c r="H91" s="267"/>
      <c r="I91" s="267"/>
      <c r="J91" s="267"/>
      <c r="K91" s="267"/>
      <c r="L91" s="267"/>
      <c r="M91" s="267"/>
      <c r="N91" s="267"/>
      <c r="O91" s="267"/>
      <c r="P91" s="267"/>
      <c r="Q91" s="267"/>
      <c r="R91" s="267"/>
      <c r="S91" s="267"/>
      <c r="T91" s="267"/>
      <c r="U91" s="267"/>
      <c r="V91" s="267"/>
      <c r="W91" s="267"/>
      <c r="X91" s="267"/>
      <c r="Y91" s="267"/>
      <c r="Z91" s="267"/>
      <c r="AA91" s="267"/>
      <c r="AB91" s="267"/>
      <c r="AC91" s="267"/>
      <c r="AD91" s="267"/>
      <c r="AE91" s="267"/>
      <c r="AF91" s="267"/>
      <c r="AG91" s="267"/>
      <c r="AH91" s="267"/>
      <c r="AI91" s="267"/>
      <c r="AJ91" s="267"/>
      <c r="AK91" s="267"/>
      <c r="AL91" s="267"/>
      <c r="AM91" s="267"/>
      <c r="AN91" s="267"/>
      <c r="AO91" s="267"/>
      <c r="AP91" s="267"/>
      <c r="AQ91" s="267"/>
      <c r="AR91" s="267"/>
      <c r="AS91" s="267"/>
      <c r="AT91" s="267"/>
      <c r="AU91" s="285"/>
    </row>
    <row r="92" spans="1:47" ht="60" customHeight="1" x14ac:dyDescent="0.35">
      <c r="A92" s="282" t="s">
        <v>6708</v>
      </c>
      <c r="B92" s="260" t="s">
        <v>6891</v>
      </c>
      <c r="C92" s="261" t="s">
        <v>6892</v>
      </c>
      <c r="D92" s="264" t="s">
        <v>6893</v>
      </c>
      <c r="E92" s="265" t="s">
        <v>6712</v>
      </c>
      <c r="F92" s="268" t="s">
        <v>6844</v>
      </c>
      <c r="G92" s="271" t="str">
        <f>IF(COUNTIF(H92:AU92,"&lt;&gt;")=0,"",SUMPRODUCT(((Recommendations[ImplStatus]="Implemented")+(Recommendations[ImplStatus]="Compensated"))*ISNUMBER(MATCH(Recommendations[Id],H92:AU92,0)))/COUNTIF(H92:AU92,"&lt;&gt;"))</f>
        <v/>
      </c>
      <c r="H92" s="272"/>
      <c r="I92" s="272"/>
      <c r="J92" s="272"/>
      <c r="K92" s="272"/>
      <c r="L92" s="272"/>
      <c r="M92" s="272"/>
      <c r="N92" s="272"/>
      <c r="O92" s="272"/>
      <c r="P92" s="272"/>
      <c r="Q92" s="272"/>
      <c r="R92" s="272"/>
      <c r="S92" s="272"/>
      <c r="T92" s="272"/>
      <c r="U92" s="272"/>
      <c r="V92" s="272"/>
      <c r="W92" s="272"/>
      <c r="X92" s="272"/>
      <c r="Y92" s="272"/>
      <c r="Z92" s="272"/>
      <c r="AA92" s="272"/>
      <c r="AB92" s="272"/>
      <c r="AC92" s="272"/>
      <c r="AD92" s="272"/>
      <c r="AE92" s="272"/>
      <c r="AF92" s="272"/>
      <c r="AG92" s="272"/>
      <c r="AH92" s="272"/>
      <c r="AI92" s="272"/>
      <c r="AJ92" s="272"/>
      <c r="AK92" s="272"/>
      <c r="AL92" s="272"/>
      <c r="AM92" s="272"/>
      <c r="AN92" s="272"/>
      <c r="AO92" s="272"/>
      <c r="AP92" s="272"/>
      <c r="AQ92" s="272"/>
      <c r="AR92" s="272"/>
      <c r="AS92" s="272"/>
      <c r="AT92" s="272"/>
      <c r="AU92" s="286"/>
    </row>
    <row r="93" spans="1:47" ht="60" customHeight="1" x14ac:dyDescent="0.35">
      <c r="A93" s="282" t="s">
        <v>6708</v>
      </c>
      <c r="B93" s="260" t="s">
        <v>6891</v>
      </c>
      <c r="C93" s="261" t="s">
        <v>6894</v>
      </c>
      <c r="D93" s="264" t="s">
        <v>6895</v>
      </c>
      <c r="E93" s="265" t="s">
        <v>6712</v>
      </c>
      <c r="F93" s="268" t="s">
        <v>6844</v>
      </c>
      <c r="G93" s="271" t="str">
        <f>IF(COUNTIF(H93:AU93,"&lt;&gt;")=0,"",SUMPRODUCT(((Recommendations[ImplStatus]="Implemented")+(Recommendations[ImplStatus]="Compensated"))*ISNUMBER(MATCH(Recommendations[Id],H93:AU93,0)))/COUNTIF(H93:AU93,"&lt;&gt;"))</f>
        <v/>
      </c>
      <c r="H93" s="272"/>
      <c r="I93" s="272"/>
      <c r="J93" s="272"/>
      <c r="K93" s="272"/>
      <c r="L93" s="272"/>
      <c r="M93" s="272"/>
      <c r="N93" s="272"/>
      <c r="O93" s="272"/>
      <c r="P93" s="272"/>
      <c r="Q93" s="272"/>
      <c r="R93" s="272"/>
      <c r="S93" s="272"/>
      <c r="T93" s="272"/>
      <c r="U93" s="272"/>
      <c r="V93" s="272"/>
      <c r="W93" s="272"/>
      <c r="X93" s="272"/>
      <c r="Y93" s="272"/>
      <c r="Z93" s="272"/>
      <c r="AA93" s="272"/>
      <c r="AB93" s="272"/>
      <c r="AC93" s="272"/>
      <c r="AD93" s="272"/>
      <c r="AE93" s="272"/>
      <c r="AF93" s="272"/>
      <c r="AG93" s="272"/>
      <c r="AH93" s="272"/>
      <c r="AI93" s="272"/>
      <c r="AJ93" s="272"/>
      <c r="AK93" s="272"/>
      <c r="AL93" s="272"/>
      <c r="AM93" s="272"/>
      <c r="AN93" s="272"/>
      <c r="AO93" s="272"/>
      <c r="AP93" s="272"/>
      <c r="AQ93" s="272"/>
      <c r="AR93" s="272"/>
      <c r="AS93" s="272"/>
      <c r="AT93" s="272"/>
      <c r="AU93" s="286"/>
    </row>
    <row r="94" spans="1:47" ht="60" customHeight="1" x14ac:dyDescent="0.35">
      <c r="A94" s="282" t="s">
        <v>6708</v>
      </c>
      <c r="B94" s="260" t="s">
        <v>6891</v>
      </c>
      <c r="C94" s="261" t="s">
        <v>6896</v>
      </c>
      <c r="D94" s="264" t="s">
        <v>6897</v>
      </c>
      <c r="E94" s="265" t="s">
        <v>6712</v>
      </c>
      <c r="F94" s="268" t="s">
        <v>6844</v>
      </c>
      <c r="G94" s="271" t="str">
        <f>IF(COUNTIF(H94:AU94,"&lt;&gt;")=0,"",SUMPRODUCT(((Recommendations[ImplStatus]="Implemented")+(Recommendations[ImplStatus]="Compensated"))*ISNUMBER(MATCH(Recommendations[Id],H94:AU94,0)))/COUNTIF(H94:AU94,"&lt;&gt;"))</f>
        <v/>
      </c>
      <c r="H94" s="272"/>
      <c r="I94" s="272"/>
      <c r="J94" s="272"/>
      <c r="K94" s="272"/>
      <c r="L94" s="272"/>
      <c r="M94" s="272"/>
      <c r="N94" s="272"/>
      <c r="O94" s="272"/>
      <c r="P94" s="272"/>
      <c r="Q94" s="272"/>
      <c r="R94" s="272"/>
      <c r="S94" s="272"/>
      <c r="T94" s="272"/>
      <c r="U94" s="272"/>
      <c r="V94" s="272"/>
      <c r="W94" s="272"/>
      <c r="X94" s="272"/>
      <c r="Y94" s="272"/>
      <c r="Z94" s="272"/>
      <c r="AA94" s="272"/>
      <c r="AB94" s="272"/>
      <c r="AC94" s="272"/>
      <c r="AD94" s="272"/>
      <c r="AE94" s="272"/>
      <c r="AF94" s="272"/>
      <c r="AG94" s="272"/>
      <c r="AH94" s="272"/>
      <c r="AI94" s="272"/>
      <c r="AJ94" s="272"/>
      <c r="AK94" s="272"/>
      <c r="AL94" s="272"/>
      <c r="AM94" s="272"/>
      <c r="AN94" s="272"/>
      <c r="AO94" s="272"/>
      <c r="AP94" s="272"/>
      <c r="AQ94" s="272"/>
      <c r="AR94" s="272"/>
      <c r="AS94" s="272"/>
      <c r="AT94" s="272"/>
      <c r="AU94" s="286"/>
    </row>
    <row r="95" spans="1:47" ht="60" customHeight="1" x14ac:dyDescent="0.35">
      <c r="A95" s="282" t="s">
        <v>6708</v>
      </c>
      <c r="B95" s="260" t="s">
        <v>6891</v>
      </c>
      <c r="C95" s="261" t="s">
        <v>6898</v>
      </c>
      <c r="D95" s="264" t="s">
        <v>6899</v>
      </c>
      <c r="E95" s="265" t="s">
        <v>6712</v>
      </c>
      <c r="F95" s="268" t="s">
        <v>6844</v>
      </c>
      <c r="G95" s="271" t="str">
        <f>IF(COUNTIF(H95:AU95,"&lt;&gt;")=0,"",SUMPRODUCT(((Recommendations[ImplStatus]="Implemented")+(Recommendations[ImplStatus]="Compensated"))*ISNUMBER(MATCH(Recommendations[Id],H95:AU95,0)))/COUNTIF(H95:AU95,"&lt;&gt;"))</f>
        <v/>
      </c>
      <c r="H95" s="272"/>
      <c r="I95" s="272"/>
      <c r="J95" s="272"/>
      <c r="K95" s="272"/>
      <c r="L95" s="272"/>
      <c r="M95" s="272"/>
      <c r="N95" s="272"/>
      <c r="O95" s="272"/>
      <c r="P95" s="272"/>
      <c r="Q95" s="272"/>
      <c r="R95" s="272"/>
      <c r="S95" s="272"/>
      <c r="T95" s="272"/>
      <c r="U95" s="272"/>
      <c r="V95" s="272"/>
      <c r="W95" s="272"/>
      <c r="X95" s="272"/>
      <c r="Y95" s="272"/>
      <c r="Z95" s="272"/>
      <c r="AA95" s="272"/>
      <c r="AB95" s="272"/>
      <c r="AC95" s="272"/>
      <c r="AD95" s="272"/>
      <c r="AE95" s="272"/>
      <c r="AF95" s="272"/>
      <c r="AG95" s="272"/>
      <c r="AH95" s="272"/>
      <c r="AI95" s="272"/>
      <c r="AJ95" s="272"/>
      <c r="AK95" s="272"/>
      <c r="AL95" s="272"/>
      <c r="AM95" s="272"/>
      <c r="AN95" s="272"/>
      <c r="AO95" s="272"/>
      <c r="AP95" s="272"/>
      <c r="AQ95" s="272"/>
      <c r="AR95" s="272"/>
      <c r="AS95" s="272"/>
      <c r="AT95" s="272"/>
      <c r="AU95" s="286"/>
    </row>
    <row r="96" spans="1:47" ht="60" customHeight="1" x14ac:dyDescent="0.35">
      <c r="A96" s="282" t="s">
        <v>6708</v>
      </c>
      <c r="B96" s="260" t="s">
        <v>6891</v>
      </c>
      <c r="C96" s="261" t="s">
        <v>6900</v>
      </c>
      <c r="D96" s="264" t="s">
        <v>6901</v>
      </c>
      <c r="E96" s="265" t="s">
        <v>6712</v>
      </c>
      <c r="F96" s="268" t="s">
        <v>6844</v>
      </c>
      <c r="G96" s="271" t="str">
        <f>IF(COUNTIF(H96:AU96,"&lt;&gt;")=0,"",SUMPRODUCT(((Recommendations[ImplStatus]="Implemented")+(Recommendations[ImplStatus]="Compensated"))*ISNUMBER(MATCH(Recommendations[Id],H96:AU96,0)))/COUNTIF(H96:AU96,"&lt;&gt;"))</f>
        <v/>
      </c>
      <c r="H96" s="272"/>
      <c r="I96" s="272"/>
      <c r="J96" s="272"/>
      <c r="K96" s="272"/>
      <c r="L96" s="272"/>
      <c r="M96" s="272"/>
      <c r="N96" s="272"/>
      <c r="O96" s="272"/>
      <c r="P96" s="272"/>
      <c r="Q96" s="272"/>
      <c r="R96" s="272"/>
      <c r="S96" s="272"/>
      <c r="T96" s="272"/>
      <c r="U96" s="272"/>
      <c r="V96" s="272"/>
      <c r="W96" s="272"/>
      <c r="X96" s="272"/>
      <c r="Y96" s="272"/>
      <c r="Z96" s="272"/>
      <c r="AA96" s="272"/>
      <c r="AB96" s="272"/>
      <c r="AC96" s="272"/>
      <c r="AD96" s="272"/>
      <c r="AE96" s="272"/>
      <c r="AF96" s="272"/>
      <c r="AG96" s="272"/>
      <c r="AH96" s="272"/>
      <c r="AI96" s="272"/>
      <c r="AJ96" s="272"/>
      <c r="AK96" s="272"/>
      <c r="AL96" s="272"/>
      <c r="AM96" s="272"/>
      <c r="AN96" s="272"/>
      <c r="AO96" s="272"/>
      <c r="AP96" s="272"/>
      <c r="AQ96" s="272"/>
      <c r="AR96" s="272"/>
      <c r="AS96" s="272"/>
      <c r="AT96" s="272"/>
      <c r="AU96" s="286"/>
    </row>
    <row r="97" spans="1:47" ht="60" customHeight="1" x14ac:dyDescent="0.35">
      <c r="A97" s="282" t="s">
        <v>6708</v>
      </c>
      <c r="B97" s="260" t="s">
        <v>6891</v>
      </c>
      <c r="C97" s="261" t="s">
        <v>6902</v>
      </c>
      <c r="D97" s="264" t="s">
        <v>6903</v>
      </c>
      <c r="E97" s="265" t="s">
        <v>6712</v>
      </c>
      <c r="F97" s="268" t="s">
        <v>6904</v>
      </c>
      <c r="G97" s="271" t="str">
        <f>IF(COUNTIF(H97:AU97,"&lt;&gt;")=0,"",SUMPRODUCT(((Recommendations[ImplStatus]="Implemented")+(Recommendations[ImplStatus]="Compensated"))*ISNUMBER(MATCH(Recommendations[Id],H97:AU97,0)))/COUNTIF(H97:AU97,"&lt;&gt;"))</f>
        <v/>
      </c>
      <c r="H97" s="272"/>
      <c r="I97" s="272"/>
      <c r="J97" s="272"/>
      <c r="K97" s="272"/>
      <c r="L97" s="272"/>
      <c r="M97" s="272"/>
      <c r="N97" s="272"/>
      <c r="O97" s="272"/>
      <c r="P97" s="272"/>
      <c r="Q97" s="272"/>
      <c r="R97" s="272"/>
      <c r="S97" s="272"/>
      <c r="T97" s="272"/>
      <c r="U97" s="272"/>
      <c r="V97" s="272"/>
      <c r="W97" s="272"/>
      <c r="X97" s="272"/>
      <c r="Y97" s="272"/>
      <c r="Z97" s="272"/>
      <c r="AA97" s="272"/>
      <c r="AB97" s="272"/>
      <c r="AC97" s="272"/>
      <c r="AD97" s="272"/>
      <c r="AE97" s="272"/>
      <c r="AF97" s="272"/>
      <c r="AG97" s="272"/>
      <c r="AH97" s="272"/>
      <c r="AI97" s="272"/>
      <c r="AJ97" s="272"/>
      <c r="AK97" s="272"/>
      <c r="AL97" s="272"/>
      <c r="AM97" s="272"/>
      <c r="AN97" s="272"/>
      <c r="AO97" s="272"/>
      <c r="AP97" s="272"/>
      <c r="AQ97" s="272"/>
      <c r="AR97" s="272"/>
      <c r="AS97" s="272"/>
      <c r="AT97" s="272"/>
      <c r="AU97" s="286"/>
    </row>
    <row r="98" spans="1:47" ht="60" customHeight="1" x14ac:dyDescent="0.35">
      <c r="A98" s="282" t="s">
        <v>6708</v>
      </c>
      <c r="B98" s="260" t="s">
        <v>6891</v>
      </c>
      <c r="C98" s="261" t="s">
        <v>6905</v>
      </c>
      <c r="D98" s="264" t="s">
        <v>6906</v>
      </c>
      <c r="E98" s="265" t="s">
        <v>6712</v>
      </c>
      <c r="F98" s="268" t="s">
        <v>6904</v>
      </c>
      <c r="G98" s="271" t="str">
        <f>IF(COUNTIF(H98:AU98,"&lt;&gt;")=0,"",SUMPRODUCT(((Recommendations[ImplStatus]="Implemented")+(Recommendations[ImplStatus]="Compensated"))*ISNUMBER(MATCH(Recommendations[Id],H98:AU98,0)))/COUNTIF(H98:AU98,"&lt;&gt;"))</f>
        <v/>
      </c>
      <c r="H98" s="272"/>
      <c r="I98" s="272"/>
      <c r="J98" s="272"/>
      <c r="K98" s="272"/>
      <c r="L98" s="272"/>
      <c r="M98" s="272"/>
      <c r="N98" s="272"/>
      <c r="O98" s="272"/>
      <c r="P98" s="272"/>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2"/>
      <c r="AT98" s="272"/>
      <c r="AU98" s="286"/>
    </row>
    <row r="99" spans="1:47" ht="60" customHeight="1" x14ac:dyDescent="0.35">
      <c r="A99" s="282" t="s">
        <v>6708</v>
      </c>
      <c r="B99" s="260" t="s">
        <v>6891</v>
      </c>
      <c r="C99" s="261" t="s">
        <v>6907</v>
      </c>
      <c r="D99" s="264" t="s">
        <v>6908</v>
      </c>
      <c r="E99" s="265" t="s">
        <v>6712</v>
      </c>
      <c r="F99" s="268" t="s">
        <v>6904</v>
      </c>
      <c r="G99" s="271" t="str">
        <f>IF(COUNTIF(H99:AU99,"&lt;&gt;")=0,"",SUMPRODUCT(((Recommendations[ImplStatus]="Implemented")+(Recommendations[ImplStatus]="Compensated"))*ISNUMBER(MATCH(Recommendations[Id],H99:AU99,0)))/COUNTIF(H99:AU99,"&lt;&gt;"))</f>
        <v/>
      </c>
      <c r="H99" s="272"/>
      <c r="I99" s="272"/>
      <c r="J99" s="272"/>
      <c r="K99" s="272"/>
      <c r="L99" s="272"/>
      <c r="M99" s="272"/>
      <c r="N99" s="272"/>
      <c r="O99" s="272"/>
      <c r="P99" s="272"/>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286"/>
    </row>
    <row r="100" spans="1:47" ht="60" customHeight="1" x14ac:dyDescent="0.35">
      <c r="A100" s="282" t="s">
        <v>6708</v>
      </c>
      <c r="B100" s="260" t="s">
        <v>6891</v>
      </c>
      <c r="C100" s="261" t="s">
        <v>6909</v>
      </c>
      <c r="D100" s="264" t="s">
        <v>6910</v>
      </c>
      <c r="E100" s="265" t="s">
        <v>6712</v>
      </c>
      <c r="F100" s="268" t="s">
        <v>6904</v>
      </c>
      <c r="G100" s="271" t="str">
        <f>IF(COUNTIF(H100:AU100,"&lt;&gt;")=0,"",SUMPRODUCT(((Recommendations[ImplStatus]="Implemented")+(Recommendations[ImplStatus]="Compensated"))*ISNUMBER(MATCH(Recommendations[Id],H100:AU100,0)))/COUNTIF(H100:AU100,"&lt;&gt;"))</f>
        <v/>
      </c>
      <c r="H100" s="272"/>
      <c r="I100" s="272"/>
      <c r="J100" s="272"/>
      <c r="K100" s="272"/>
      <c r="L100" s="272"/>
      <c r="M100" s="272"/>
      <c r="N100" s="272"/>
      <c r="O100" s="272"/>
      <c r="P100" s="272"/>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2"/>
      <c r="AT100" s="272"/>
      <c r="AU100" s="286"/>
    </row>
    <row r="101" spans="1:47" ht="60" customHeight="1" x14ac:dyDescent="0.35">
      <c r="A101" s="282" t="s">
        <v>6708</v>
      </c>
      <c r="B101" s="260" t="s">
        <v>6891</v>
      </c>
      <c r="C101" s="261" t="s">
        <v>6911</v>
      </c>
      <c r="D101" s="264" t="s">
        <v>6912</v>
      </c>
      <c r="E101" s="265" t="s">
        <v>6712</v>
      </c>
      <c r="F101" s="268" t="s">
        <v>6844</v>
      </c>
      <c r="G101" s="271" t="str">
        <f>IF(COUNTIF(H101:AU101,"&lt;&gt;")=0,"",SUMPRODUCT(((Recommendations[ImplStatus]="Implemented")+(Recommendations[ImplStatus]="Compensated"))*ISNUMBER(MATCH(Recommendations[Id],H101:AU101,0)))/COUNTIF(H101:AU101,"&lt;&gt;"))</f>
        <v/>
      </c>
      <c r="H101" s="272"/>
      <c r="I101" s="272"/>
      <c r="J101" s="272"/>
      <c r="K101" s="272"/>
      <c r="L101" s="272"/>
      <c r="M101" s="272"/>
      <c r="N101" s="272"/>
      <c r="O101" s="272"/>
      <c r="P101" s="272"/>
      <c r="Q101" s="272"/>
      <c r="R101" s="272"/>
      <c r="S101" s="272"/>
      <c r="T101" s="272"/>
      <c r="U101" s="272"/>
      <c r="V101" s="272"/>
      <c r="W101" s="272"/>
      <c r="X101" s="272"/>
      <c r="Y101" s="272"/>
      <c r="Z101" s="272"/>
      <c r="AA101" s="272"/>
      <c r="AB101" s="272"/>
      <c r="AC101" s="272"/>
      <c r="AD101" s="272"/>
      <c r="AE101" s="272"/>
      <c r="AF101" s="272"/>
      <c r="AG101" s="272"/>
      <c r="AH101" s="272"/>
      <c r="AI101" s="272"/>
      <c r="AJ101" s="272"/>
      <c r="AK101" s="272"/>
      <c r="AL101" s="272"/>
      <c r="AM101" s="272"/>
      <c r="AN101" s="272"/>
      <c r="AO101" s="272"/>
      <c r="AP101" s="272"/>
      <c r="AQ101" s="272"/>
      <c r="AR101" s="272"/>
      <c r="AS101" s="272"/>
      <c r="AT101" s="272"/>
      <c r="AU101" s="286"/>
    </row>
    <row r="102" spans="1:47" ht="60" customHeight="1" x14ac:dyDescent="0.35">
      <c r="A102" s="282" t="s">
        <v>6708</v>
      </c>
      <c r="B102" s="260" t="s">
        <v>6891</v>
      </c>
      <c r="C102" s="261" t="s">
        <v>6913</v>
      </c>
      <c r="D102" s="264" t="s">
        <v>6914</v>
      </c>
      <c r="E102" s="265" t="s">
        <v>6856</v>
      </c>
      <c r="F102" s="268" t="s">
        <v>6844</v>
      </c>
      <c r="G102" s="271" t="str">
        <f>IF(COUNTIF(H102:AU102,"&lt;&gt;")=0,"",SUMPRODUCT(((Recommendations[ImplStatus]="Implemented")+(Recommendations[ImplStatus]="Compensated"))*ISNUMBER(MATCH(Recommendations[Id],H102:AU102,0)))/COUNTIF(H102:AU102,"&lt;&gt;"))</f>
        <v/>
      </c>
      <c r="H102" s="272"/>
      <c r="I102" s="272"/>
      <c r="J102" s="272"/>
      <c r="K102" s="272"/>
      <c r="L102" s="272"/>
      <c r="M102" s="272"/>
      <c r="N102" s="272"/>
      <c r="O102" s="272"/>
      <c r="P102" s="272"/>
      <c r="Q102" s="272"/>
      <c r="R102" s="272"/>
      <c r="S102" s="272"/>
      <c r="T102" s="272"/>
      <c r="U102" s="272"/>
      <c r="V102" s="272"/>
      <c r="W102" s="272"/>
      <c r="X102" s="272"/>
      <c r="Y102" s="272"/>
      <c r="Z102" s="272"/>
      <c r="AA102" s="272"/>
      <c r="AB102" s="272"/>
      <c r="AC102" s="272"/>
      <c r="AD102" s="272"/>
      <c r="AE102" s="272"/>
      <c r="AF102" s="272"/>
      <c r="AG102" s="272"/>
      <c r="AH102" s="272"/>
      <c r="AI102" s="272"/>
      <c r="AJ102" s="272"/>
      <c r="AK102" s="272"/>
      <c r="AL102" s="272"/>
      <c r="AM102" s="272"/>
      <c r="AN102" s="272"/>
      <c r="AO102" s="272"/>
      <c r="AP102" s="272"/>
      <c r="AQ102" s="272"/>
      <c r="AR102" s="272"/>
      <c r="AS102" s="272"/>
      <c r="AT102" s="272"/>
      <c r="AU102" s="286"/>
    </row>
    <row r="103" spans="1:47" ht="60" customHeight="1" x14ac:dyDescent="0.35">
      <c r="A103" s="282" t="s">
        <v>6708</v>
      </c>
      <c r="B103" s="260" t="s">
        <v>6891</v>
      </c>
      <c r="C103" s="261" t="s">
        <v>6915</v>
      </c>
      <c r="D103" s="264" t="s">
        <v>6916</v>
      </c>
      <c r="E103" s="265" t="s">
        <v>6856</v>
      </c>
      <c r="F103" s="268" t="s">
        <v>6844</v>
      </c>
      <c r="G103" s="271" t="str">
        <f>IF(COUNTIF(H103:AU103,"&lt;&gt;")=0,"",SUMPRODUCT(((Recommendations[ImplStatus]="Implemented")+(Recommendations[ImplStatus]="Compensated"))*ISNUMBER(MATCH(Recommendations[Id],H103:AU103,0)))/COUNTIF(H103:AU103,"&lt;&gt;"))</f>
        <v/>
      </c>
      <c r="H103" s="272"/>
      <c r="I103" s="272"/>
      <c r="J103" s="272"/>
      <c r="K103" s="272"/>
      <c r="L103" s="272"/>
      <c r="M103" s="272"/>
      <c r="N103" s="272"/>
      <c r="O103" s="272"/>
      <c r="P103" s="272"/>
      <c r="Q103" s="272"/>
      <c r="R103" s="272"/>
      <c r="S103" s="272"/>
      <c r="T103" s="272"/>
      <c r="U103" s="272"/>
      <c r="V103" s="272"/>
      <c r="W103" s="272"/>
      <c r="X103" s="272"/>
      <c r="Y103" s="272"/>
      <c r="Z103" s="272"/>
      <c r="AA103" s="272"/>
      <c r="AB103" s="272"/>
      <c r="AC103" s="272"/>
      <c r="AD103" s="272"/>
      <c r="AE103" s="272"/>
      <c r="AF103" s="272"/>
      <c r="AG103" s="272"/>
      <c r="AH103" s="272"/>
      <c r="AI103" s="272"/>
      <c r="AJ103" s="272"/>
      <c r="AK103" s="272"/>
      <c r="AL103" s="272"/>
      <c r="AM103" s="272"/>
      <c r="AN103" s="272"/>
      <c r="AO103" s="272"/>
      <c r="AP103" s="272"/>
      <c r="AQ103" s="272"/>
      <c r="AR103" s="272"/>
      <c r="AS103" s="272"/>
      <c r="AT103" s="272"/>
      <c r="AU103" s="286"/>
    </row>
    <row r="104" spans="1:47" ht="60" customHeight="1" x14ac:dyDescent="0.35">
      <c r="A104" s="282" t="s">
        <v>6708</v>
      </c>
      <c r="B104" s="260" t="s">
        <v>6891</v>
      </c>
      <c r="C104" s="261" t="s">
        <v>6917</v>
      </c>
      <c r="D104" s="264" t="s">
        <v>6918</v>
      </c>
      <c r="E104" s="265" t="s">
        <v>6856</v>
      </c>
      <c r="F104" s="268" t="s">
        <v>6844</v>
      </c>
      <c r="G104" s="271" t="str">
        <f>IF(COUNTIF(H104:AU104,"&lt;&gt;")=0,"",SUMPRODUCT(((Recommendations[ImplStatus]="Implemented")+(Recommendations[ImplStatus]="Compensated"))*ISNUMBER(MATCH(Recommendations[Id],H104:AU104,0)))/COUNTIF(H104:AU104,"&lt;&gt;"))</f>
        <v/>
      </c>
      <c r="H104" s="272"/>
      <c r="I104" s="272"/>
      <c r="J104" s="272"/>
      <c r="K104" s="272"/>
      <c r="L104" s="272"/>
      <c r="M104" s="272"/>
      <c r="N104" s="272"/>
      <c r="O104" s="272"/>
      <c r="P104" s="272"/>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2"/>
      <c r="AT104" s="272"/>
      <c r="AU104" s="286"/>
    </row>
    <row r="105" spans="1:47" ht="60" customHeight="1" x14ac:dyDescent="0.35">
      <c r="A105" s="282" t="s">
        <v>6708</v>
      </c>
      <c r="B105" s="260" t="s">
        <v>6891</v>
      </c>
      <c r="C105" s="261" t="s">
        <v>6919</v>
      </c>
      <c r="D105" s="264" t="s">
        <v>6920</v>
      </c>
      <c r="E105" s="265" t="s">
        <v>6741</v>
      </c>
      <c r="F105" s="268" t="s">
        <v>6844</v>
      </c>
      <c r="G105" s="271" t="str">
        <f>IF(COUNTIF(H105:AU105,"&lt;&gt;")=0,"",SUMPRODUCT(((Recommendations[ImplStatus]="Implemented")+(Recommendations[ImplStatus]="Compensated"))*ISNUMBER(MATCH(Recommendations[Id],H105:AU105,0)))/COUNTIF(H105:AU105,"&lt;&gt;"))</f>
        <v/>
      </c>
      <c r="H105" s="272"/>
      <c r="I105" s="272"/>
      <c r="J105" s="272"/>
      <c r="K105" s="272"/>
      <c r="L105" s="272"/>
      <c r="M105" s="272"/>
      <c r="N105" s="272"/>
      <c r="O105" s="272"/>
      <c r="P105" s="272"/>
      <c r="Q105" s="272"/>
      <c r="R105" s="272"/>
      <c r="S105" s="272"/>
      <c r="T105" s="272"/>
      <c r="U105" s="272"/>
      <c r="V105" s="272"/>
      <c r="W105" s="272"/>
      <c r="X105" s="272"/>
      <c r="Y105" s="272"/>
      <c r="Z105" s="272"/>
      <c r="AA105" s="272"/>
      <c r="AB105" s="272"/>
      <c r="AC105" s="272"/>
      <c r="AD105" s="272"/>
      <c r="AE105" s="272"/>
      <c r="AF105" s="272"/>
      <c r="AG105" s="272"/>
      <c r="AH105" s="272"/>
      <c r="AI105" s="272"/>
      <c r="AJ105" s="272"/>
      <c r="AK105" s="272"/>
      <c r="AL105" s="272"/>
      <c r="AM105" s="272"/>
      <c r="AN105" s="272"/>
      <c r="AO105" s="272"/>
      <c r="AP105" s="272"/>
      <c r="AQ105" s="272"/>
      <c r="AR105" s="272"/>
      <c r="AS105" s="272"/>
      <c r="AT105" s="272"/>
      <c r="AU105" s="286"/>
    </row>
    <row r="106" spans="1:47" ht="60" customHeight="1" outlineLevel="2" x14ac:dyDescent="0.35">
      <c r="A106" s="281" t="s">
        <v>6708</v>
      </c>
      <c r="B106" s="259" t="s">
        <v>6921</v>
      </c>
      <c r="C106" s="259"/>
      <c r="D106" s="263"/>
      <c r="E106" s="259"/>
      <c r="F106" s="267"/>
      <c r="G106" s="270" t="str">
        <f>IF(COUNTIF(H106:AU106,"&lt;&gt;")=0,"",SUMPRODUCT(((Recommendations[ImplStatus]="Implemented")+(Recommendations[ImplStatus]="Compensated"))*ISNUMBER(MATCH(Recommendations[Id],H106:AU106,0)))/COUNTIF(H106:AU106,"&lt;&gt;"))</f>
        <v/>
      </c>
      <c r="H106" s="267"/>
      <c r="I106" s="267"/>
      <c r="J106" s="267"/>
      <c r="K106" s="267"/>
      <c r="L106" s="267"/>
      <c r="M106" s="267"/>
      <c r="N106" s="267"/>
      <c r="O106" s="267"/>
      <c r="P106" s="267"/>
      <c r="Q106" s="267"/>
      <c r="R106" s="267"/>
      <c r="S106" s="267"/>
      <c r="T106" s="267"/>
      <c r="U106" s="267"/>
      <c r="V106" s="267"/>
      <c r="W106" s="267"/>
      <c r="X106" s="267"/>
      <c r="Y106" s="267"/>
      <c r="Z106" s="267"/>
      <c r="AA106" s="267"/>
      <c r="AB106" s="267"/>
      <c r="AC106" s="267"/>
      <c r="AD106" s="267"/>
      <c r="AE106" s="267"/>
      <c r="AF106" s="267"/>
      <c r="AG106" s="267"/>
      <c r="AH106" s="267"/>
      <c r="AI106" s="267"/>
      <c r="AJ106" s="267"/>
      <c r="AK106" s="267"/>
      <c r="AL106" s="267"/>
      <c r="AM106" s="267"/>
      <c r="AN106" s="267"/>
      <c r="AO106" s="267"/>
      <c r="AP106" s="267"/>
      <c r="AQ106" s="267"/>
      <c r="AR106" s="267"/>
      <c r="AS106" s="267"/>
      <c r="AT106" s="267"/>
      <c r="AU106" s="285"/>
    </row>
    <row r="107" spans="1:47" ht="60" customHeight="1" x14ac:dyDescent="0.35">
      <c r="A107" s="282" t="s">
        <v>6708</v>
      </c>
      <c r="B107" s="260" t="s">
        <v>6921</v>
      </c>
      <c r="C107" s="261" t="s">
        <v>6922</v>
      </c>
      <c r="D107" s="264" t="s">
        <v>6923</v>
      </c>
      <c r="E107" s="265" t="s">
        <v>6856</v>
      </c>
      <c r="F107" s="268" t="s">
        <v>6844</v>
      </c>
      <c r="G107" s="271" t="str">
        <f>IF(COUNTIF(H107:AU107,"&lt;&gt;")=0,"",SUMPRODUCT(((Recommendations[ImplStatus]="Implemented")+(Recommendations[ImplStatus]="Compensated"))*ISNUMBER(MATCH(Recommendations[Id],H107:AU107,0)))/COUNTIF(H107:AU107,"&lt;&gt;"))</f>
        <v/>
      </c>
      <c r="H107" s="272"/>
      <c r="I107" s="272"/>
      <c r="J107" s="272"/>
      <c r="K107" s="272"/>
      <c r="L107" s="272"/>
      <c r="M107" s="272"/>
      <c r="N107" s="272"/>
      <c r="O107" s="272"/>
      <c r="P107" s="272"/>
      <c r="Q107" s="272"/>
      <c r="R107" s="272"/>
      <c r="S107" s="272"/>
      <c r="T107" s="272"/>
      <c r="U107" s="272"/>
      <c r="V107" s="272"/>
      <c r="W107" s="272"/>
      <c r="X107" s="272"/>
      <c r="Y107" s="272"/>
      <c r="Z107" s="272"/>
      <c r="AA107" s="272"/>
      <c r="AB107" s="272"/>
      <c r="AC107" s="272"/>
      <c r="AD107" s="272"/>
      <c r="AE107" s="272"/>
      <c r="AF107" s="272"/>
      <c r="AG107" s="272"/>
      <c r="AH107" s="272"/>
      <c r="AI107" s="272"/>
      <c r="AJ107" s="272"/>
      <c r="AK107" s="272"/>
      <c r="AL107" s="272"/>
      <c r="AM107" s="272"/>
      <c r="AN107" s="272"/>
      <c r="AO107" s="272"/>
      <c r="AP107" s="272"/>
      <c r="AQ107" s="272"/>
      <c r="AR107" s="272"/>
      <c r="AS107" s="272"/>
      <c r="AT107" s="272"/>
      <c r="AU107" s="286"/>
    </row>
    <row r="108" spans="1:47" ht="60" customHeight="1" x14ac:dyDescent="0.35">
      <c r="A108" s="282" t="s">
        <v>6708</v>
      </c>
      <c r="B108" s="260" t="s">
        <v>6921</v>
      </c>
      <c r="C108" s="261" t="s">
        <v>6924</v>
      </c>
      <c r="D108" s="264" t="s">
        <v>6925</v>
      </c>
      <c r="E108" s="265" t="s">
        <v>6856</v>
      </c>
      <c r="F108" s="268" t="s">
        <v>6844</v>
      </c>
      <c r="G108" s="271" t="str">
        <f>IF(COUNTIF(H108:AU108,"&lt;&gt;")=0,"",SUMPRODUCT(((Recommendations[ImplStatus]="Implemented")+(Recommendations[ImplStatus]="Compensated"))*ISNUMBER(MATCH(Recommendations[Id],H108:AU108,0)))/COUNTIF(H108:AU108,"&lt;&gt;"))</f>
        <v/>
      </c>
      <c r="H108" s="272"/>
      <c r="I108" s="272"/>
      <c r="J108" s="272"/>
      <c r="K108" s="272"/>
      <c r="L108" s="272"/>
      <c r="M108" s="272"/>
      <c r="N108" s="272"/>
      <c r="O108" s="272"/>
      <c r="P108" s="272"/>
      <c r="Q108" s="272"/>
      <c r="R108" s="272"/>
      <c r="S108" s="272"/>
      <c r="T108" s="272"/>
      <c r="U108" s="272"/>
      <c r="V108" s="272"/>
      <c r="W108" s="272"/>
      <c r="X108" s="272"/>
      <c r="Y108" s="272"/>
      <c r="Z108" s="272"/>
      <c r="AA108" s="272"/>
      <c r="AB108" s="272"/>
      <c r="AC108" s="272"/>
      <c r="AD108" s="272"/>
      <c r="AE108" s="272"/>
      <c r="AF108" s="272"/>
      <c r="AG108" s="272"/>
      <c r="AH108" s="272"/>
      <c r="AI108" s="272"/>
      <c r="AJ108" s="272"/>
      <c r="AK108" s="272"/>
      <c r="AL108" s="272"/>
      <c r="AM108" s="272"/>
      <c r="AN108" s="272"/>
      <c r="AO108" s="272"/>
      <c r="AP108" s="272"/>
      <c r="AQ108" s="272"/>
      <c r="AR108" s="272"/>
      <c r="AS108" s="272"/>
      <c r="AT108" s="272"/>
      <c r="AU108" s="286"/>
    </row>
    <row r="109" spans="1:47" ht="60" customHeight="1" x14ac:dyDescent="0.35">
      <c r="A109" s="282" t="s">
        <v>6708</v>
      </c>
      <c r="B109" s="260" t="s">
        <v>6921</v>
      </c>
      <c r="C109" s="261" t="s">
        <v>6926</v>
      </c>
      <c r="D109" s="264" t="s">
        <v>6927</v>
      </c>
      <c r="E109" s="265" t="s">
        <v>6856</v>
      </c>
      <c r="F109" s="268" t="s">
        <v>6844</v>
      </c>
      <c r="G109" s="271" t="str">
        <f>IF(COUNTIF(H109:AU109,"&lt;&gt;")=0,"",SUMPRODUCT(((Recommendations[ImplStatus]="Implemented")+(Recommendations[ImplStatus]="Compensated"))*ISNUMBER(MATCH(Recommendations[Id],H109:AU109,0)))/COUNTIF(H109:AU109,"&lt;&gt;"))</f>
        <v/>
      </c>
      <c r="H109" s="272"/>
      <c r="I109" s="272"/>
      <c r="J109" s="272"/>
      <c r="K109" s="272"/>
      <c r="L109" s="272"/>
      <c r="M109" s="272"/>
      <c r="N109" s="272"/>
      <c r="O109" s="272"/>
      <c r="P109" s="272"/>
      <c r="Q109" s="272"/>
      <c r="R109" s="272"/>
      <c r="S109" s="272"/>
      <c r="T109" s="272"/>
      <c r="U109" s="272"/>
      <c r="V109" s="272"/>
      <c r="W109" s="272"/>
      <c r="X109" s="272"/>
      <c r="Y109" s="272"/>
      <c r="Z109" s="272"/>
      <c r="AA109" s="272"/>
      <c r="AB109" s="272"/>
      <c r="AC109" s="272"/>
      <c r="AD109" s="272"/>
      <c r="AE109" s="272"/>
      <c r="AF109" s="272"/>
      <c r="AG109" s="272"/>
      <c r="AH109" s="272"/>
      <c r="AI109" s="272"/>
      <c r="AJ109" s="272"/>
      <c r="AK109" s="272"/>
      <c r="AL109" s="272"/>
      <c r="AM109" s="272"/>
      <c r="AN109" s="272"/>
      <c r="AO109" s="272"/>
      <c r="AP109" s="272"/>
      <c r="AQ109" s="272"/>
      <c r="AR109" s="272"/>
      <c r="AS109" s="272"/>
      <c r="AT109" s="272"/>
      <c r="AU109" s="286"/>
    </row>
    <row r="110" spans="1:47" ht="60" customHeight="1" x14ac:dyDescent="0.35">
      <c r="A110" s="282" t="s">
        <v>6708</v>
      </c>
      <c r="B110" s="260" t="s">
        <v>6921</v>
      </c>
      <c r="C110" s="261" t="s">
        <v>6928</v>
      </c>
      <c r="D110" s="264" t="s">
        <v>6929</v>
      </c>
      <c r="E110" s="265" t="s">
        <v>6856</v>
      </c>
      <c r="F110" s="268" t="s">
        <v>6844</v>
      </c>
      <c r="G110" s="271" t="str">
        <f>IF(COUNTIF(H110:AU110,"&lt;&gt;")=0,"",SUMPRODUCT(((Recommendations[ImplStatus]="Implemented")+(Recommendations[ImplStatus]="Compensated"))*ISNUMBER(MATCH(Recommendations[Id],H110:AU110,0)))/COUNTIF(H110:AU110,"&lt;&gt;"))</f>
        <v/>
      </c>
      <c r="H110" s="272"/>
      <c r="I110" s="272"/>
      <c r="J110" s="272"/>
      <c r="K110" s="272"/>
      <c r="L110" s="272"/>
      <c r="M110" s="272"/>
      <c r="N110" s="272"/>
      <c r="O110" s="272"/>
      <c r="P110" s="272"/>
      <c r="Q110" s="272"/>
      <c r="R110" s="272"/>
      <c r="S110" s="272"/>
      <c r="T110" s="272"/>
      <c r="U110" s="272"/>
      <c r="V110" s="272"/>
      <c r="W110" s="272"/>
      <c r="X110" s="272"/>
      <c r="Y110" s="272"/>
      <c r="Z110" s="272"/>
      <c r="AA110" s="272"/>
      <c r="AB110" s="272"/>
      <c r="AC110" s="272"/>
      <c r="AD110" s="272"/>
      <c r="AE110" s="272"/>
      <c r="AF110" s="272"/>
      <c r="AG110" s="272"/>
      <c r="AH110" s="272"/>
      <c r="AI110" s="272"/>
      <c r="AJ110" s="272"/>
      <c r="AK110" s="272"/>
      <c r="AL110" s="272"/>
      <c r="AM110" s="272"/>
      <c r="AN110" s="272"/>
      <c r="AO110" s="272"/>
      <c r="AP110" s="272"/>
      <c r="AQ110" s="272"/>
      <c r="AR110" s="272"/>
      <c r="AS110" s="272"/>
      <c r="AT110" s="272"/>
      <c r="AU110" s="286"/>
    </row>
    <row r="111" spans="1:47" ht="60" customHeight="1" x14ac:dyDescent="0.35">
      <c r="A111" s="282" t="s">
        <v>6708</v>
      </c>
      <c r="B111" s="260" t="s">
        <v>6921</v>
      </c>
      <c r="C111" s="261" t="s">
        <v>6930</v>
      </c>
      <c r="D111" s="264" t="s">
        <v>6931</v>
      </c>
      <c r="E111" s="265" t="s">
        <v>6856</v>
      </c>
      <c r="F111" s="268" t="s">
        <v>6844</v>
      </c>
      <c r="G111" s="271" t="str">
        <f>IF(COUNTIF(H111:AU111,"&lt;&gt;")=0,"",SUMPRODUCT(((Recommendations[ImplStatus]="Implemented")+(Recommendations[ImplStatus]="Compensated"))*ISNUMBER(MATCH(Recommendations[Id],H111:AU111,0)))/COUNTIF(H111:AU111,"&lt;&gt;"))</f>
        <v/>
      </c>
      <c r="H111" s="272"/>
      <c r="I111" s="272"/>
      <c r="J111" s="272"/>
      <c r="K111" s="272"/>
      <c r="L111" s="272"/>
      <c r="M111" s="272"/>
      <c r="N111" s="272"/>
      <c r="O111" s="272"/>
      <c r="P111" s="272"/>
      <c r="Q111" s="272"/>
      <c r="R111" s="272"/>
      <c r="S111" s="272"/>
      <c r="T111" s="272"/>
      <c r="U111" s="272"/>
      <c r="V111" s="272"/>
      <c r="W111" s="272"/>
      <c r="X111" s="272"/>
      <c r="Y111" s="272"/>
      <c r="Z111" s="272"/>
      <c r="AA111" s="272"/>
      <c r="AB111" s="272"/>
      <c r="AC111" s="272"/>
      <c r="AD111" s="272"/>
      <c r="AE111" s="272"/>
      <c r="AF111" s="272"/>
      <c r="AG111" s="272"/>
      <c r="AH111" s="272"/>
      <c r="AI111" s="272"/>
      <c r="AJ111" s="272"/>
      <c r="AK111" s="272"/>
      <c r="AL111" s="272"/>
      <c r="AM111" s="272"/>
      <c r="AN111" s="272"/>
      <c r="AO111" s="272"/>
      <c r="AP111" s="272"/>
      <c r="AQ111" s="272"/>
      <c r="AR111" s="272"/>
      <c r="AS111" s="272"/>
      <c r="AT111" s="272"/>
      <c r="AU111" s="286"/>
    </row>
    <row r="112" spans="1:47" ht="60" customHeight="1" x14ac:dyDescent="0.35">
      <c r="A112" s="282" t="s">
        <v>6708</v>
      </c>
      <c r="B112" s="260" t="s">
        <v>6921</v>
      </c>
      <c r="C112" s="261" t="s">
        <v>6932</v>
      </c>
      <c r="D112" s="264" t="s">
        <v>6933</v>
      </c>
      <c r="E112" s="265" t="s">
        <v>6856</v>
      </c>
      <c r="F112" s="268" t="s">
        <v>6844</v>
      </c>
      <c r="G112" s="271" t="str">
        <f>IF(COUNTIF(H112:AU112,"&lt;&gt;")=0,"",SUMPRODUCT(((Recommendations[ImplStatus]="Implemented")+(Recommendations[ImplStatus]="Compensated"))*ISNUMBER(MATCH(Recommendations[Id],H112:AU112,0)))/COUNTIF(H112:AU112,"&lt;&gt;"))</f>
        <v/>
      </c>
      <c r="H112" s="272"/>
      <c r="I112" s="272"/>
      <c r="J112" s="272"/>
      <c r="K112" s="272"/>
      <c r="L112" s="272"/>
      <c r="M112" s="272"/>
      <c r="N112" s="272"/>
      <c r="O112" s="272"/>
      <c r="P112" s="272"/>
      <c r="Q112" s="272"/>
      <c r="R112" s="272"/>
      <c r="S112" s="272"/>
      <c r="T112" s="272"/>
      <c r="U112" s="272"/>
      <c r="V112" s="272"/>
      <c r="W112" s="272"/>
      <c r="X112" s="272"/>
      <c r="Y112" s="272"/>
      <c r="Z112" s="272"/>
      <c r="AA112" s="272"/>
      <c r="AB112" s="272"/>
      <c r="AC112" s="272"/>
      <c r="AD112" s="272"/>
      <c r="AE112" s="272"/>
      <c r="AF112" s="272"/>
      <c r="AG112" s="272"/>
      <c r="AH112" s="272"/>
      <c r="AI112" s="272"/>
      <c r="AJ112" s="272"/>
      <c r="AK112" s="272"/>
      <c r="AL112" s="272"/>
      <c r="AM112" s="272"/>
      <c r="AN112" s="272"/>
      <c r="AO112" s="272"/>
      <c r="AP112" s="272"/>
      <c r="AQ112" s="272"/>
      <c r="AR112" s="272"/>
      <c r="AS112" s="272"/>
      <c r="AT112" s="272"/>
      <c r="AU112" s="286"/>
    </row>
    <row r="113" spans="1:47" ht="60" customHeight="1" x14ac:dyDescent="0.35">
      <c r="A113" s="282" t="s">
        <v>6708</v>
      </c>
      <c r="B113" s="260" t="s">
        <v>6921</v>
      </c>
      <c r="C113" s="261" t="s">
        <v>6934</v>
      </c>
      <c r="D113" s="264" t="s">
        <v>6935</v>
      </c>
      <c r="E113" s="265" t="s">
        <v>6856</v>
      </c>
      <c r="F113" s="268" t="s">
        <v>6844</v>
      </c>
      <c r="G113" s="271" t="str">
        <f>IF(COUNTIF(H113:AU113,"&lt;&gt;")=0,"",SUMPRODUCT(((Recommendations[ImplStatus]="Implemented")+(Recommendations[ImplStatus]="Compensated"))*ISNUMBER(MATCH(Recommendations[Id],H113:AU113,0)))/COUNTIF(H113:AU113,"&lt;&gt;"))</f>
        <v/>
      </c>
      <c r="H113" s="272"/>
      <c r="I113" s="272"/>
      <c r="J113" s="272"/>
      <c r="K113" s="272"/>
      <c r="L113" s="272"/>
      <c r="M113" s="272"/>
      <c r="N113" s="272"/>
      <c r="O113" s="272"/>
      <c r="P113" s="272"/>
      <c r="Q113" s="272"/>
      <c r="R113" s="272"/>
      <c r="S113" s="272"/>
      <c r="T113" s="272"/>
      <c r="U113" s="272"/>
      <c r="V113" s="272"/>
      <c r="W113" s="272"/>
      <c r="X113" s="272"/>
      <c r="Y113" s="272"/>
      <c r="Z113" s="272"/>
      <c r="AA113" s="272"/>
      <c r="AB113" s="272"/>
      <c r="AC113" s="272"/>
      <c r="AD113" s="272"/>
      <c r="AE113" s="272"/>
      <c r="AF113" s="272"/>
      <c r="AG113" s="272"/>
      <c r="AH113" s="272"/>
      <c r="AI113" s="272"/>
      <c r="AJ113" s="272"/>
      <c r="AK113" s="272"/>
      <c r="AL113" s="272"/>
      <c r="AM113" s="272"/>
      <c r="AN113" s="272"/>
      <c r="AO113" s="272"/>
      <c r="AP113" s="272"/>
      <c r="AQ113" s="272"/>
      <c r="AR113" s="272"/>
      <c r="AS113" s="272"/>
      <c r="AT113" s="272"/>
      <c r="AU113" s="286"/>
    </row>
    <row r="114" spans="1:47" ht="60" customHeight="1" x14ac:dyDescent="0.35">
      <c r="A114" s="282" t="s">
        <v>6708</v>
      </c>
      <c r="B114" s="260" t="s">
        <v>6921</v>
      </c>
      <c r="C114" s="261" t="s">
        <v>6936</v>
      </c>
      <c r="D114" s="264" t="s">
        <v>6937</v>
      </c>
      <c r="E114" s="265" t="s">
        <v>6856</v>
      </c>
      <c r="F114" s="268" t="s">
        <v>6844</v>
      </c>
      <c r="G114" s="271" t="str">
        <f>IF(COUNTIF(H114:AU114,"&lt;&gt;")=0,"",SUMPRODUCT(((Recommendations[ImplStatus]="Implemented")+(Recommendations[ImplStatus]="Compensated"))*ISNUMBER(MATCH(Recommendations[Id],H114:AU114,0)))/COUNTIF(H114:AU114,"&lt;&gt;"))</f>
        <v/>
      </c>
      <c r="H114" s="272"/>
      <c r="I114" s="272"/>
      <c r="J114" s="272"/>
      <c r="K114" s="272"/>
      <c r="L114" s="272"/>
      <c r="M114" s="272"/>
      <c r="N114" s="272"/>
      <c r="O114" s="272"/>
      <c r="P114" s="272"/>
      <c r="Q114" s="272"/>
      <c r="R114" s="272"/>
      <c r="S114" s="272"/>
      <c r="T114" s="272"/>
      <c r="U114" s="272"/>
      <c r="V114" s="272"/>
      <c r="W114" s="272"/>
      <c r="X114" s="272"/>
      <c r="Y114" s="272"/>
      <c r="Z114" s="272"/>
      <c r="AA114" s="272"/>
      <c r="AB114" s="272"/>
      <c r="AC114" s="272"/>
      <c r="AD114" s="272"/>
      <c r="AE114" s="272"/>
      <c r="AF114" s="272"/>
      <c r="AG114" s="272"/>
      <c r="AH114" s="272"/>
      <c r="AI114" s="272"/>
      <c r="AJ114" s="272"/>
      <c r="AK114" s="272"/>
      <c r="AL114" s="272"/>
      <c r="AM114" s="272"/>
      <c r="AN114" s="272"/>
      <c r="AO114" s="272"/>
      <c r="AP114" s="272"/>
      <c r="AQ114" s="272"/>
      <c r="AR114" s="272"/>
      <c r="AS114" s="272"/>
      <c r="AT114" s="272"/>
      <c r="AU114" s="286"/>
    </row>
    <row r="115" spans="1:47" ht="60" customHeight="1" x14ac:dyDescent="0.35">
      <c r="A115" s="282" t="s">
        <v>6708</v>
      </c>
      <c r="B115" s="260" t="s">
        <v>6921</v>
      </c>
      <c r="C115" s="261" t="s">
        <v>6938</v>
      </c>
      <c r="D115" s="264" t="s">
        <v>6939</v>
      </c>
      <c r="E115" s="265" t="s">
        <v>6856</v>
      </c>
      <c r="F115" s="268" t="s">
        <v>6844</v>
      </c>
      <c r="G115" s="271" t="str">
        <f>IF(COUNTIF(H115:AU115,"&lt;&gt;")=0,"",SUMPRODUCT(((Recommendations[ImplStatus]="Implemented")+(Recommendations[ImplStatus]="Compensated"))*ISNUMBER(MATCH(Recommendations[Id],H115:AU115,0)))/COUNTIF(H115:AU115,"&lt;&gt;"))</f>
        <v/>
      </c>
      <c r="H115" s="272"/>
      <c r="I115" s="272"/>
      <c r="J115" s="272"/>
      <c r="K115" s="272"/>
      <c r="L115" s="272"/>
      <c r="M115" s="272"/>
      <c r="N115" s="272"/>
      <c r="O115" s="272"/>
      <c r="P115" s="272"/>
      <c r="Q115" s="272"/>
      <c r="R115" s="272"/>
      <c r="S115" s="272"/>
      <c r="T115" s="272"/>
      <c r="U115" s="272"/>
      <c r="V115" s="272"/>
      <c r="W115" s="272"/>
      <c r="X115" s="272"/>
      <c r="Y115" s="272"/>
      <c r="Z115" s="272"/>
      <c r="AA115" s="272"/>
      <c r="AB115" s="272"/>
      <c r="AC115" s="272"/>
      <c r="AD115" s="272"/>
      <c r="AE115" s="272"/>
      <c r="AF115" s="272"/>
      <c r="AG115" s="272"/>
      <c r="AH115" s="272"/>
      <c r="AI115" s="272"/>
      <c r="AJ115" s="272"/>
      <c r="AK115" s="272"/>
      <c r="AL115" s="272"/>
      <c r="AM115" s="272"/>
      <c r="AN115" s="272"/>
      <c r="AO115" s="272"/>
      <c r="AP115" s="272"/>
      <c r="AQ115" s="272"/>
      <c r="AR115" s="272"/>
      <c r="AS115" s="272"/>
      <c r="AT115" s="272"/>
      <c r="AU115" s="286"/>
    </row>
    <row r="116" spans="1:47" ht="60" customHeight="1" x14ac:dyDescent="0.35">
      <c r="A116" s="282" t="s">
        <v>6708</v>
      </c>
      <c r="B116" s="260" t="s">
        <v>6921</v>
      </c>
      <c r="C116" s="261" t="s">
        <v>6940</v>
      </c>
      <c r="D116" s="264" t="s">
        <v>6941</v>
      </c>
      <c r="E116" s="265" t="s">
        <v>6856</v>
      </c>
      <c r="F116" s="268" t="s">
        <v>6844</v>
      </c>
      <c r="G116" s="271" t="str">
        <f>IF(COUNTIF(H116:AU116,"&lt;&gt;")=0,"",SUMPRODUCT(((Recommendations[ImplStatus]="Implemented")+(Recommendations[ImplStatus]="Compensated"))*ISNUMBER(MATCH(Recommendations[Id],H116:AU116,0)))/COUNTIF(H116:AU116,"&lt;&gt;"))</f>
        <v/>
      </c>
      <c r="H116" s="272"/>
      <c r="I116" s="272"/>
      <c r="J116" s="272"/>
      <c r="K116" s="272"/>
      <c r="L116" s="272"/>
      <c r="M116" s="272"/>
      <c r="N116" s="272"/>
      <c r="O116" s="272"/>
      <c r="P116" s="272"/>
      <c r="Q116" s="272"/>
      <c r="R116" s="272"/>
      <c r="S116" s="272"/>
      <c r="T116" s="272"/>
      <c r="U116" s="272"/>
      <c r="V116" s="272"/>
      <c r="W116" s="272"/>
      <c r="X116" s="272"/>
      <c r="Y116" s="272"/>
      <c r="Z116" s="272"/>
      <c r="AA116" s="272"/>
      <c r="AB116" s="272"/>
      <c r="AC116" s="272"/>
      <c r="AD116" s="272"/>
      <c r="AE116" s="272"/>
      <c r="AF116" s="272"/>
      <c r="AG116" s="272"/>
      <c r="AH116" s="272"/>
      <c r="AI116" s="272"/>
      <c r="AJ116" s="272"/>
      <c r="AK116" s="272"/>
      <c r="AL116" s="272"/>
      <c r="AM116" s="272"/>
      <c r="AN116" s="272"/>
      <c r="AO116" s="272"/>
      <c r="AP116" s="272"/>
      <c r="AQ116" s="272"/>
      <c r="AR116" s="272"/>
      <c r="AS116" s="272"/>
      <c r="AT116" s="272"/>
      <c r="AU116" s="286"/>
    </row>
    <row r="117" spans="1:47" ht="60" customHeight="1" x14ac:dyDescent="0.35">
      <c r="A117" s="282" t="s">
        <v>6708</v>
      </c>
      <c r="B117" s="260" t="s">
        <v>6921</v>
      </c>
      <c r="C117" s="261" t="s">
        <v>6942</v>
      </c>
      <c r="D117" s="264" t="s">
        <v>6943</v>
      </c>
      <c r="E117" s="265" t="s">
        <v>6856</v>
      </c>
      <c r="F117" s="268" t="s">
        <v>6844</v>
      </c>
      <c r="G117" s="271" t="str">
        <f>IF(COUNTIF(H117:AU117,"&lt;&gt;")=0,"",SUMPRODUCT(((Recommendations[ImplStatus]="Implemented")+(Recommendations[ImplStatus]="Compensated"))*ISNUMBER(MATCH(Recommendations[Id],H117:AU117,0)))/COUNTIF(H117:AU117,"&lt;&gt;"))</f>
        <v/>
      </c>
      <c r="H117" s="272"/>
      <c r="I117" s="272"/>
      <c r="J117" s="272"/>
      <c r="K117" s="272"/>
      <c r="L117" s="272"/>
      <c r="M117" s="272"/>
      <c r="N117" s="272"/>
      <c r="O117" s="272"/>
      <c r="P117" s="272"/>
      <c r="Q117" s="272"/>
      <c r="R117" s="272"/>
      <c r="S117" s="272"/>
      <c r="T117" s="272"/>
      <c r="U117" s="272"/>
      <c r="V117" s="272"/>
      <c r="W117" s="272"/>
      <c r="X117" s="272"/>
      <c r="Y117" s="272"/>
      <c r="Z117" s="272"/>
      <c r="AA117" s="272"/>
      <c r="AB117" s="272"/>
      <c r="AC117" s="272"/>
      <c r="AD117" s="272"/>
      <c r="AE117" s="272"/>
      <c r="AF117" s="272"/>
      <c r="AG117" s="272"/>
      <c r="AH117" s="272"/>
      <c r="AI117" s="272"/>
      <c r="AJ117" s="272"/>
      <c r="AK117" s="272"/>
      <c r="AL117" s="272"/>
      <c r="AM117" s="272"/>
      <c r="AN117" s="272"/>
      <c r="AO117" s="272"/>
      <c r="AP117" s="272"/>
      <c r="AQ117" s="272"/>
      <c r="AR117" s="272"/>
      <c r="AS117" s="272"/>
      <c r="AT117" s="272"/>
      <c r="AU117" s="286"/>
    </row>
    <row r="118" spans="1:47" ht="60" customHeight="1" outlineLevel="1" x14ac:dyDescent="0.35">
      <c r="A118" s="280" t="s">
        <v>6944</v>
      </c>
      <c r="B118" s="258"/>
      <c r="C118" s="258"/>
      <c r="D118" s="262"/>
      <c r="E118" s="258"/>
      <c r="F118" s="266"/>
      <c r="G118" s="269" t="str">
        <f>IF(COUNTIF(H118:AU118,"&lt;&gt;")=0,"",SUMPRODUCT(((Recommendations[ImplStatus]="Implemented")+(Recommendations[ImplStatus]="Compensated"))*ISNUMBER(MATCH(Recommendations[Id],H118:AU118,0)))/COUNTIF(H118:AU118,"&lt;&gt;"))</f>
        <v/>
      </c>
      <c r="H118" s="266"/>
      <c r="I118" s="266"/>
      <c r="J118" s="266"/>
      <c r="K118" s="266"/>
      <c r="L118" s="266"/>
      <c r="M118" s="266"/>
      <c r="N118" s="266"/>
      <c r="O118" s="266"/>
      <c r="P118" s="266"/>
      <c r="Q118" s="266"/>
      <c r="R118" s="266"/>
      <c r="S118" s="266"/>
      <c r="T118" s="266"/>
      <c r="U118" s="266"/>
      <c r="V118" s="266"/>
      <c r="W118" s="266"/>
      <c r="X118" s="266"/>
      <c r="Y118" s="266"/>
      <c r="Z118" s="266"/>
      <c r="AA118" s="266"/>
      <c r="AB118" s="266"/>
      <c r="AC118" s="266"/>
      <c r="AD118" s="266"/>
      <c r="AE118" s="266"/>
      <c r="AF118" s="266"/>
      <c r="AG118" s="266"/>
      <c r="AH118" s="266"/>
      <c r="AI118" s="266"/>
      <c r="AJ118" s="266"/>
      <c r="AK118" s="266"/>
      <c r="AL118" s="266"/>
      <c r="AM118" s="266"/>
      <c r="AN118" s="266"/>
      <c r="AO118" s="266"/>
      <c r="AP118" s="266"/>
      <c r="AQ118" s="266"/>
      <c r="AR118" s="266"/>
      <c r="AS118" s="266"/>
      <c r="AT118" s="266"/>
      <c r="AU118" s="284"/>
    </row>
    <row r="119" spans="1:47" ht="60" customHeight="1" outlineLevel="2" x14ac:dyDescent="0.35">
      <c r="A119" s="281" t="s">
        <v>6944</v>
      </c>
      <c r="B119" s="259" t="s">
        <v>6945</v>
      </c>
      <c r="C119" s="259"/>
      <c r="D119" s="263"/>
      <c r="E119" s="259"/>
      <c r="F119" s="267"/>
      <c r="G119" s="270" t="str">
        <f>IF(COUNTIF(H119:AU119,"&lt;&gt;")=0,"",SUMPRODUCT(((Recommendations[ImplStatus]="Implemented")+(Recommendations[ImplStatus]="Compensated"))*ISNUMBER(MATCH(Recommendations[Id],H119:AU119,0)))/COUNTIF(H119:AU119,"&lt;&gt;"))</f>
        <v/>
      </c>
      <c r="H119" s="267"/>
      <c r="I119" s="267"/>
      <c r="J119" s="267"/>
      <c r="K119" s="267"/>
      <c r="L119" s="267"/>
      <c r="M119" s="267"/>
      <c r="N119" s="267"/>
      <c r="O119" s="267"/>
      <c r="P119" s="267"/>
      <c r="Q119" s="267"/>
      <c r="R119" s="267"/>
      <c r="S119" s="267"/>
      <c r="T119" s="267"/>
      <c r="U119" s="267"/>
      <c r="V119" s="267"/>
      <c r="W119" s="267"/>
      <c r="X119" s="267"/>
      <c r="Y119" s="267"/>
      <c r="Z119" s="267"/>
      <c r="AA119" s="267"/>
      <c r="AB119" s="267"/>
      <c r="AC119" s="267"/>
      <c r="AD119" s="267"/>
      <c r="AE119" s="267"/>
      <c r="AF119" s="267"/>
      <c r="AG119" s="267"/>
      <c r="AH119" s="267"/>
      <c r="AI119" s="267"/>
      <c r="AJ119" s="267"/>
      <c r="AK119" s="267"/>
      <c r="AL119" s="267"/>
      <c r="AM119" s="267"/>
      <c r="AN119" s="267"/>
      <c r="AO119" s="267"/>
      <c r="AP119" s="267"/>
      <c r="AQ119" s="267"/>
      <c r="AR119" s="267"/>
      <c r="AS119" s="267"/>
      <c r="AT119" s="267"/>
      <c r="AU119" s="285"/>
    </row>
    <row r="120" spans="1:47" ht="60" customHeight="1" x14ac:dyDescent="0.35">
      <c r="A120" s="282" t="s">
        <v>6944</v>
      </c>
      <c r="B120" s="260" t="s">
        <v>6945</v>
      </c>
      <c r="C120" s="261" t="s">
        <v>6946</v>
      </c>
      <c r="D120" s="264" t="s">
        <v>6947</v>
      </c>
      <c r="E120" s="265" t="s">
        <v>6712</v>
      </c>
      <c r="F120" s="268" t="s">
        <v>6948</v>
      </c>
      <c r="G120" s="271" t="str">
        <f>IF(COUNTIF(H120:AU120,"&lt;&gt;")=0,"",SUMPRODUCT(((Recommendations[ImplStatus]="Implemented")+(Recommendations[ImplStatus]="Compensated"))*ISNUMBER(MATCH(Recommendations[Id],H120:AU120,0)))/COUNTIF(H120:AU120,"&lt;&gt;"))</f>
        <v/>
      </c>
      <c r="H120" s="272"/>
      <c r="I120" s="272"/>
      <c r="J120" s="272"/>
      <c r="K120" s="272"/>
      <c r="L120" s="272"/>
      <c r="M120" s="272"/>
      <c r="N120" s="272"/>
      <c r="O120" s="272"/>
      <c r="P120" s="272"/>
      <c r="Q120" s="272"/>
      <c r="R120" s="272"/>
      <c r="S120" s="272"/>
      <c r="T120" s="272"/>
      <c r="U120" s="272"/>
      <c r="V120" s="272"/>
      <c r="W120" s="272"/>
      <c r="X120" s="272"/>
      <c r="Y120" s="272"/>
      <c r="Z120" s="272"/>
      <c r="AA120" s="272"/>
      <c r="AB120" s="272"/>
      <c r="AC120" s="272"/>
      <c r="AD120" s="272"/>
      <c r="AE120" s="272"/>
      <c r="AF120" s="272"/>
      <c r="AG120" s="272"/>
      <c r="AH120" s="272"/>
      <c r="AI120" s="272"/>
      <c r="AJ120" s="272"/>
      <c r="AK120" s="272"/>
      <c r="AL120" s="272"/>
      <c r="AM120" s="272"/>
      <c r="AN120" s="272"/>
      <c r="AO120" s="272"/>
      <c r="AP120" s="272"/>
      <c r="AQ120" s="272"/>
      <c r="AR120" s="272"/>
      <c r="AS120" s="272"/>
      <c r="AT120" s="272"/>
      <c r="AU120" s="286"/>
    </row>
    <row r="121" spans="1:47" ht="60" customHeight="1" x14ac:dyDescent="0.35">
      <c r="A121" s="282" t="s">
        <v>6944</v>
      </c>
      <c r="B121" s="260" t="s">
        <v>6945</v>
      </c>
      <c r="C121" s="261" t="s">
        <v>6949</v>
      </c>
      <c r="D121" s="264" t="s">
        <v>6950</v>
      </c>
      <c r="E121" s="265" t="s">
        <v>6712</v>
      </c>
      <c r="F121" s="268" t="s">
        <v>6948</v>
      </c>
      <c r="G121" s="271" t="str">
        <f>IF(COUNTIF(H121:AU121,"&lt;&gt;")=0,"",SUMPRODUCT(((Recommendations[ImplStatus]="Implemented")+(Recommendations[ImplStatus]="Compensated"))*ISNUMBER(MATCH(Recommendations[Id],H121:AU121,0)))/COUNTIF(H121:AU121,"&lt;&gt;"))</f>
        <v/>
      </c>
      <c r="H121" s="272"/>
      <c r="I121" s="272"/>
      <c r="J121" s="272"/>
      <c r="K121" s="272"/>
      <c r="L121" s="272"/>
      <c r="M121" s="272"/>
      <c r="N121" s="272"/>
      <c r="O121" s="272"/>
      <c r="P121" s="272"/>
      <c r="Q121" s="272"/>
      <c r="R121" s="272"/>
      <c r="S121" s="272"/>
      <c r="T121" s="272"/>
      <c r="U121" s="272"/>
      <c r="V121" s="272"/>
      <c r="W121" s="272"/>
      <c r="X121" s="272"/>
      <c r="Y121" s="272"/>
      <c r="Z121" s="272"/>
      <c r="AA121" s="272"/>
      <c r="AB121" s="272"/>
      <c r="AC121" s="272"/>
      <c r="AD121" s="272"/>
      <c r="AE121" s="272"/>
      <c r="AF121" s="272"/>
      <c r="AG121" s="272"/>
      <c r="AH121" s="272"/>
      <c r="AI121" s="272"/>
      <c r="AJ121" s="272"/>
      <c r="AK121" s="272"/>
      <c r="AL121" s="272"/>
      <c r="AM121" s="272"/>
      <c r="AN121" s="272"/>
      <c r="AO121" s="272"/>
      <c r="AP121" s="272"/>
      <c r="AQ121" s="272"/>
      <c r="AR121" s="272"/>
      <c r="AS121" s="272"/>
      <c r="AT121" s="272"/>
      <c r="AU121" s="286"/>
    </row>
    <row r="122" spans="1:47" ht="60" customHeight="1" x14ac:dyDescent="0.35">
      <c r="A122" s="282" t="s">
        <v>6944</v>
      </c>
      <c r="B122" s="260" t="s">
        <v>6945</v>
      </c>
      <c r="C122" s="261" t="s">
        <v>6951</v>
      </c>
      <c r="D122" s="264" t="s">
        <v>6952</v>
      </c>
      <c r="E122" s="265" t="s">
        <v>6712</v>
      </c>
      <c r="F122" s="268" t="s">
        <v>6948</v>
      </c>
      <c r="G122" s="271" t="str">
        <f>IF(COUNTIF(H122:AU122,"&lt;&gt;")=0,"",SUMPRODUCT(((Recommendations[ImplStatus]="Implemented")+(Recommendations[ImplStatus]="Compensated"))*ISNUMBER(MATCH(Recommendations[Id],H122:AU122,0)))/COUNTIF(H122:AU122,"&lt;&gt;"))</f>
        <v/>
      </c>
      <c r="H122" s="272"/>
      <c r="I122" s="272"/>
      <c r="J122" s="272"/>
      <c r="K122" s="272"/>
      <c r="L122" s="272"/>
      <c r="M122" s="272"/>
      <c r="N122" s="272"/>
      <c r="O122" s="272"/>
      <c r="P122" s="272"/>
      <c r="Q122" s="272"/>
      <c r="R122" s="272"/>
      <c r="S122" s="272"/>
      <c r="T122" s="272"/>
      <c r="U122" s="272"/>
      <c r="V122" s="272"/>
      <c r="W122" s="272"/>
      <c r="X122" s="272"/>
      <c r="Y122" s="272"/>
      <c r="Z122" s="272"/>
      <c r="AA122" s="272"/>
      <c r="AB122" s="272"/>
      <c r="AC122" s="272"/>
      <c r="AD122" s="272"/>
      <c r="AE122" s="272"/>
      <c r="AF122" s="272"/>
      <c r="AG122" s="272"/>
      <c r="AH122" s="272"/>
      <c r="AI122" s="272"/>
      <c r="AJ122" s="272"/>
      <c r="AK122" s="272"/>
      <c r="AL122" s="272"/>
      <c r="AM122" s="272"/>
      <c r="AN122" s="272"/>
      <c r="AO122" s="272"/>
      <c r="AP122" s="272"/>
      <c r="AQ122" s="272"/>
      <c r="AR122" s="272"/>
      <c r="AS122" s="272"/>
      <c r="AT122" s="272"/>
      <c r="AU122" s="286"/>
    </row>
    <row r="123" spans="1:47" ht="60" customHeight="1" x14ac:dyDescent="0.35">
      <c r="A123" s="282" t="s">
        <v>6944</v>
      </c>
      <c r="B123" s="260" t="s">
        <v>6945</v>
      </c>
      <c r="C123" s="261" t="s">
        <v>6953</v>
      </c>
      <c r="D123" s="264" t="s">
        <v>6954</v>
      </c>
      <c r="E123" s="265" t="s">
        <v>6712</v>
      </c>
      <c r="F123" s="268" t="s">
        <v>6948</v>
      </c>
      <c r="G123" s="271" t="str">
        <f>IF(COUNTIF(H123:AU123,"&lt;&gt;")=0,"",SUMPRODUCT(((Recommendations[ImplStatus]="Implemented")+(Recommendations[ImplStatus]="Compensated"))*ISNUMBER(MATCH(Recommendations[Id],H123:AU123,0)))/COUNTIF(H123:AU123,"&lt;&gt;"))</f>
        <v/>
      </c>
      <c r="H123" s="272"/>
      <c r="I123" s="272"/>
      <c r="J123" s="272"/>
      <c r="K123" s="272"/>
      <c r="L123" s="272"/>
      <c r="M123" s="272"/>
      <c r="N123" s="272"/>
      <c r="O123" s="272"/>
      <c r="P123" s="272"/>
      <c r="Q123" s="272"/>
      <c r="R123" s="272"/>
      <c r="S123" s="272"/>
      <c r="T123" s="272"/>
      <c r="U123" s="272"/>
      <c r="V123" s="272"/>
      <c r="W123" s="272"/>
      <c r="X123" s="272"/>
      <c r="Y123" s="272"/>
      <c r="Z123" s="272"/>
      <c r="AA123" s="272"/>
      <c r="AB123" s="272"/>
      <c r="AC123" s="272"/>
      <c r="AD123" s="272"/>
      <c r="AE123" s="272"/>
      <c r="AF123" s="272"/>
      <c r="AG123" s="272"/>
      <c r="AH123" s="272"/>
      <c r="AI123" s="272"/>
      <c r="AJ123" s="272"/>
      <c r="AK123" s="272"/>
      <c r="AL123" s="272"/>
      <c r="AM123" s="272"/>
      <c r="AN123" s="272"/>
      <c r="AO123" s="272"/>
      <c r="AP123" s="272"/>
      <c r="AQ123" s="272"/>
      <c r="AR123" s="272"/>
      <c r="AS123" s="272"/>
      <c r="AT123" s="272"/>
      <c r="AU123" s="286"/>
    </row>
    <row r="124" spans="1:47" ht="60" customHeight="1" x14ac:dyDescent="0.35">
      <c r="A124" s="282" t="s">
        <v>6944</v>
      </c>
      <c r="B124" s="260" t="s">
        <v>6945</v>
      </c>
      <c r="C124" s="261" t="s">
        <v>6955</v>
      </c>
      <c r="D124" s="264" t="s">
        <v>6956</v>
      </c>
      <c r="E124" s="265" t="s">
        <v>6712</v>
      </c>
      <c r="F124" s="268" t="s">
        <v>6948</v>
      </c>
      <c r="G124" s="271" t="str">
        <f>IF(COUNTIF(H124:AU124,"&lt;&gt;")=0,"",SUMPRODUCT(((Recommendations[ImplStatus]="Implemented")+(Recommendations[ImplStatus]="Compensated"))*ISNUMBER(MATCH(Recommendations[Id],H124:AU124,0)))/COUNTIF(H124:AU124,"&lt;&gt;"))</f>
        <v/>
      </c>
      <c r="H124" s="272"/>
      <c r="I124" s="272"/>
      <c r="J124" s="272"/>
      <c r="K124" s="272"/>
      <c r="L124" s="272"/>
      <c r="M124" s="272"/>
      <c r="N124" s="272"/>
      <c r="O124" s="272"/>
      <c r="P124" s="272"/>
      <c r="Q124" s="272"/>
      <c r="R124" s="272"/>
      <c r="S124" s="272"/>
      <c r="T124" s="272"/>
      <c r="U124" s="272"/>
      <c r="V124" s="272"/>
      <c r="W124" s="272"/>
      <c r="X124" s="272"/>
      <c r="Y124" s="272"/>
      <c r="Z124" s="272"/>
      <c r="AA124" s="272"/>
      <c r="AB124" s="272"/>
      <c r="AC124" s="272"/>
      <c r="AD124" s="272"/>
      <c r="AE124" s="272"/>
      <c r="AF124" s="272"/>
      <c r="AG124" s="272"/>
      <c r="AH124" s="272"/>
      <c r="AI124" s="272"/>
      <c r="AJ124" s="272"/>
      <c r="AK124" s="272"/>
      <c r="AL124" s="272"/>
      <c r="AM124" s="272"/>
      <c r="AN124" s="272"/>
      <c r="AO124" s="272"/>
      <c r="AP124" s="272"/>
      <c r="AQ124" s="272"/>
      <c r="AR124" s="272"/>
      <c r="AS124" s="272"/>
      <c r="AT124" s="272"/>
      <c r="AU124" s="286"/>
    </row>
    <row r="125" spans="1:47" ht="60" customHeight="1" x14ac:dyDescent="0.35">
      <c r="A125" s="282" t="s">
        <v>6944</v>
      </c>
      <c r="B125" s="260" t="s">
        <v>6945</v>
      </c>
      <c r="C125" s="261" t="s">
        <v>6957</v>
      </c>
      <c r="D125" s="264" t="s">
        <v>6958</v>
      </c>
      <c r="E125" s="265" t="s">
        <v>6712</v>
      </c>
      <c r="F125" s="268" t="s">
        <v>6948</v>
      </c>
      <c r="G125" s="271" t="str">
        <f>IF(COUNTIF(H125:AU125,"&lt;&gt;")=0,"",SUMPRODUCT(((Recommendations[ImplStatus]="Implemented")+(Recommendations[ImplStatus]="Compensated"))*ISNUMBER(MATCH(Recommendations[Id],H125:AU125,0)))/COUNTIF(H125:AU125,"&lt;&gt;"))</f>
        <v/>
      </c>
      <c r="H125" s="272"/>
      <c r="I125" s="272"/>
      <c r="J125" s="272"/>
      <c r="K125" s="272"/>
      <c r="L125" s="272"/>
      <c r="M125" s="272"/>
      <c r="N125" s="272"/>
      <c r="O125" s="272"/>
      <c r="P125" s="272"/>
      <c r="Q125" s="272"/>
      <c r="R125" s="272"/>
      <c r="S125" s="272"/>
      <c r="T125" s="272"/>
      <c r="U125" s="272"/>
      <c r="V125" s="272"/>
      <c r="W125" s="272"/>
      <c r="X125" s="272"/>
      <c r="Y125" s="272"/>
      <c r="Z125" s="272"/>
      <c r="AA125" s="272"/>
      <c r="AB125" s="272"/>
      <c r="AC125" s="272"/>
      <c r="AD125" s="272"/>
      <c r="AE125" s="272"/>
      <c r="AF125" s="272"/>
      <c r="AG125" s="272"/>
      <c r="AH125" s="272"/>
      <c r="AI125" s="272"/>
      <c r="AJ125" s="272"/>
      <c r="AK125" s="272"/>
      <c r="AL125" s="272"/>
      <c r="AM125" s="272"/>
      <c r="AN125" s="272"/>
      <c r="AO125" s="272"/>
      <c r="AP125" s="272"/>
      <c r="AQ125" s="272"/>
      <c r="AR125" s="272"/>
      <c r="AS125" s="272"/>
      <c r="AT125" s="272"/>
      <c r="AU125" s="286"/>
    </row>
    <row r="126" spans="1:47" ht="60" customHeight="1" x14ac:dyDescent="0.35">
      <c r="A126" s="282" t="s">
        <v>6944</v>
      </c>
      <c r="B126" s="260" t="s">
        <v>6945</v>
      </c>
      <c r="C126" s="261" t="s">
        <v>6959</v>
      </c>
      <c r="D126" s="264" t="s">
        <v>6960</v>
      </c>
      <c r="E126" s="265" t="s">
        <v>6712</v>
      </c>
      <c r="F126" s="268" t="s">
        <v>6948</v>
      </c>
      <c r="G126" s="271" t="str">
        <f>IF(COUNTIF(H126:AU126,"&lt;&gt;")=0,"",SUMPRODUCT(((Recommendations[ImplStatus]="Implemented")+(Recommendations[ImplStatus]="Compensated"))*ISNUMBER(MATCH(Recommendations[Id],H126:AU126,0)))/COUNTIF(H126:AU126,"&lt;&gt;"))</f>
        <v/>
      </c>
      <c r="H126" s="272"/>
      <c r="I126" s="272"/>
      <c r="J126" s="272"/>
      <c r="K126" s="272"/>
      <c r="L126" s="272"/>
      <c r="M126" s="272"/>
      <c r="N126" s="272"/>
      <c r="O126" s="272"/>
      <c r="P126" s="272"/>
      <c r="Q126" s="272"/>
      <c r="R126" s="272"/>
      <c r="S126" s="272"/>
      <c r="T126" s="272"/>
      <c r="U126" s="272"/>
      <c r="V126" s="272"/>
      <c r="W126" s="272"/>
      <c r="X126" s="272"/>
      <c r="Y126" s="272"/>
      <c r="Z126" s="272"/>
      <c r="AA126" s="272"/>
      <c r="AB126" s="272"/>
      <c r="AC126" s="272"/>
      <c r="AD126" s="272"/>
      <c r="AE126" s="272"/>
      <c r="AF126" s="272"/>
      <c r="AG126" s="272"/>
      <c r="AH126" s="272"/>
      <c r="AI126" s="272"/>
      <c r="AJ126" s="272"/>
      <c r="AK126" s="272"/>
      <c r="AL126" s="272"/>
      <c r="AM126" s="272"/>
      <c r="AN126" s="272"/>
      <c r="AO126" s="272"/>
      <c r="AP126" s="272"/>
      <c r="AQ126" s="272"/>
      <c r="AR126" s="272"/>
      <c r="AS126" s="272"/>
      <c r="AT126" s="272"/>
      <c r="AU126" s="286"/>
    </row>
    <row r="127" spans="1:47" ht="60" customHeight="1" x14ac:dyDescent="0.35">
      <c r="A127" s="282" t="s">
        <v>6944</v>
      </c>
      <c r="B127" s="260" t="s">
        <v>6945</v>
      </c>
      <c r="C127" s="261" t="s">
        <v>6961</v>
      </c>
      <c r="D127" s="264" t="s">
        <v>6962</v>
      </c>
      <c r="E127" s="265" t="s">
        <v>6712</v>
      </c>
      <c r="F127" s="268" t="s">
        <v>6948</v>
      </c>
      <c r="G127" s="271" t="str">
        <f>IF(COUNTIF(H127:AU127,"&lt;&gt;")=0,"",SUMPRODUCT(((Recommendations[ImplStatus]="Implemented")+(Recommendations[ImplStatus]="Compensated"))*ISNUMBER(MATCH(Recommendations[Id],H127:AU127,0)))/COUNTIF(H127:AU127,"&lt;&gt;"))</f>
        <v/>
      </c>
      <c r="H127" s="272"/>
      <c r="I127" s="272"/>
      <c r="J127" s="272"/>
      <c r="K127" s="272"/>
      <c r="L127" s="272"/>
      <c r="M127" s="272"/>
      <c r="N127" s="272"/>
      <c r="O127" s="272"/>
      <c r="P127" s="272"/>
      <c r="Q127" s="272"/>
      <c r="R127" s="272"/>
      <c r="S127" s="272"/>
      <c r="T127" s="272"/>
      <c r="U127" s="272"/>
      <c r="V127" s="272"/>
      <c r="W127" s="272"/>
      <c r="X127" s="272"/>
      <c r="Y127" s="272"/>
      <c r="Z127" s="272"/>
      <c r="AA127" s="272"/>
      <c r="AB127" s="272"/>
      <c r="AC127" s="272"/>
      <c r="AD127" s="272"/>
      <c r="AE127" s="272"/>
      <c r="AF127" s="272"/>
      <c r="AG127" s="272"/>
      <c r="AH127" s="272"/>
      <c r="AI127" s="272"/>
      <c r="AJ127" s="272"/>
      <c r="AK127" s="272"/>
      <c r="AL127" s="272"/>
      <c r="AM127" s="272"/>
      <c r="AN127" s="272"/>
      <c r="AO127" s="272"/>
      <c r="AP127" s="272"/>
      <c r="AQ127" s="272"/>
      <c r="AR127" s="272"/>
      <c r="AS127" s="272"/>
      <c r="AT127" s="272"/>
      <c r="AU127" s="286"/>
    </row>
    <row r="128" spans="1:47" ht="60" customHeight="1" x14ac:dyDescent="0.35">
      <c r="A128" s="282" t="s">
        <v>6944</v>
      </c>
      <c r="B128" s="260" t="s">
        <v>6945</v>
      </c>
      <c r="C128" s="261" t="s">
        <v>6963</v>
      </c>
      <c r="D128" s="264" t="s">
        <v>6964</v>
      </c>
      <c r="E128" s="265" t="s">
        <v>6712</v>
      </c>
      <c r="F128" s="268" t="s">
        <v>6948</v>
      </c>
      <c r="G128" s="271" t="str">
        <f>IF(COUNTIF(H128:AU128,"&lt;&gt;")=0,"",SUMPRODUCT(((Recommendations[ImplStatus]="Implemented")+(Recommendations[ImplStatus]="Compensated"))*ISNUMBER(MATCH(Recommendations[Id],H128:AU128,0)))/COUNTIF(H128:AU128,"&lt;&gt;"))</f>
        <v/>
      </c>
      <c r="H128" s="272"/>
      <c r="I128" s="272"/>
      <c r="J128" s="272"/>
      <c r="K128" s="272"/>
      <c r="L128" s="272"/>
      <c r="M128" s="272"/>
      <c r="N128" s="272"/>
      <c r="O128" s="272"/>
      <c r="P128" s="272"/>
      <c r="Q128" s="272"/>
      <c r="R128" s="272"/>
      <c r="S128" s="272"/>
      <c r="T128" s="272"/>
      <c r="U128" s="272"/>
      <c r="V128" s="272"/>
      <c r="W128" s="272"/>
      <c r="X128" s="272"/>
      <c r="Y128" s="272"/>
      <c r="Z128" s="272"/>
      <c r="AA128" s="272"/>
      <c r="AB128" s="272"/>
      <c r="AC128" s="272"/>
      <c r="AD128" s="272"/>
      <c r="AE128" s="272"/>
      <c r="AF128" s="272"/>
      <c r="AG128" s="272"/>
      <c r="AH128" s="272"/>
      <c r="AI128" s="272"/>
      <c r="AJ128" s="272"/>
      <c r="AK128" s="272"/>
      <c r="AL128" s="272"/>
      <c r="AM128" s="272"/>
      <c r="AN128" s="272"/>
      <c r="AO128" s="272"/>
      <c r="AP128" s="272"/>
      <c r="AQ128" s="272"/>
      <c r="AR128" s="272"/>
      <c r="AS128" s="272"/>
      <c r="AT128" s="272"/>
      <c r="AU128" s="286"/>
    </row>
    <row r="129" spans="1:47" ht="60" customHeight="1" x14ac:dyDescent="0.35">
      <c r="A129" s="282" t="s">
        <v>6944</v>
      </c>
      <c r="B129" s="260" t="s">
        <v>6945</v>
      </c>
      <c r="C129" s="261" t="s">
        <v>6965</v>
      </c>
      <c r="D129" s="264" t="s">
        <v>6966</v>
      </c>
      <c r="E129" s="265" t="s">
        <v>6712</v>
      </c>
      <c r="F129" s="268" t="s">
        <v>6948</v>
      </c>
      <c r="G129" s="271" t="str">
        <f>IF(COUNTIF(H129:AU129,"&lt;&gt;")=0,"",SUMPRODUCT(((Recommendations[ImplStatus]="Implemented")+(Recommendations[ImplStatus]="Compensated"))*ISNUMBER(MATCH(Recommendations[Id],H129:AU129,0)))/COUNTIF(H129:AU129,"&lt;&gt;"))</f>
        <v/>
      </c>
      <c r="H129" s="272"/>
      <c r="I129" s="272"/>
      <c r="J129" s="272"/>
      <c r="K129" s="272"/>
      <c r="L129" s="272"/>
      <c r="M129" s="272"/>
      <c r="N129" s="272"/>
      <c r="O129" s="272"/>
      <c r="P129" s="272"/>
      <c r="Q129" s="272"/>
      <c r="R129" s="272"/>
      <c r="S129" s="272"/>
      <c r="T129" s="272"/>
      <c r="U129" s="272"/>
      <c r="V129" s="272"/>
      <c r="W129" s="272"/>
      <c r="X129" s="272"/>
      <c r="Y129" s="272"/>
      <c r="Z129" s="272"/>
      <c r="AA129" s="272"/>
      <c r="AB129" s="272"/>
      <c r="AC129" s="272"/>
      <c r="AD129" s="272"/>
      <c r="AE129" s="272"/>
      <c r="AF129" s="272"/>
      <c r="AG129" s="272"/>
      <c r="AH129" s="272"/>
      <c r="AI129" s="272"/>
      <c r="AJ129" s="272"/>
      <c r="AK129" s="272"/>
      <c r="AL129" s="272"/>
      <c r="AM129" s="272"/>
      <c r="AN129" s="272"/>
      <c r="AO129" s="272"/>
      <c r="AP129" s="272"/>
      <c r="AQ129" s="272"/>
      <c r="AR129" s="272"/>
      <c r="AS129" s="272"/>
      <c r="AT129" s="272"/>
      <c r="AU129" s="286"/>
    </row>
    <row r="130" spans="1:47" ht="60" customHeight="1" x14ac:dyDescent="0.35">
      <c r="A130" s="282" t="s">
        <v>6944</v>
      </c>
      <c r="B130" s="260" t="s">
        <v>6945</v>
      </c>
      <c r="C130" s="261" t="s">
        <v>6967</v>
      </c>
      <c r="D130" s="264" t="s">
        <v>6968</v>
      </c>
      <c r="E130" s="265" t="s">
        <v>6712</v>
      </c>
      <c r="F130" s="268" t="s">
        <v>6948</v>
      </c>
      <c r="G130" s="271" t="str">
        <f>IF(COUNTIF(H130:AU130,"&lt;&gt;")=0,"",SUMPRODUCT(((Recommendations[ImplStatus]="Implemented")+(Recommendations[ImplStatus]="Compensated"))*ISNUMBER(MATCH(Recommendations[Id],H130:AU130,0)))/COUNTIF(H130:AU130,"&lt;&gt;"))</f>
        <v/>
      </c>
      <c r="H130" s="272"/>
      <c r="I130" s="272"/>
      <c r="J130" s="272"/>
      <c r="K130" s="272"/>
      <c r="L130" s="272"/>
      <c r="M130" s="272"/>
      <c r="N130" s="272"/>
      <c r="O130" s="272"/>
      <c r="P130" s="272"/>
      <c r="Q130" s="272"/>
      <c r="R130" s="272"/>
      <c r="S130" s="272"/>
      <c r="T130" s="272"/>
      <c r="U130" s="272"/>
      <c r="V130" s="272"/>
      <c r="W130" s="272"/>
      <c r="X130" s="272"/>
      <c r="Y130" s="272"/>
      <c r="Z130" s="272"/>
      <c r="AA130" s="272"/>
      <c r="AB130" s="272"/>
      <c r="AC130" s="272"/>
      <c r="AD130" s="272"/>
      <c r="AE130" s="272"/>
      <c r="AF130" s="272"/>
      <c r="AG130" s="272"/>
      <c r="AH130" s="272"/>
      <c r="AI130" s="272"/>
      <c r="AJ130" s="272"/>
      <c r="AK130" s="272"/>
      <c r="AL130" s="272"/>
      <c r="AM130" s="272"/>
      <c r="AN130" s="272"/>
      <c r="AO130" s="272"/>
      <c r="AP130" s="272"/>
      <c r="AQ130" s="272"/>
      <c r="AR130" s="272"/>
      <c r="AS130" s="272"/>
      <c r="AT130" s="272"/>
      <c r="AU130" s="286"/>
    </row>
    <row r="131" spans="1:47" ht="60" customHeight="1" x14ac:dyDescent="0.35">
      <c r="A131" s="282" t="s">
        <v>6944</v>
      </c>
      <c r="B131" s="260" t="s">
        <v>6945</v>
      </c>
      <c r="C131" s="261" t="s">
        <v>6969</v>
      </c>
      <c r="D131" s="264" t="s">
        <v>6970</v>
      </c>
      <c r="E131" s="265" t="s">
        <v>6712</v>
      </c>
      <c r="F131" s="268" t="s">
        <v>6948</v>
      </c>
      <c r="G131" s="271" t="str">
        <f>IF(COUNTIF(H131:AU131,"&lt;&gt;")=0,"",SUMPRODUCT(((Recommendations[ImplStatus]="Implemented")+(Recommendations[ImplStatus]="Compensated"))*ISNUMBER(MATCH(Recommendations[Id],H131:AU131,0)))/COUNTIF(H131:AU131,"&lt;&gt;"))</f>
        <v/>
      </c>
      <c r="H131" s="272"/>
      <c r="I131" s="272"/>
      <c r="J131" s="272"/>
      <c r="K131" s="272"/>
      <c r="L131" s="272"/>
      <c r="M131" s="272"/>
      <c r="N131" s="272"/>
      <c r="O131" s="272"/>
      <c r="P131" s="272"/>
      <c r="Q131" s="272"/>
      <c r="R131" s="272"/>
      <c r="S131" s="272"/>
      <c r="T131" s="272"/>
      <c r="U131" s="272"/>
      <c r="V131" s="272"/>
      <c r="W131" s="272"/>
      <c r="X131" s="272"/>
      <c r="Y131" s="272"/>
      <c r="Z131" s="272"/>
      <c r="AA131" s="272"/>
      <c r="AB131" s="272"/>
      <c r="AC131" s="272"/>
      <c r="AD131" s="272"/>
      <c r="AE131" s="272"/>
      <c r="AF131" s="272"/>
      <c r="AG131" s="272"/>
      <c r="AH131" s="272"/>
      <c r="AI131" s="272"/>
      <c r="AJ131" s="272"/>
      <c r="AK131" s="272"/>
      <c r="AL131" s="272"/>
      <c r="AM131" s="272"/>
      <c r="AN131" s="272"/>
      <c r="AO131" s="272"/>
      <c r="AP131" s="272"/>
      <c r="AQ131" s="272"/>
      <c r="AR131" s="272"/>
      <c r="AS131" s="272"/>
      <c r="AT131" s="272"/>
      <c r="AU131" s="286"/>
    </row>
    <row r="132" spans="1:47" ht="60" customHeight="1" x14ac:dyDescent="0.35">
      <c r="A132" s="282" t="s">
        <v>6944</v>
      </c>
      <c r="B132" s="260" t="s">
        <v>6945</v>
      </c>
      <c r="C132" s="261" t="s">
        <v>6971</v>
      </c>
      <c r="D132" s="264" t="s">
        <v>6972</v>
      </c>
      <c r="E132" s="265" t="s">
        <v>6712</v>
      </c>
      <c r="F132" s="268" t="s">
        <v>6948</v>
      </c>
      <c r="G132" s="271" t="str">
        <f>IF(COUNTIF(H132:AU132,"&lt;&gt;")=0,"",SUMPRODUCT(((Recommendations[ImplStatus]="Implemented")+(Recommendations[ImplStatus]="Compensated"))*ISNUMBER(MATCH(Recommendations[Id],H132:AU132,0)))/COUNTIF(H132:AU132,"&lt;&gt;"))</f>
        <v/>
      </c>
      <c r="H132" s="272"/>
      <c r="I132" s="272"/>
      <c r="J132" s="272"/>
      <c r="K132" s="272"/>
      <c r="L132" s="272"/>
      <c r="M132" s="272"/>
      <c r="N132" s="272"/>
      <c r="O132" s="272"/>
      <c r="P132" s="272"/>
      <c r="Q132" s="272"/>
      <c r="R132" s="272"/>
      <c r="S132" s="272"/>
      <c r="T132" s="272"/>
      <c r="U132" s="272"/>
      <c r="V132" s="272"/>
      <c r="W132" s="272"/>
      <c r="X132" s="272"/>
      <c r="Y132" s="272"/>
      <c r="Z132" s="272"/>
      <c r="AA132" s="272"/>
      <c r="AB132" s="272"/>
      <c r="AC132" s="272"/>
      <c r="AD132" s="272"/>
      <c r="AE132" s="272"/>
      <c r="AF132" s="272"/>
      <c r="AG132" s="272"/>
      <c r="AH132" s="272"/>
      <c r="AI132" s="272"/>
      <c r="AJ132" s="272"/>
      <c r="AK132" s="272"/>
      <c r="AL132" s="272"/>
      <c r="AM132" s="272"/>
      <c r="AN132" s="272"/>
      <c r="AO132" s="272"/>
      <c r="AP132" s="272"/>
      <c r="AQ132" s="272"/>
      <c r="AR132" s="272"/>
      <c r="AS132" s="272"/>
      <c r="AT132" s="272"/>
      <c r="AU132" s="286"/>
    </row>
    <row r="133" spans="1:47" ht="60" customHeight="1" x14ac:dyDescent="0.35">
      <c r="A133" s="282" t="s">
        <v>6944</v>
      </c>
      <c r="B133" s="260" t="s">
        <v>6945</v>
      </c>
      <c r="C133" s="261" t="s">
        <v>6973</v>
      </c>
      <c r="D133" s="264" t="s">
        <v>6974</v>
      </c>
      <c r="E133" s="265" t="s">
        <v>6741</v>
      </c>
      <c r="F133" s="268" t="s">
        <v>6948</v>
      </c>
      <c r="G133" s="271" t="str">
        <f>IF(COUNTIF(H133:AU133,"&lt;&gt;")=0,"",SUMPRODUCT(((Recommendations[ImplStatus]="Implemented")+(Recommendations[ImplStatus]="Compensated"))*ISNUMBER(MATCH(Recommendations[Id],H133:AU133,0)))/COUNTIF(H133:AU133,"&lt;&gt;"))</f>
        <v/>
      </c>
      <c r="H133" s="272"/>
      <c r="I133" s="272"/>
      <c r="J133" s="272"/>
      <c r="K133" s="272"/>
      <c r="L133" s="272"/>
      <c r="M133" s="272"/>
      <c r="N133" s="272"/>
      <c r="O133" s="272"/>
      <c r="P133" s="272"/>
      <c r="Q133" s="272"/>
      <c r="R133" s="272"/>
      <c r="S133" s="272"/>
      <c r="T133" s="272"/>
      <c r="U133" s="272"/>
      <c r="V133" s="272"/>
      <c r="W133" s="272"/>
      <c r="X133" s="272"/>
      <c r="Y133" s="272"/>
      <c r="Z133" s="272"/>
      <c r="AA133" s="272"/>
      <c r="AB133" s="272"/>
      <c r="AC133" s="272"/>
      <c r="AD133" s="272"/>
      <c r="AE133" s="272"/>
      <c r="AF133" s="272"/>
      <c r="AG133" s="272"/>
      <c r="AH133" s="272"/>
      <c r="AI133" s="272"/>
      <c r="AJ133" s="272"/>
      <c r="AK133" s="272"/>
      <c r="AL133" s="272"/>
      <c r="AM133" s="272"/>
      <c r="AN133" s="272"/>
      <c r="AO133" s="272"/>
      <c r="AP133" s="272"/>
      <c r="AQ133" s="272"/>
      <c r="AR133" s="272"/>
      <c r="AS133" s="272"/>
      <c r="AT133" s="272"/>
      <c r="AU133" s="286"/>
    </row>
    <row r="134" spans="1:47" ht="60" customHeight="1" x14ac:dyDescent="0.35">
      <c r="A134" s="282" t="s">
        <v>6944</v>
      </c>
      <c r="B134" s="260" t="s">
        <v>6945</v>
      </c>
      <c r="C134" s="261" t="s">
        <v>6975</v>
      </c>
      <c r="D134" s="264" t="s">
        <v>6976</v>
      </c>
      <c r="E134" s="265" t="s">
        <v>6741</v>
      </c>
      <c r="F134" s="268" t="s">
        <v>6948</v>
      </c>
      <c r="G134" s="271" t="str">
        <f>IF(COUNTIF(H134:AU134,"&lt;&gt;")=0,"",SUMPRODUCT(((Recommendations[ImplStatus]="Implemented")+(Recommendations[ImplStatus]="Compensated"))*ISNUMBER(MATCH(Recommendations[Id],H134:AU134,0)))/COUNTIF(H134:AU134,"&lt;&gt;"))</f>
        <v/>
      </c>
      <c r="H134" s="272"/>
      <c r="I134" s="272"/>
      <c r="J134" s="272"/>
      <c r="K134" s="272"/>
      <c r="L134" s="272"/>
      <c r="M134" s="272"/>
      <c r="N134" s="272"/>
      <c r="O134" s="272"/>
      <c r="P134" s="272"/>
      <c r="Q134" s="272"/>
      <c r="R134" s="272"/>
      <c r="S134" s="272"/>
      <c r="T134" s="272"/>
      <c r="U134" s="272"/>
      <c r="V134" s="272"/>
      <c r="W134" s="272"/>
      <c r="X134" s="272"/>
      <c r="Y134" s="272"/>
      <c r="Z134" s="272"/>
      <c r="AA134" s="272"/>
      <c r="AB134" s="272"/>
      <c r="AC134" s="272"/>
      <c r="AD134" s="272"/>
      <c r="AE134" s="272"/>
      <c r="AF134" s="272"/>
      <c r="AG134" s="272"/>
      <c r="AH134" s="272"/>
      <c r="AI134" s="272"/>
      <c r="AJ134" s="272"/>
      <c r="AK134" s="272"/>
      <c r="AL134" s="272"/>
      <c r="AM134" s="272"/>
      <c r="AN134" s="272"/>
      <c r="AO134" s="272"/>
      <c r="AP134" s="272"/>
      <c r="AQ134" s="272"/>
      <c r="AR134" s="272"/>
      <c r="AS134" s="272"/>
      <c r="AT134" s="272"/>
      <c r="AU134" s="286"/>
    </row>
    <row r="135" spans="1:47" ht="60" customHeight="1" x14ac:dyDescent="0.35">
      <c r="A135" s="282" t="s">
        <v>6944</v>
      </c>
      <c r="B135" s="260" t="s">
        <v>6945</v>
      </c>
      <c r="C135" s="261" t="s">
        <v>6977</v>
      </c>
      <c r="D135" s="264" t="s">
        <v>6978</v>
      </c>
      <c r="E135" s="265" t="s">
        <v>6856</v>
      </c>
      <c r="F135" s="268" t="s">
        <v>6948</v>
      </c>
      <c r="G135" s="271" t="str">
        <f>IF(COUNTIF(H135:AU135,"&lt;&gt;")=0,"",SUMPRODUCT(((Recommendations[ImplStatus]="Implemented")+(Recommendations[ImplStatus]="Compensated"))*ISNUMBER(MATCH(Recommendations[Id],H135:AU135,0)))/COUNTIF(H135:AU135,"&lt;&gt;"))</f>
        <v/>
      </c>
      <c r="H135" s="272"/>
      <c r="I135" s="272"/>
      <c r="J135" s="272"/>
      <c r="K135" s="272"/>
      <c r="L135" s="272"/>
      <c r="M135" s="272"/>
      <c r="N135" s="272"/>
      <c r="O135" s="272"/>
      <c r="P135" s="272"/>
      <c r="Q135" s="272"/>
      <c r="R135" s="272"/>
      <c r="S135" s="272"/>
      <c r="T135" s="272"/>
      <c r="U135" s="272"/>
      <c r="V135" s="272"/>
      <c r="W135" s="272"/>
      <c r="X135" s="272"/>
      <c r="Y135" s="272"/>
      <c r="Z135" s="272"/>
      <c r="AA135" s="272"/>
      <c r="AB135" s="272"/>
      <c r="AC135" s="272"/>
      <c r="AD135" s="272"/>
      <c r="AE135" s="272"/>
      <c r="AF135" s="272"/>
      <c r="AG135" s="272"/>
      <c r="AH135" s="272"/>
      <c r="AI135" s="272"/>
      <c r="AJ135" s="272"/>
      <c r="AK135" s="272"/>
      <c r="AL135" s="272"/>
      <c r="AM135" s="272"/>
      <c r="AN135" s="272"/>
      <c r="AO135" s="272"/>
      <c r="AP135" s="272"/>
      <c r="AQ135" s="272"/>
      <c r="AR135" s="272"/>
      <c r="AS135" s="272"/>
      <c r="AT135" s="272"/>
      <c r="AU135" s="286"/>
    </row>
    <row r="136" spans="1:47" ht="60" customHeight="1" x14ac:dyDescent="0.35">
      <c r="A136" s="282" t="s">
        <v>6944</v>
      </c>
      <c r="B136" s="260" t="s">
        <v>6945</v>
      </c>
      <c r="C136" s="261" t="s">
        <v>6979</v>
      </c>
      <c r="D136" s="264" t="s">
        <v>6980</v>
      </c>
      <c r="E136" s="265" t="s">
        <v>6741</v>
      </c>
      <c r="F136" s="268" t="s">
        <v>6948</v>
      </c>
      <c r="G136" s="271" t="str">
        <f>IF(COUNTIF(H136:AU136,"&lt;&gt;")=0,"",SUMPRODUCT(((Recommendations[ImplStatus]="Implemented")+(Recommendations[ImplStatus]="Compensated"))*ISNUMBER(MATCH(Recommendations[Id],H136:AU136,0)))/COUNTIF(H136:AU136,"&lt;&gt;"))</f>
        <v/>
      </c>
      <c r="H136" s="272"/>
      <c r="I136" s="272"/>
      <c r="J136" s="272"/>
      <c r="K136" s="272"/>
      <c r="L136" s="272"/>
      <c r="M136" s="272"/>
      <c r="N136" s="272"/>
      <c r="O136" s="272"/>
      <c r="P136" s="272"/>
      <c r="Q136" s="272"/>
      <c r="R136" s="272"/>
      <c r="S136" s="272"/>
      <c r="T136" s="272"/>
      <c r="U136" s="272"/>
      <c r="V136" s="272"/>
      <c r="W136" s="272"/>
      <c r="X136" s="272"/>
      <c r="Y136" s="272"/>
      <c r="Z136" s="272"/>
      <c r="AA136" s="272"/>
      <c r="AB136" s="272"/>
      <c r="AC136" s="272"/>
      <c r="AD136" s="272"/>
      <c r="AE136" s="272"/>
      <c r="AF136" s="272"/>
      <c r="AG136" s="272"/>
      <c r="AH136" s="272"/>
      <c r="AI136" s="272"/>
      <c r="AJ136" s="272"/>
      <c r="AK136" s="272"/>
      <c r="AL136" s="272"/>
      <c r="AM136" s="272"/>
      <c r="AN136" s="272"/>
      <c r="AO136" s="272"/>
      <c r="AP136" s="272"/>
      <c r="AQ136" s="272"/>
      <c r="AR136" s="272"/>
      <c r="AS136" s="272"/>
      <c r="AT136" s="272"/>
      <c r="AU136" s="286"/>
    </row>
    <row r="137" spans="1:47" ht="60" customHeight="1" x14ac:dyDescent="0.35">
      <c r="A137" s="282" t="s">
        <v>6944</v>
      </c>
      <c r="B137" s="260" t="s">
        <v>6945</v>
      </c>
      <c r="C137" s="261" t="s">
        <v>6981</v>
      </c>
      <c r="D137" s="264" t="s">
        <v>6982</v>
      </c>
      <c r="E137" s="265" t="s">
        <v>6741</v>
      </c>
      <c r="F137" s="268" t="s">
        <v>6948</v>
      </c>
      <c r="G137" s="271" t="str">
        <f>IF(COUNTIF(H137:AU137,"&lt;&gt;")=0,"",SUMPRODUCT(((Recommendations[ImplStatus]="Implemented")+(Recommendations[ImplStatus]="Compensated"))*ISNUMBER(MATCH(Recommendations[Id],H137:AU137,0)))/COUNTIF(H137:AU137,"&lt;&gt;"))</f>
        <v/>
      </c>
      <c r="H137" s="272"/>
      <c r="I137" s="272"/>
      <c r="J137" s="272"/>
      <c r="K137" s="272"/>
      <c r="L137" s="272"/>
      <c r="M137" s="272"/>
      <c r="N137" s="272"/>
      <c r="O137" s="272"/>
      <c r="P137" s="272"/>
      <c r="Q137" s="272"/>
      <c r="R137" s="272"/>
      <c r="S137" s="272"/>
      <c r="T137" s="272"/>
      <c r="U137" s="272"/>
      <c r="V137" s="272"/>
      <c r="W137" s="272"/>
      <c r="X137" s="272"/>
      <c r="Y137" s="272"/>
      <c r="Z137" s="272"/>
      <c r="AA137" s="272"/>
      <c r="AB137" s="272"/>
      <c r="AC137" s="272"/>
      <c r="AD137" s="272"/>
      <c r="AE137" s="272"/>
      <c r="AF137" s="272"/>
      <c r="AG137" s="272"/>
      <c r="AH137" s="272"/>
      <c r="AI137" s="272"/>
      <c r="AJ137" s="272"/>
      <c r="AK137" s="272"/>
      <c r="AL137" s="272"/>
      <c r="AM137" s="272"/>
      <c r="AN137" s="272"/>
      <c r="AO137" s="272"/>
      <c r="AP137" s="272"/>
      <c r="AQ137" s="272"/>
      <c r="AR137" s="272"/>
      <c r="AS137" s="272"/>
      <c r="AT137" s="272"/>
      <c r="AU137" s="286"/>
    </row>
    <row r="138" spans="1:47" ht="60" customHeight="1" x14ac:dyDescent="0.35">
      <c r="A138" s="282" t="s">
        <v>6944</v>
      </c>
      <c r="B138" s="260" t="s">
        <v>6945</v>
      </c>
      <c r="C138" s="261" t="s">
        <v>6983</v>
      </c>
      <c r="D138" s="264" t="s">
        <v>6984</v>
      </c>
      <c r="E138" s="265" t="s">
        <v>6856</v>
      </c>
      <c r="F138" s="268" t="s">
        <v>6948</v>
      </c>
      <c r="G138" s="271" t="str">
        <f>IF(COUNTIF(H138:AU138,"&lt;&gt;")=0,"",SUMPRODUCT(((Recommendations[ImplStatus]="Implemented")+(Recommendations[ImplStatus]="Compensated"))*ISNUMBER(MATCH(Recommendations[Id],H138:AU138,0)))/COUNTIF(H138:AU138,"&lt;&gt;"))</f>
        <v/>
      </c>
      <c r="H138" s="272"/>
      <c r="I138" s="272"/>
      <c r="J138" s="272"/>
      <c r="K138" s="272"/>
      <c r="L138" s="272"/>
      <c r="M138" s="272"/>
      <c r="N138" s="272"/>
      <c r="O138" s="272"/>
      <c r="P138" s="272"/>
      <c r="Q138" s="272"/>
      <c r="R138" s="272"/>
      <c r="S138" s="272"/>
      <c r="T138" s="272"/>
      <c r="U138" s="272"/>
      <c r="V138" s="272"/>
      <c r="W138" s="272"/>
      <c r="X138" s="272"/>
      <c r="Y138" s="272"/>
      <c r="Z138" s="272"/>
      <c r="AA138" s="272"/>
      <c r="AB138" s="272"/>
      <c r="AC138" s="272"/>
      <c r="AD138" s="272"/>
      <c r="AE138" s="272"/>
      <c r="AF138" s="272"/>
      <c r="AG138" s="272"/>
      <c r="AH138" s="272"/>
      <c r="AI138" s="272"/>
      <c r="AJ138" s="272"/>
      <c r="AK138" s="272"/>
      <c r="AL138" s="272"/>
      <c r="AM138" s="272"/>
      <c r="AN138" s="272"/>
      <c r="AO138" s="272"/>
      <c r="AP138" s="272"/>
      <c r="AQ138" s="272"/>
      <c r="AR138" s="272"/>
      <c r="AS138" s="272"/>
      <c r="AT138" s="272"/>
      <c r="AU138" s="286"/>
    </row>
    <row r="139" spans="1:47" ht="60" customHeight="1" x14ac:dyDescent="0.35">
      <c r="A139" s="282" t="s">
        <v>6944</v>
      </c>
      <c r="B139" s="260" t="s">
        <v>6945</v>
      </c>
      <c r="C139" s="261" t="s">
        <v>6985</v>
      </c>
      <c r="D139" s="264" t="s">
        <v>6986</v>
      </c>
      <c r="E139" s="265" t="s">
        <v>6856</v>
      </c>
      <c r="F139" s="268" t="s">
        <v>6948</v>
      </c>
      <c r="G139" s="271" t="str">
        <f>IF(COUNTIF(H139:AU139,"&lt;&gt;")=0,"",SUMPRODUCT(((Recommendations[ImplStatus]="Implemented")+(Recommendations[ImplStatus]="Compensated"))*ISNUMBER(MATCH(Recommendations[Id],H139:AU139,0)))/COUNTIF(H139:AU139,"&lt;&gt;"))</f>
        <v/>
      </c>
      <c r="H139" s="272"/>
      <c r="I139" s="272"/>
      <c r="J139" s="272"/>
      <c r="K139" s="272"/>
      <c r="L139" s="272"/>
      <c r="M139" s="272"/>
      <c r="N139" s="272"/>
      <c r="O139" s="272"/>
      <c r="P139" s="272"/>
      <c r="Q139" s="272"/>
      <c r="R139" s="272"/>
      <c r="S139" s="272"/>
      <c r="T139" s="272"/>
      <c r="U139" s="272"/>
      <c r="V139" s="272"/>
      <c r="W139" s="272"/>
      <c r="X139" s="272"/>
      <c r="Y139" s="272"/>
      <c r="Z139" s="272"/>
      <c r="AA139" s="272"/>
      <c r="AB139" s="272"/>
      <c r="AC139" s="272"/>
      <c r="AD139" s="272"/>
      <c r="AE139" s="272"/>
      <c r="AF139" s="272"/>
      <c r="AG139" s="272"/>
      <c r="AH139" s="272"/>
      <c r="AI139" s="272"/>
      <c r="AJ139" s="272"/>
      <c r="AK139" s="272"/>
      <c r="AL139" s="272"/>
      <c r="AM139" s="272"/>
      <c r="AN139" s="272"/>
      <c r="AO139" s="272"/>
      <c r="AP139" s="272"/>
      <c r="AQ139" s="272"/>
      <c r="AR139" s="272"/>
      <c r="AS139" s="272"/>
      <c r="AT139" s="272"/>
      <c r="AU139" s="286"/>
    </row>
    <row r="140" spans="1:47" ht="60" customHeight="1" x14ac:dyDescent="0.35">
      <c r="A140" s="282" t="s">
        <v>6944</v>
      </c>
      <c r="B140" s="260" t="s">
        <v>6945</v>
      </c>
      <c r="C140" s="261" t="s">
        <v>6987</v>
      </c>
      <c r="D140" s="264" t="s">
        <v>6988</v>
      </c>
      <c r="E140" s="265" t="s">
        <v>6712</v>
      </c>
      <c r="F140" s="268" t="s">
        <v>6948</v>
      </c>
      <c r="G140" s="271" t="str">
        <f>IF(COUNTIF(H140:AU140,"&lt;&gt;")=0,"",SUMPRODUCT(((Recommendations[ImplStatus]="Implemented")+(Recommendations[ImplStatus]="Compensated"))*ISNUMBER(MATCH(Recommendations[Id],H140:AU140,0)))/COUNTIF(H140:AU140,"&lt;&gt;"))</f>
        <v/>
      </c>
      <c r="H140" s="272"/>
      <c r="I140" s="272"/>
      <c r="J140" s="272"/>
      <c r="K140" s="272"/>
      <c r="L140" s="272"/>
      <c r="M140" s="272"/>
      <c r="N140" s="272"/>
      <c r="O140" s="272"/>
      <c r="P140" s="272"/>
      <c r="Q140" s="272"/>
      <c r="R140" s="272"/>
      <c r="S140" s="272"/>
      <c r="T140" s="272"/>
      <c r="U140" s="272"/>
      <c r="V140" s="272"/>
      <c r="W140" s="272"/>
      <c r="X140" s="272"/>
      <c r="Y140" s="272"/>
      <c r="Z140" s="272"/>
      <c r="AA140" s="272"/>
      <c r="AB140" s="272"/>
      <c r="AC140" s="272"/>
      <c r="AD140" s="272"/>
      <c r="AE140" s="272"/>
      <c r="AF140" s="272"/>
      <c r="AG140" s="272"/>
      <c r="AH140" s="272"/>
      <c r="AI140" s="272"/>
      <c r="AJ140" s="272"/>
      <c r="AK140" s="272"/>
      <c r="AL140" s="272"/>
      <c r="AM140" s="272"/>
      <c r="AN140" s="272"/>
      <c r="AO140" s="272"/>
      <c r="AP140" s="272"/>
      <c r="AQ140" s="272"/>
      <c r="AR140" s="272"/>
      <c r="AS140" s="272"/>
      <c r="AT140" s="272"/>
      <c r="AU140" s="286"/>
    </row>
    <row r="141" spans="1:47" ht="60" customHeight="1" x14ac:dyDescent="0.35">
      <c r="A141" s="282" t="s">
        <v>6944</v>
      </c>
      <c r="B141" s="260" t="s">
        <v>6945</v>
      </c>
      <c r="C141" s="261" t="s">
        <v>6989</v>
      </c>
      <c r="D141" s="264" t="s">
        <v>6990</v>
      </c>
      <c r="E141" s="265" t="s">
        <v>6991</v>
      </c>
      <c r="F141" s="268" t="s">
        <v>6992</v>
      </c>
      <c r="G141" s="271" t="str">
        <f>IF(COUNTIF(H141:AU141,"&lt;&gt;")=0,"",SUMPRODUCT(((Recommendations[ImplStatus]="Implemented")+(Recommendations[ImplStatus]="Compensated"))*ISNUMBER(MATCH(Recommendations[Id],H141:AU141,0)))/COUNTIF(H141:AU141,"&lt;&gt;"))</f>
        <v/>
      </c>
      <c r="H141" s="272"/>
      <c r="I141" s="272"/>
      <c r="J141" s="272"/>
      <c r="K141" s="272"/>
      <c r="L141" s="272"/>
      <c r="M141" s="272"/>
      <c r="N141" s="272"/>
      <c r="O141" s="272"/>
      <c r="P141" s="272"/>
      <c r="Q141" s="272"/>
      <c r="R141" s="272"/>
      <c r="S141" s="272"/>
      <c r="T141" s="272"/>
      <c r="U141" s="272"/>
      <c r="V141" s="272"/>
      <c r="W141" s="272"/>
      <c r="X141" s="272"/>
      <c r="Y141" s="272"/>
      <c r="Z141" s="272"/>
      <c r="AA141" s="272"/>
      <c r="AB141" s="272"/>
      <c r="AC141" s="272"/>
      <c r="AD141" s="272"/>
      <c r="AE141" s="272"/>
      <c r="AF141" s="272"/>
      <c r="AG141" s="272"/>
      <c r="AH141" s="272"/>
      <c r="AI141" s="272"/>
      <c r="AJ141" s="272"/>
      <c r="AK141" s="272"/>
      <c r="AL141" s="272"/>
      <c r="AM141" s="272"/>
      <c r="AN141" s="272"/>
      <c r="AO141" s="272"/>
      <c r="AP141" s="272"/>
      <c r="AQ141" s="272"/>
      <c r="AR141" s="272"/>
      <c r="AS141" s="272"/>
      <c r="AT141" s="272"/>
      <c r="AU141" s="286"/>
    </row>
    <row r="142" spans="1:47" ht="60" customHeight="1" x14ac:dyDescent="0.35">
      <c r="A142" s="282" t="s">
        <v>6944</v>
      </c>
      <c r="B142" s="260" t="s">
        <v>6945</v>
      </c>
      <c r="C142" s="261" t="s">
        <v>6993</v>
      </c>
      <c r="D142" s="264" t="s">
        <v>6994</v>
      </c>
      <c r="E142" s="265" t="s">
        <v>6991</v>
      </c>
      <c r="F142" s="268" t="s">
        <v>6992</v>
      </c>
      <c r="G142" s="271" t="str">
        <f>IF(COUNTIF(H142:AU142,"&lt;&gt;")=0,"",SUMPRODUCT(((Recommendations[ImplStatus]="Implemented")+(Recommendations[ImplStatus]="Compensated"))*ISNUMBER(MATCH(Recommendations[Id],H142:AU142,0)))/COUNTIF(H142:AU142,"&lt;&gt;"))</f>
        <v/>
      </c>
      <c r="H142" s="272"/>
      <c r="I142" s="272"/>
      <c r="J142" s="272"/>
      <c r="K142" s="272"/>
      <c r="L142" s="272"/>
      <c r="M142" s="272"/>
      <c r="N142" s="272"/>
      <c r="O142" s="272"/>
      <c r="P142" s="272"/>
      <c r="Q142" s="272"/>
      <c r="R142" s="272"/>
      <c r="S142" s="272"/>
      <c r="T142" s="272"/>
      <c r="U142" s="272"/>
      <c r="V142" s="272"/>
      <c r="W142" s="272"/>
      <c r="X142" s="272"/>
      <c r="Y142" s="272"/>
      <c r="Z142" s="272"/>
      <c r="AA142" s="272"/>
      <c r="AB142" s="272"/>
      <c r="AC142" s="272"/>
      <c r="AD142" s="272"/>
      <c r="AE142" s="272"/>
      <c r="AF142" s="272"/>
      <c r="AG142" s="272"/>
      <c r="AH142" s="272"/>
      <c r="AI142" s="272"/>
      <c r="AJ142" s="272"/>
      <c r="AK142" s="272"/>
      <c r="AL142" s="272"/>
      <c r="AM142" s="272"/>
      <c r="AN142" s="272"/>
      <c r="AO142" s="272"/>
      <c r="AP142" s="272"/>
      <c r="AQ142" s="272"/>
      <c r="AR142" s="272"/>
      <c r="AS142" s="272"/>
      <c r="AT142" s="272"/>
      <c r="AU142" s="286"/>
    </row>
    <row r="143" spans="1:47" ht="60" customHeight="1" x14ac:dyDescent="0.35">
      <c r="A143" s="282" t="s">
        <v>6944</v>
      </c>
      <c r="B143" s="260" t="s">
        <v>6945</v>
      </c>
      <c r="C143" s="261" t="s">
        <v>6995</v>
      </c>
      <c r="D143" s="264" t="s">
        <v>6996</v>
      </c>
      <c r="E143" s="265" t="s">
        <v>6991</v>
      </c>
      <c r="F143" s="268" t="s">
        <v>6992</v>
      </c>
      <c r="G143" s="271" t="str">
        <f>IF(COUNTIF(H143:AU143,"&lt;&gt;")=0,"",SUMPRODUCT(((Recommendations[ImplStatus]="Implemented")+(Recommendations[ImplStatus]="Compensated"))*ISNUMBER(MATCH(Recommendations[Id],H143:AU143,0)))/COUNTIF(H143:AU143,"&lt;&gt;"))</f>
        <v/>
      </c>
      <c r="H143" s="272"/>
      <c r="I143" s="272"/>
      <c r="J143" s="272"/>
      <c r="K143" s="272"/>
      <c r="L143" s="272"/>
      <c r="M143" s="272"/>
      <c r="N143" s="272"/>
      <c r="O143" s="272"/>
      <c r="P143" s="272"/>
      <c r="Q143" s="272"/>
      <c r="R143" s="272"/>
      <c r="S143" s="272"/>
      <c r="T143" s="272"/>
      <c r="U143" s="272"/>
      <c r="V143" s="272"/>
      <c r="W143" s="272"/>
      <c r="X143" s="272"/>
      <c r="Y143" s="272"/>
      <c r="Z143" s="272"/>
      <c r="AA143" s="272"/>
      <c r="AB143" s="272"/>
      <c r="AC143" s="272"/>
      <c r="AD143" s="272"/>
      <c r="AE143" s="272"/>
      <c r="AF143" s="272"/>
      <c r="AG143" s="272"/>
      <c r="AH143" s="272"/>
      <c r="AI143" s="272"/>
      <c r="AJ143" s="272"/>
      <c r="AK143" s="272"/>
      <c r="AL143" s="272"/>
      <c r="AM143" s="272"/>
      <c r="AN143" s="272"/>
      <c r="AO143" s="272"/>
      <c r="AP143" s="272"/>
      <c r="AQ143" s="272"/>
      <c r="AR143" s="272"/>
      <c r="AS143" s="272"/>
      <c r="AT143" s="272"/>
      <c r="AU143" s="286"/>
    </row>
    <row r="144" spans="1:47" ht="60" customHeight="1" x14ac:dyDescent="0.35">
      <c r="A144" s="282" t="s">
        <v>6944</v>
      </c>
      <c r="B144" s="260" t="s">
        <v>6945</v>
      </c>
      <c r="C144" s="261" t="s">
        <v>6997</v>
      </c>
      <c r="D144" s="264" t="s">
        <v>6998</v>
      </c>
      <c r="E144" s="265" t="s">
        <v>6808</v>
      </c>
      <c r="F144" s="268" t="s">
        <v>6992</v>
      </c>
      <c r="G144" s="271" t="str">
        <f>IF(COUNTIF(H144:AU144,"&lt;&gt;")=0,"",SUMPRODUCT(((Recommendations[ImplStatus]="Implemented")+(Recommendations[ImplStatus]="Compensated"))*ISNUMBER(MATCH(Recommendations[Id],H144:AU144,0)))/COUNTIF(H144:AU144,"&lt;&gt;"))</f>
        <v/>
      </c>
      <c r="H144" s="272"/>
      <c r="I144" s="272"/>
      <c r="J144" s="272"/>
      <c r="K144" s="272"/>
      <c r="L144" s="272"/>
      <c r="M144" s="272"/>
      <c r="N144" s="272"/>
      <c r="O144" s="272"/>
      <c r="P144" s="272"/>
      <c r="Q144" s="272"/>
      <c r="R144" s="272"/>
      <c r="S144" s="272"/>
      <c r="T144" s="272"/>
      <c r="U144" s="272"/>
      <c r="V144" s="272"/>
      <c r="W144" s="272"/>
      <c r="X144" s="272"/>
      <c r="Y144" s="272"/>
      <c r="Z144" s="272"/>
      <c r="AA144" s="272"/>
      <c r="AB144" s="272"/>
      <c r="AC144" s="272"/>
      <c r="AD144" s="272"/>
      <c r="AE144" s="272"/>
      <c r="AF144" s="272"/>
      <c r="AG144" s="272"/>
      <c r="AH144" s="272"/>
      <c r="AI144" s="272"/>
      <c r="AJ144" s="272"/>
      <c r="AK144" s="272"/>
      <c r="AL144" s="272"/>
      <c r="AM144" s="272"/>
      <c r="AN144" s="272"/>
      <c r="AO144" s="272"/>
      <c r="AP144" s="272"/>
      <c r="AQ144" s="272"/>
      <c r="AR144" s="272"/>
      <c r="AS144" s="272"/>
      <c r="AT144" s="272"/>
      <c r="AU144" s="286"/>
    </row>
    <row r="145" spans="1:47" ht="60" customHeight="1" x14ac:dyDescent="0.35">
      <c r="A145" s="282" t="s">
        <v>6944</v>
      </c>
      <c r="B145" s="260" t="s">
        <v>6945</v>
      </c>
      <c r="C145" s="261" t="s">
        <v>6999</v>
      </c>
      <c r="D145" s="264" t="s">
        <v>7000</v>
      </c>
      <c r="E145" s="265" t="s">
        <v>6808</v>
      </c>
      <c r="F145" s="268" t="s">
        <v>6992</v>
      </c>
      <c r="G145" s="271" t="str">
        <f>IF(COUNTIF(H145:AU145,"&lt;&gt;")=0,"",SUMPRODUCT(((Recommendations[ImplStatus]="Implemented")+(Recommendations[ImplStatus]="Compensated"))*ISNUMBER(MATCH(Recommendations[Id],H145:AU145,0)))/COUNTIF(H145:AU145,"&lt;&gt;"))</f>
        <v/>
      </c>
      <c r="H145" s="272"/>
      <c r="I145" s="272"/>
      <c r="J145" s="272"/>
      <c r="K145" s="272"/>
      <c r="L145" s="272"/>
      <c r="M145" s="272"/>
      <c r="N145" s="272"/>
      <c r="O145" s="272"/>
      <c r="P145" s="272"/>
      <c r="Q145" s="272"/>
      <c r="R145" s="272"/>
      <c r="S145" s="272"/>
      <c r="T145" s="272"/>
      <c r="U145" s="272"/>
      <c r="V145" s="272"/>
      <c r="W145" s="272"/>
      <c r="X145" s="272"/>
      <c r="Y145" s="272"/>
      <c r="Z145" s="272"/>
      <c r="AA145" s="272"/>
      <c r="AB145" s="272"/>
      <c r="AC145" s="272"/>
      <c r="AD145" s="272"/>
      <c r="AE145" s="272"/>
      <c r="AF145" s="272"/>
      <c r="AG145" s="272"/>
      <c r="AH145" s="272"/>
      <c r="AI145" s="272"/>
      <c r="AJ145" s="272"/>
      <c r="AK145" s="272"/>
      <c r="AL145" s="272"/>
      <c r="AM145" s="272"/>
      <c r="AN145" s="272"/>
      <c r="AO145" s="272"/>
      <c r="AP145" s="272"/>
      <c r="AQ145" s="272"/>
      <c r="AR145" s="272"/>
      <c r="AS145" s="272"/>
      <c r="AT145" s="272"/>
      <c r="AU145" s="286"/>
    </row>
    <row r="146" spans="1:47" ht="60" customHeight="1" x14ac:dyDescent="0.35">
      <c r="A146" s="282" t="s">
        <v>6944</v>
      </c>
      <c r="B146" s="260" t="s">
        <v>6945</v>
      </c>
      <c r="C146" s="261" t="s">
        <v>7001</v>
      </c>
      <c r="D146" s="264" t="s">
        <v>7002</v>
      </c>
      <c r="E146" s="265" t="s">
        <v>6808</v>
      </c>
      <c r="F146" s="268" t="s">
        <v>6992</v>
      </c>
      <c r="G146" s="271" t="str">
        <f>IF(COUNTIF(H146:AU146,"&lt;&gt;")=0,"",SUMPRODUCT(((Recommendations[ImplStatus]="Implemented")+(Recommendations[ImplStatus]="Compensated"))*ISNUMBER(MATCH(Recommendations[Id],H146:AU146,0)))/COUNTIF(H146:AU146,"&lt;&gt;"))</f>
        <v/>
      </c>
      <c r="H146" s="272"/>
      <c r="I146" s="272"/>
      <c r="J146" s="272"/>
      <c r="K146" s="272"/>
      <c r="L146" s="272"/>
      <c r="M146" s="272"/>
      <c r="N146" s="272"/>
      <c r="O146" s="272"/>
      <c r="P146" s="272"/>
      <c r="Q146" s="272"/>
      <c r="R146" s="272"/>
      <c r="S146" s="272"/>
      <c r="T146" s="272"/>
      <c r="U146" s="272"/>
      <c r="V146" s="272"/>
      <c r="W146" s="272"/>
      <c r="X146" s="272"/>
      <c r="Y146" s="272"/>
      <c r="Z146" s="272"/>
      <c r="AA146" s="272"/>
      <c r="AB146" s="272"/>
      <c r="AC146" s="272"/>
      <c r="AD146" s="272"/>
      <c r="AE146" s="272"/>
      <c r="AF146" s="272"/>
      <c r="AG146" s="272"/>
      <c r="AH146" s="272"/>
      <c r="AI146" s="272"/>
      <c r="AJ146" s="272"/>
      <c r="AK146" s="272"/>
      <c r="AL146" s="272"/>
      <c r="AM146" s="272"/>
      <c r="AN146" s="272"/>
      <c r="AO146" s="272"/>
      <c r="AP146" s="272"/>
      <c r="AQ146" s="272"/>
      <c r="AR146" s="272"/>
      <c r="AS146" s="272"/>
      <c r="AT146" s="272"/>
      <c r="AU146" s="286"/>
    </row>
    <row r="147" spans="1:47" ht="60" customHeight="1" outlineLevel="2" x14ac:dyDescent="0.35">
      <c r="A147" s="281" t="s">
        <v>6944</v>
      </c>
      <c r="B147" s="259" t="s">
        <v>7003</v>
      </c>
      <c r="C147" s="259"/>
      <c r="D147" s="263"/>
      <c r="E147" s="259"/>
      <c r="F147" s="267"/>
      <c r="G147" s="270" t="str">
        <f>IF(COUNTIF(H147:AU147,"&lt;&gt;")=0,"",SUMPRODUCT(((Recommendations[ImplStatus]="Implemented")+(Recommendations[ImplStatus]="Compensated"))*ISNUMBER(MATCH(Recommendations[Id],H147:AU147,0)))/COUNTIF(H147:AU147,"&lt;&gt;"))</f>
        <v/>
      </c>
      <c r="H147" s="267"/>
      <c r="I147" s="267"/>
      <c r="J147" s="267"/>
      <c r="K147" s="267"/>
      <c r="L147" s="267"/>
      <c r="M147" s="267"/>
      <c r="N147" s="267"/>
      <c r="O147" s="267"/>
      <c r="P147" s="267"/>
      <c r="Q147" s="267"/>
      <c r="R147" s="267"/>
      <c r="S147" s="267"/>
      <c r="T147" s="267"/>
      <c r="U147" s="267"/>
      <c r="V147" s="267"/>
      <c r="W147" s="267"/>
      <c r="X147" s="267"/>
      <c r="Y147" s="267"/>
      <c r="Z147" s="267"/>
      <c r="AA147" s="267"/>
      <c r="AB147" s="267"/>
      <c r="AC147" s="267"/>
      <c r="AD147" s="267"/>
      <c r="AE147" s="267"/>
      <c r="AF147" s="267"/>
      <c r="AG147" s="267"/>
      <c r="AH147" s="267"/>
      <c r="AI147" s="267"/>
      <c r="AJ147" s="267"/>
      <c r="AK147" s="267"/>
      <c r="AL147" s="267"/>
      <c r="AM147" s="267"/>
      <c r="AN147" s="267"/>
      <c r="AO147" s="267"/>
      <c r="AP147" s="267"/>
      <c r="AQ147" s="267"/>
      <c r="AR147" s="267"/>
      <c r="AS147" s="267"/>
      <c r="AT147" s="267"/>
      <c r="AU147" s="285"/>
    </row>
    <row r="148" spans="1:47" ht="60" customHeight="1" x14ac:dyDescent="0.35">
      <c r="A148" s="282" t="s">
        <v>6944</v>
      </c>
      <c r="B148" s="260" t="s">
        <v>7003</v>
      </c>
      <c r="C148" s="261" t="s">
        <v>7004</v>
      </c>
      <c r="D148" s="264" t="s">
        <v>7005</v>
      </c>
      <c r="E148" s="265" t="s">
        <v>6741</v>
      </c>
      <c r="F148" s="268" t="s">
        <v>7006</v>
      </c>
      <c r="G148" s="271" t="str">
        <f>IF(COUNTIF(H148:AU148,"&lt;&gt;")=0,"",SUMPRODUCT(((Recommendations[ImplStatus]="Implemented")+(Recommendations[ImplStatus]="Compensated"))*ISNUMBER(MATCH(Recommendations[Id],H148:AU148,0)))/COUNTIF(H148:AU148,"&lt;&gt;"))</f>
        <v/>
      </c>
      <c r="H148" s="272"/>
      <c r="I148" s="272"/>
      <c r="J148" s="272"/>
      <c r="K148" s="272"/>
      <c r="L148" s="272"/>
      <c r="M148" s="272"/>
      <c r="N148" s="272"/>
      <c r="O148" s="272"/>
      <c r="P148" s="272"/>
      <c r="Q148" s="272"/>
      <c r="R148" s="272"/>
      <c r="S148" s="272"/>
      <c r="T148" s="272"/>
      <c r="U148" s="272"/>
      <c r="V148" s="272"/>
      <c r="W148" s="272"/>
      <c r="X148" s="272"/>
      <c r="Y148" s="272"/>
      <c r="Z148" s="272"/>
      <c r="AA148" s="272"/>
      <c r="AB148" s="272"/>
      <c r="AC148" s="272"/>
      <c r="AD148" s="272"/>
      <c r="AE148" s="272"/>
      <c r="AF148" s="272"/>
      <c r="AG148" s="272"/>
      <c r="AH148" s="272"/>
      <c r="AI148" s="272"/>
      <c r="AJ148" s="272"/>
      <c r="AK148" s="272"/>
      <c r="AL148" s="272"/>
      <c r="AM148" s="272"/>
      <c r="AN148" s="272"/>
      <c r="AO148" s="272"/>
      <c r="AP148" s="272"/>
      <c r="AQ148" s="272"/>
      <c r="AR148" s="272"/>
      <c r="AS148" s="272"/>
      <c r="AT148" s="272"/>
      <c r="AU148" s="286"/>
    </row>
    <row r="149" spans="1:47" ht="60" customHeight="1" x14ac:dyDescent="0.35">
      <c r="A149" s="282" t="s">
        <v>6944</v>
      </c>
      <c r="B149" s="260" t="s">
        <v>7003</v>
      </c>
      <c r="C149" s="261" t="s">
        <v>7007</v>
      </c>
      <c r="D149" s="264" t="s">
        <v>7008</v>
      </c>
      <c r="E149" s="265" t="s">
        <v>6741</v>
      </c>
      <c r="F149" s="268" t="s">
        <v>7006</v>
      </c>
      <c r="G149" s="271" t="str">
        <f>IF(COUNTIF(H149:AU149,"&lt;&gt;")=0,"",SUMPRODUCT(((Recommendations[ImplStatus]="Implemented")+(Recommendations[ImplStatus]="Compensated"))*ISNUMBER(MATCH(Recommendations[Id],H149:AU149,0)))/COUNTIF(H149:AU149,"&lt;&gt;"))</f>
        <v/>
      </c>
      <c r="H149" s="272"/>
      <c r="I149" s="272"/>
      <c r="J149" s="272"/>
      <c r="K149" s="272"/>
      <c r="L149" s="272"/>
      <c r="M149" s="272"/>
      <c r="N149" s="272"/>
      <c r="O149" s="272"/>
      <c r="P149" s="272"/>
      <c r="Q149" s="272"/>
      <c r="R149" s="272"/>
      <c r="S149" s="272"/>
      <c r="T149" s="272"/>
      <c r="U149" s="272"/>
      <c r="V149" s="272"/>
      <c r="W149" s="272"/>
      <c r="X149" s="272"/>
      <c r="Y149" s="272"/>
      <c r="Z149" s="272"/>
      <c r="AA149" s="272"/>
      <c r="AB149" s="272"/>
      <c r="AC149" s="272"/>
      <c r="AD149" s="272"/>
      <c r="AE149" s="272"/>
      <c r="AF149" s="272"/>
      <c r="AG149" s="272"/>
      <c r="AH149" s="272"/>
      <c r="AI149" s="272"/>
      <c r="AJ149" s="272"/>
      <c r="AK149" s="272"/>
      <c r="AL149" s="272"/>
      <c r="AM149" s="272"/>
      <c r="AN149" s="272"/>
      <c r="AO149" s="272"/>
      <c r="AP149" s="272"/>
      <c r="AQ149" s="272"/>
      <c r="AR149" s="272"/>
      <c r="AS149" s="272"/>
      <c r="AT149" s="272"/>
      <c r="AU149" s="286"/>
    </row>
    <row r="150" spans="1:47" ht="60" customHeight="1" x14ac:dyDescent="0.35">
      <c r="A150" s="282" t="s">
        <v>6944</v>
      </c>
      <c r="B150" s="260" t="s">
        <v>7003</v>
      </c>
      <c r="C150" s="261" t="s">
        <v>7009</v>
      </c>
      <c r="D150" s="264" t="s">
        <v>7010</v>
      </c>
      <c r="E150" s="265" t="s">
        <v>6741</v>
      </c>
      <c r="F150" s="268" t="s">
        <v>7006</v>
      </c>
      <c r="G150" s="271" t="str">
        <f>IF(COUNTIF(H150:AU150,"&lt;&gt;")=0,"",SUMPRODUCT(((Recommendations[ImplStatus]="Implemented")+(Recommendations[ImplStatus]="Compensated"))*ISNUMBER(MATCH(Recommendations[Id],H150:AU150,0)))/COUNTIF(H150:AU150,"&lt;&gt;"))</f>
        <v/>
      </c>
      <c r="H150" s="272"/>
      <c r="I150" s="272"/>
      <c r="J150" s="272"/>
      <c r="K150" s="272"/>
      <c r="L150" s="272"/>
      <c r="M150" s="272"/>
      <c r="N150" s="272"/>
      <c r="O150" s="272"/>
      <c r="P150" s="272"/>
      <c r="Q150" s="272"/>
      <c r="R150" s="272"/>
      <c r="S150" s="272"/>
      <c r="T150" s="272"/>
      <c r="U150" s="272"/>
      <c r="V150" s="272"/>
      <c r="W150" s="272"/>
      <c r="X150" s="272"/>
      <c r="Y150" s="272"/>
      <c r="Z150" s="272"/>
      <c r="AA150" s="272"/>
      <c r="AB150" s="272"/>
      <c r="AC150" s="272"/>
      <c r="AD150" s="272"/>
      <c r="AE150" s="272"/>
      <c r="AF150" s="272"/>
      <c r="AG150" s="272"/>
      <c r="AH150" s="272"/>
      <c r="AI150" s="272"/>
      <c r="AJ150" s="272"/>
      <c r="AK150" s="272"/>
      <c r="AL150" s="272"/>
      <c r="AM150" s="272"/>
      <c r="AN150" s="272"/>
      <c r="AO150" s="272"/>
      <c r="AP150" s="272"/>
      <c r="AQ150" s="272"/>
      <c r="AR150" s="272"/>
      <c r="AS150" s="272"/>
      <c r="AT150" s="272"/>
      <c r="AU150" s="286"/>
    </row>
    <row r="151" spans="1:47" ht="60" customHeight="1" x14ac:dyDescent="0.35">
      <c r="A151" s="282" t="s">
        <v>6944</v>
      </c>
      <c r="B151" s="260" t="s">
        <v>7003</v>
      </c>
      <c r="C151" s="261" t="s">
        <v>7011</v>
      </c>
      <c r="D151" s="264" t="s">
        <v>7012</v>
      </c>
      <c r="E151" s="265" t="s">
        <v>6741</v>
      </c>
      <c r="F151" s="268" t="s">
        <v>7006</v>
      </c>
      <c r="G151" s="271" t="str">
        <f>IF(COUNTIF(H151:AU151,"&lt;&gt;")=0,"",SUMPRODUCT(((Recommendations[ImplStatus]="Implemented")+(Recommendations[ImplStatus]="Compensated"))*ISNUMBER(MATCH(Recommendations[Id],H151:AU151,0)))/COUNTIF(H151:AU151,"&lt;&gt;"))</f>
        <v/>
      </c>
      <c r="H151" s="272"/>
      <c r="I151" s="272"/>
      <c r="J151" s="272"/>
      <c r="K151" s="272"/>
      <c r="L151" s="272"/>
      <c r="M151" s="272"/>
      <c r="N151" s="272"/>
      <c r="O151" s="272"/>
      <c r="P151" s="272"/>
      <c r="Q151" s="272"/>
      <c r="R151" s="272"/>
      <c r="S151" s="272"/>
      <c r="T151" s="272"/>
      <c r="U151" s="272"/>
      <c r="V151" s="272"/>
      <c r="W151" s="272"/>
      <c r="X151" s="272"/>
      <c r="Y151" s="272"/>
      <c r="Z151" s="272"/>
      <c r="AA151" s="272"/>
      <c r="AB151" s="272"/>
      <c r="AC151" s="272"/>
      <c r="AD151" s="272"/>
      <c r="AE151" s="272"/>
      <c r="AF151" s="272"/>
      <c r="AG151" s="272"/>
      <c r="AH151" s="272"/>
      <c r="AI151" s="272"/>
      <c r="AJ151" s="272"/>
      <c r="AK151" s="272"/>
      <c r="AL151" s="272"/>
      <c r="AM151" s="272"/>
      <c r="AN151" s="272"/>
      <c r="AO151" s="272"/>
      <c r="AP151" s="272"/>
      <c r="AQ151" s="272"/>
      <c r="AR151" s="272"/>
      <c r="AS151" s="272"/>
      <c r="AT151" s="272"/>
      <c r="AU151" s="286"/>
    </row>
    <row r="152" spans="1:47" ht="60" customHeight="1" x14ac:dyDescent="0.35">
      <c r="A152" s="282" t="s">
        <v>6944</v>
      </c>
      <c r="B152" s="260" t="s">
        <v>7003</v>
      </c>
      <c r="C152" s="261" t="s">
        <v>7013</v>
      </c>
      <c r="D152" s="264" t="s">
        <v>7014</v>
      </c>
      <c r="E152" s="265" t="s">
        <v>6741</v>
      </c>
      <c r="F152" s="268" t="s">
        <v>7006</v>
      </c>
      <c r="G152" s="271" t="str">
        <f>IF(COUNTIF(H152:AU152,"&lt;&gt;")=0,"",SUMPRODUCT(((Recommendations[ImplStatus]="Implemented")+(Recommendations[ImplStatus]="Compensated"))*ISNUMBER(MATCH(Recommendations[Id],H152:AU152,0)))/COUNTIF(H152:AU152,"&lt;&gt;"))</f>
        <v/>
      </c>
      <c r="H152" s="272"/>
      <c r="I152" s="272"/>
      <c r="J152" s="272"/>
      <c r="K152" s="272"/>
      <c r="L152" s="272"/>
      <c r="M152" s="272"/>
      <c r="N152" s="272"/>
      <c r="O152" s="272"/>
      <c r="P152" s="272"/>
      <c r="Q152" s="272"/>
      <c r="R152" s="272"/>
      <c r="S152" s="272"/>
      <c r="T152" s="272"/>
      <c r="U152" s="272"/>
      <c r="V152" s="272"/>
      <c r="W152" s="272"/>
      <c r="X152" s="272"/>
      <c r="Y152" s="272"/>
      <c r="Z152" s="272"/>
      <c r="AA152" s="272"/>
      <c r="AB152" s="272"/>
      <c r="AC152" s="272"/>
      <c r="AD152" s="272"/>
      <c r="AE152" s="272"/>
      <c r="AF152" s="272"/>
      <c r="AG152" s="272"/>
      <c r="AH152" s="272"/>
      <c r="AI152" s="272"/>
      <c r="AJ152" s="272"/>
      <c r="AK152" s="272"/>
      <c r="AL152" s="272"/>
      <c r="AM152" s="272"/>
      <c r="AN152" s="272"/>
      <c r="AO152" s="272"/>
      <c r="AP152" s="272"/>
      <c r="AQ152" s="272"/>
      <c r="AR152" s="272"/>
      <c r="AS152" s="272"/>
      <c r="AT152" s="272"/>
      <c r="AU152" s="286"/>
    </row>
    <row r="153" spans="1:47" ht="60" customHeight="1" x14ac:dyDescent="0.35">
      <c r="A153" s="282" t="s">
        <v>6944</v>
      </c>
      <c r="B153" s="260" t="s">
        <v>7003</v>
      </c>
      <c r="C153" s="261" t="s">
        <v>7015</v>
      </c>
      <c r="D153" s="264" t="s">
        <v>7016</v>
      </c>
      <c r="E153" s="265" t="s">
        <v>6741</v>
      </c>
      <c r="F153" s="268" t="s">
        <v>7006</v>
      </c>
      <c r="G153" s="271" t="str">
        <f>IF(COUNTIF(H153:AU153,"&lt;&gt;")=0,"",SUMPRODUCT(((Recommendations[ImplStatus]="Implemented")+(Recommendations[ImplStatus]="Compensated"))*ISNUMBER(MATCH(Recommendations[Id],H153:AU153,0)))/COUNTIF(H153:AU153,"&lt;&gt;"))</f>
        <v/>
      </c>
      <c r="H153" s="272"/>
      <c r="I153" s="272"/>
      <c r="J153" s="272"/>
      <c r="K153" s="272"/>
      <c r="L153" s="272"/>
      <c r="M153" s="272"/>
      <c r="N153" s="272"/>
      <c r="O153" s="272"/>
      <c r="P153" s="272"/>
      <c r="Q153" s="272"/>
      <c r="R153" s="272"/>
      <c r="S153" s="272"/>
      <c r="T153" s="272"/>
      <c r="U153" s="272"/>
      <c r="V153" s="272"/>
      <c r="W153" s="272"/>
      <c r="X153" s="272"/>
      <c r="Y153" s="272"/>
      <c r="Z153" s="272"/>
      <c r="AA153" s="272"/>
      <c r="AB153" s="272"/>
      <c r="AC153" s="272"/>
      <c r="AD153" s="272"/>
      <c r="AE153" s="272"/>
      <c r="AF153" s="272"/>
      <c r="AG153" s="272"/>
      <c r="AH153" s="272"/>
      <c r="AI153" s="272"/>
      <c r="AJ153" s="272"/>
      <c r="AK153" s="272"/>
      <c r="AL153" s="272"/>
      <c r="AM153" s="272"/>
      <c r="AN153" s="272"/>
      <c r="AO153" s="272"/>
      <c r="AP153" s="272"/>
      <c r="AQ153" s="272"/>
      <c r="AR153" s="272"/>
      <c r="AS153" s="272"/>
      <c r="AT153" s="272"/>
      <c r="AU153" s="286"/>
    </row>
    <row r="154" spans="1:47" ht="60" customHeight="1" x14ac:dyDescent="0.35">
      <c r="A154" s="282" t="s">
        <v>6944</v>
      </c>
      <c r="B154" s="260" t="s">
        <v>7003</v>
      </c>
      <c r="C154" s="261" t="s">
        <v>7017</v>
      </c>
      <c r="D154" s="264" t="s">
        <v>7018</v>
      </c>
      <c r="E154" s="265" t="s">
        <v>6741</v>
      </c>
      <c r="F154" s="268" t="s">
        <v>7006</v>
      </c>
      <c r="G154" s="271" t="str">
        <f>IF(COUNTIF(H154:AU154,"&lt;&gt;")=0,"",SUMPRODUCT(((Recommendations[ImplStatus]="Implemented")+(Recommendations[ImplStatus]="Compensated"))*ISNUMBER(MATCH(Recommendations[Id],H154:AU154,0)))/COUNTIF(H154:AU154,"&lt;&gt;"))</f>
        <v/>
      </c>
      <c r="H154" s="272"/>
      <c r="I154" s="272"/>
      <c r="J154" s="272"/>
      <c r="K154" s="272"/>
      <c r="L154" s="272"/>
      <c r="M154" s="272"/>
      <c r="N154" s="272"/>
      <c r="O154" s="272"/>
      <c r="P154" s="272"/>
      <c r="Q154" s="272"/>
      <c r="R154" s="272"/>
      <c r="S154" s="272"/>
      <c r="T154" s="272"/>
      <c r="U154" s="272"/>
      <c r="V154" s="272"/>
      <c r="W154" s="272"/>
      <c r="X154" s="272"/>
      <c r="Y154" s="272"/>
      <c r="Z154" s="272"/>
      <c r="AA154" s="272"/>
      <c r="AB154" s="272"/>
      <c r="AC154" s="272"/>
      <c r="AD154" s="272"/>
      <c r="AE154" s="272"/>
      <c r="AF154" s="272"/>
      <c r="AG154" s="272"/>
      <c r="AH154" s="272"/>
      <c r="AI154" s="272"/>
      <c r="AJ154" s="272"/>
      <c r="AK154" s="272"/>
      <c r="AL154" s="272"/>
      <c r="AM154" s="272"/>
      <c r="AN154" s="272"/>
      <c r="AO154" s="272"/>
      <c r="AP154" s="272"/>
      <c r="AQ154" s="272"/>
      <c r="AR154" s="272"/>
      <c r="AS154" s="272"/>
      <c r="AT154" s="272"/>
      <c r="AU154" s="286"/>
    </row>
    <row r="155" spans="1:47" ht="60" customHeight="1" x14ac:dyDescent="0.35">
      <c r="A155" s="282" t="s">
        <v>6944</v>
      </c>
      <c r="B155" s="260" t="s">
        <v>7003</v>
      </c>
      <c r="C155" s="261" t="s">
        <v>7019</v>
      </c>
      <c r="D155" s="264" t="s">
        <v>7020</v>
      </c>
      <c r="E155" s="265" t="s">
        <v>6741</v>
      </c>
      <c r="F155" s="268" t="s">
        <v>7006</v>
      </c>
      <c r="G155" s="271" t="str">
        <f>IF(COUNTIF(H155:AU155,"&lt;&gt;")=0,"",SUMPRODUCT(((Recommendations[ImplStatus]="Implemented")+(Recommendations[ImplStatus]="Compensated"))*ISNUMBER(MATCH(Recommendations[Id],H155:AU155,0)))/COUNTIF(H155:AU155,"&lt;&gt;"))</f>
        <v/>
      </c>
      <c r="H155" s="272"/>
      <c r="I155" s="272"/>
      <c r="J155" s="272"/>
      <c r="K155" s="272"/>
      <c r="L155" s="272"/>
      <c r="M155" s="272"/>
      <c r="N155" s="272"/>
      <c r="O155" s="272"/>
      <c r="P155" s="272"/>
      <c r="Q155" s="272"/>
      <c r="R155" s="272"/>
      <c r="S155" s="272"/>
      <c r="T155" s="272"/>
      <c r="U155" s="272"/>
      <c r="V155" s="272"/>
      <c r="W155" s="272"/>
      <c r="X155" s="272"/>
      <c r="Y155" s="272"/>
      <c r="Z155" s="272"/>
      <c r="AA155" s="272"/>
      <c r="AB155" s="272"/>
      <c r="AC155" s="272"/>
      <c r="AD155" s="272"/>
      <c r="AE155" s="272"/>
      <c r="AF155" s="272"/>
      <c r="AG155" s="272"/>
      <c r="AH155" s="272"/>
      <c r="AI155" s="272"/>
      <c r="AJ155" s="272"/>
      <c r="AK155" s="272"/>
      <c r="AL155" s="272"/>
      <c r="AM155" s="272"/>
      <c r="AN155" s="272"/>
      <c r="AO155" s="272"/>
      <c r="AP155" s="272"/>
      <c r="AQ155" s="272"/>
      <c r="AR155" s="272"/>
      <c r="AS155" s="272"/>
      <c r="AT155" s="272"/>
      <c r="AU155" s="286"/>
    </row>
    <row r="156" spans="1:47" ht="60" customHeight="1" x14ac:dyDescent="0.35">
      <c r="A156" s="282" t="s">
        <v>6944</v>
      </c>
      <c r="B156" s="260" t="s">
        <v>7003</v>
      </c>
      <c r="C156" s="261" t="s">
        <v>7021</v>
      </c>
      <c r="D156" s="264" t="s">
        <v>7022</v>
      </c>
      <c r="E156" s="265" t="s">
        <v>6741</v>
      </c>
      <c r="F156" s="268" t="s">
        <v>7006</v>
      </c>
      <c r="G156" s="271" t="str">
        <f>IF(COUNTIF(H156:AU156,"&lt;&gt;")=0,"",SUMPRODUCT(((Recommendations[ImplStatus]="Implemented")+(Recommendations[ImplStatus]="Compensated"))*ISNUMBER(MATCH(Recommendations[Id],H156:AU156,0)))/COUNTIF(H156:AU156,"&lt;&gt;"))</f>
        <v/>
      </c>
      <c r="H156" s="272"/>
      <c r="I156" s="272"/>
      <c r="J156" s="272"/>
      <c r="K156" s="272"/>
      <c r="L156" s="272"/>
      <c r="M156" s="272"/>
      <c r="N156" s="272"/>
      <c r="O156" s="272"/>
      <c r="P156" s="272"/>
      <c r="Q156" s="272"/>
      <c r="R156" s="272"/>
      <c r="S156" s="272"/>
      <c r="T156" s="272"/>
      <c r="U156" s="272"/>
      <c r="V156" s="272"/>
      <c r="W156" s="272"/>
      <c r="X156" s="272"/>
      <c r="Y156" s="272"/>
      <c r="Z156" s="272"/>
      <c r="AA156" s="272"/>
      <c r="AB156" s="272"/>
      <c r="AC156" s="272"/>
      <c r="AD156" s="272"/>
      <c r="AE156" s="272"/>
      <c r="AF156" s="272"/>
      <c r="AG156" s="272"/>
      <c r="AH156" s="272"/>
      <c r="AI156" s="272"/>
      <c r="AJ156" s="272"/>
      <c r="AK156" s="272"/>
      <c r="AL156" s="272"/>
      <c r="AM156" s="272"/>
      <c r="AN156" s="272"/>
      <c r="AO156" s="272"/>
      <c r="AP156" s="272"/>
      <c r="AQ156" s="272"/>
      <c r="AR156" s="272"/>
      <c r="AS156" s="272"/>
      <c r="AT156" s="272"/>
      <c r="AU156" s="286"/>
    </row>
    <row r="157" spans="1:47" ht="60" customHeight="1" x14ac:dyDescent="0.35">
      <c r="A157" s="282" t="s">
        <v>6944</v>
      </c>
      <c r="B157" s="260" t="s">
        <v>7003</v>
      </c>
      <c r="C157" s="261" t="s">
        <v>7023</v>
      </c>
      <c r="D157" s="264" t="s">
        <v>7024</v>
      </c>
      <c r="E157" s="265" t="s">
        <v>6741</v>
      </c>
      <c r="F157" s="268" t="s">
        <v>7006</v>
      </c>
      <c r="G157" s="271" t="str">
        <f>IF(COUNTIF(H157:AU157,"&lt;&gt;")=0,"",SUMPRODUCT(((Recommendations[ImplStatus]="Implemented")+(Recommendations[ImplStatus]="Compensated"))*ISNUMBER(MATCH(Recommendations[Id],H157:AU157,0)))/COUNTIF(H157:AU157,"&lt;&gt;"))</f>
        <v/>
      </c>
      <c r="H157" s="272"/>
      <c r="I157" s="272"/>
      <c r="J157" s="272"/>
      <c r="K157" s="272"/>
      <c r="L157" s="272"/>
      <c r="M157" s="272"/>
      <c r="N157" s="272"/>
      <c r="O157" s="272"/>
      <c r="P157" s="272"/>
      <c r="Q157" s="272"/>
      <c r="R157" s="272"/>
      <c r="S157" s="272"/>
      <c r="T157" s="272"/>
      <c r="U157" s="272"/>
      <c r="V157" s="272"/>
      <c r="W157" s="272"/>
      <c r="X157" s="272"/>
      <c r="Y157" s="272"/>
      <c r="Z157" s="272"/>
      <c r="AA157" s="272"/>
      <c r="AB157" s="272"/>
      <c r="AC157" s="272"/>
      <c r="AD157" s="272"/>
      <c r="AE157" s="272"/>
      <c r="AF157" s="272"/>
      <c r="AG157" s="272"/>
      <c r="AH157" s="272"/>
      <c r="AI157" s="272"/>
      <c r="AJ157" s="272"/>
      <c r="AK157" s="272"/>
      <c r="AL157" s="272"/>
      <c r="AM157" s="272"/>
      <c r="AN157" s="272"/>
      <c r="AO157" s="272"/>
      <c r="AP157" s="272"/>
      <c r="AQ157" s="272"/>
      <c r="AR157" s="272"/>
      <c r="AS157" s="272"/>
      <c r="AT157" s="272"/>
      <c r="AU157" s="286"/>
    </row>
    <row r="158" spans="1:47" ht="60" customHeight="1" x14ac:dyDescent="0.35">
      <c r="A158" s="282" t="s">
        <v>6944</v>
      </c>
      <c r="B158" s="260" t="s">
        <v>7003</v>
      </c>
      <c r="C158" s="261" t="s">
        <v>7025</v>
      </c>
      <c r="D158" s="264" t="s">
        <v>7026</v>
      </c>
      <c r="E158" s="265" t="s">
        <v>6741</v>
      </c>
      <c r="F158" s="268" t="s">
        <v>7006</v>
      </c>
      <c r="G158" s="271" t="str">
        <f>IF(COUNTIF(H158:AU158,"&lt;&gt;")=0,"",SUMPRODUCT(((Recommendations[ImplStatus]="Implemented")+(Recommendations[ImplStatus]="Compensated"))*ISNUMBER(MATCH(Recommendations[Id],H158:AU158,0)))/COUNTIF(H158:AU158,"&lt;&gt;"))</f>
        <v/>
      </c>
      <c r="H158" s="272"/>
      <c r="I158" s="272"/>
      <c r="J158" s="272"/>
      <c r="K158" s="272"/>
      <c r="L158" s="272"/>
      <c r="M158" s="272"/>
      <c r="N158" s="272"/>
      <c r="O158" s="272"/>
      <c r="P158" s="272"/>
      <c r="Q158" s="272"/>
      <c r="R158" s="272"/>
      <c r="S158" s="272"/>
      <c r="T158" s="272"/>
      <c r="U158" s="272"/>
      <c r="V158" s="272"/>
      <c r="W158" s="272"/>
      <c r="X158" s="272"/>
      <c r="Y158" s="272"/>
      <c r="Z158" s="272"/>
      <c r="AA158" s="272"/>
      <c r="AB158" s="272"/>
      <c r="AC158" s="272"/>
      <c r="AD158" s="272"/>
      <c r="AE158" s="272"/>
      <c r="AF158" s="272"/>
      <c r="AG158" s="272"/>
      <c r="AH158" s="272"/>
      <c r="AI158" s="272"/>
      <c r="AJ158" s="272"/>
      <c r="AK158" s="272"/>
      <c r="AL158" s="272"/>
      <c r="AM158" s="272"/>
      <c r="AN158" s="272"/>
      <c r="AO158" s="272"/>
      <c r="AP158" s="272"/>
      <c r="AQ158" s="272"/>
      <c r="AR158" s="272"/>
      <c r="AS158" s="272"/>
      <c r="AT158" s="272"/>
      <c r="AU158" s="286"/>
    </row>
    <row r="159" spans="1:47" ht="60" customHeight="1" x14ac:dyDescent="0.35">
      <c r="A159" s="282" t="s">
        <v>6944</v>
      </c>
      <c r="B159" s="260" t="s">
        <v>7003</v>
      </c>
      <c r="C159" s="261" t="s">
        <v>7027</v>
      </c>
      <c r="D159" s="264" t="s">
        <v>7028</v>
      </c>
      <c r="E159" s="265" t="s">
        <v>6741</v>
      </c>
      <c r="F159" s="268" t="s">
        <v>7006</v>
      </c>
      <c r="G159" s="271" t="str">
        <f>IF(COUNTIF(H159:AU159,"&lt;&gt;")=0,"",SUMPRODUCT(((Recommendations[ImplStatus]="Implemented")+(Recommendations[ImplStatus]="Compensated"))*ISNUMBER(MATCH(Recommendations[Id],H159:AU159,0)))/COUNTIF(H159:AU159,"&lt;&gt;"))</f>
        <v/>
      </c>
      <c r="H159" s="272"/>
      <c r="I159" s="272"/>
      <c r="J159" s="272"/>
      <c r="K159" s="272"/>
      <c r="L159" s="272"/>
      <c r="M159" s="272"/>
      <c r="N159" s="272"/>
      <c r="O159" s="272"/>
      <c r="P159" s="272"/>
      <c r="Q159" s="272"/>
      <c r="R159" s="272"/>
      <c r="S159" s="272"/>
      <c r="T159" s="272"/>
      <c r="U159" s="272"/>
      <c r="V159" s="272"/>
      <c r="W159" s="272"/>
      <c r="X159" s="272"/>
      <c r="Y159" s="272"/>
      <c r="Z159" s="272"/>
      <c r="AA159" s="272"/>
      <c r="AB159" s="272"/>
      <c r="AC159" s="272"/>
      <c r="AD159" s="272"/>
      <c r="AE159" s="272"/>
      <c r="AF159" s="272"/>
      <c r="AG159" s="272"/>
      <c r="AH159" s="272"/>
      <c r="AI159" s="272"/>
      <c r="AJ159" s="272"/>
      <c r="AK159" s="272"/>
      <c r="AL159" s="272"/>
      <c r="AM159" s="272"/>
      <c r="AN159" s="272"/>
      <c r="AO159" s="272"/>
      <c r="AP159" s="272"/>
      <c r="AQ159" s="272"/>
      <c r="AR159" s="272"/>
      <c r="AS159" s="272"/>
      <c r="AT159" s="272"/>
      <c r="AU159" s="286"/>
    </row>
    <row r="160" spans="1:47" ht="60" customHeight="1" x14ac:dyDescent="0.35">
      <c r="A160" s="282" t="s">
        <v>6944</v>
      </c>
      <c r="B160" s="260" t="s">
        <v>7003</v>
      </c>
      <c r="C160" s="261" t="s">
        <v>7029</v>
      </c>
      <c r="D160" s="264" t="s">
        <v>7030</v>
      </c>
      <c r="E160" s="265" t="s">
        <v>6741</v>
      </c>
      <c r="F160" s="268" t="s">
        <v>7031</v>
      </c>
      <c r="G160" s="271" t="str">
        <f>IF(COUNTIF(H160:AU160,"&lt;&gt;")=0,"",SUMPRODUCT(((Recommendations[ImplStatus]="Implemented")+(Recommendations[ImplStatus]="Compensated"))*ISNUMBER(MATCH(Recommendations[Id],H160:AU160,0)))/COUNTIF(H160:AU160,"&lt;&gt;"))</f>
        <v/>
      </c>
      <c r="H160" s="272"/>
      <c r="I160" s="272"/>
      <c r="J160" s="272"/>
      <c r="K160" s="272"/>
      <c r="L160" s="272"/>
      <c r="M160" s="272"/>
      <c r="N160" s="272"/>
      <c r="O160" s="272"/>
      <c r="P160" s="272"/>
      <c r="Q160" s="272"/>
      <c r="R160" s="272"/>
      <c r="S160" s="272"/>
      <c r="T160" s="272"/>
      <c r="U160" s="272"/>
      <c r="V160" s="272"/>
      <c r="W160" s="272"/>
      <c r="X160" s="272"/>
      <c r="Y160" s="272"/>
      <c r="Z160" s="272"/>
      <c r="AA160" s="272"/>
      <c r="AB160" s="272"/>
      <c r="AC160" s="272"/>
      <c r="AD160" s="272"/>
      <c r="AE160" s="272"/>
      <c r="AF160" s="272"/>
      <c r="AG160" s="272"/>
      <c r="AH160" s="272"/>
      <c r="AI160" s="272"/>
      <c r="AJ160" s="272"/>
      <c r="AK160" s="272"/>
      <c r="AL160" s="272"/>
      <c r="AM160" s="272"/>
      <c r="AN160" s="272"/>
      <c r="AO160" s="272"/>
      <c r="AP160" s="272"/>
      <c r="AQ160" s="272"/>
      <c r="AR160" s="272"/>
      <c r="AS160" s="272"/>
      <c r="AT160" s="272"/>
      <c r="AU160" s="286"/>
    </row>
    <row r="161" spans="1:47" ht="60" customHeight="1" x14ac:dyDescent="0.35">
      <c r="A161" s="282" t="s">
        <v>6944</v>
      </c>
      <c r="B161" s="260" t="s">
        <v>7003</v>
      </c>
      <c r="C161" s="261" t="s">
        <v>7032</v>
      </c>
      <c r="D161" s="264" t="s">
        <v>7033</v>
      </c>
      <c r="E161" s="265" t="s">
        <v>6741</v>
      </c>
      <c r="F161" s="268" t="s">
        <v>7031</v>
      </c>
      <c r="G161" s="271" t="str">
        <f>IF(COUNTIF(H161:AU161,"&lt;&gt;")=0,"",SUMPRODUCT(((Recommendations[ImplStatus]="Implemented")+(Recommendations[ImplStatus]="Compensated"))*ISNUMBER(MATCH(Recommendations[Id],H161:AU161,0)))/COUNTIF(H161:AU161,"&lt;&gt;"))</f>
        <v/>
      </c>
      <c r="H161" s="272"/>
      <c r="I161" s="272"/>
      <c r="J161" s="272"/>
      <c r="K161" s="272"/>
      <c r="L161" s="272"/>
      <c r="M161" s="272"/>
      <c r="N161" s="272"/>
      <c r="O161" s="272"/>
      <c r="P161" s="272"/>
      <c r="Q161" s="272"/>
      <c r="R161" s="272"/>
      <c r="S161" s="272"/>
      <c r="T161" s="272"/>
      <c r="U161" s="272"/>
      <c r="V161" s="272"/>
      <c r="W161" s="272"/>
      <c r="X161" s="272"/>
      <c r="Y161" s="272"/>
      <c r="Z161" s="272"/>
      <c r="AA161" s="272"/>
      <c r="AB161" s="272"/>
      <c r="AC161" s="272"/>
      <c r="AD161" s="272"/>
      <c r="AE161" s="272"/>
      <c r="AF161" s="272"/>
      <c r="AG161" s="272"/>
      <c r="AH161" s="272"/>
      <c r="AI161" s="272"/>
      <c r="AJ161" s="272"/>
      <c r="AK161" s="272"/>
      <c r="AL161" s="272"/>
      <c r="AM161" s="272"/>
      <c r="AN161" s="272"/>
      <c r="AO161" s="272"/>
      <c r="AP161" s="272"/>
      <c r="AQ161" s="272"/>
      <c r="AR161" s="272"/>
      <c r="AS161" s="272"/>
      <c r="AT161" s="272"/>
      <c r="AU161" s="286"/>
    </row>
    <row r="162" spans="1:47" ht="60" customHeight="1" x14ac:dyDescent="0.35">
      <c r="A162" s="282" t="s">
        <v>6944</v>
      </c>
      <c r="B162" s="260" t="s">
        <v>7003</v>
      </c>
      <c r="C162" s="261" t="s">
        <v>7034</v>
      </c>
      <c r="D162" s="264" t="s">
        <v>7035</v>
      </c>
      <c r="E162" s="265" t="s">
        <v>6741</v>
      </c>
      <c r="F162" s="268" t="s">
        <v>7031</v>
      </c>
      <c r="G162" s="271" t="str">
        <f>IF(COUNTIF(H162:AU162,"&lt;&gt;")=0,"",SUMPRODUCT(((Recommendations[ImplStatus]="Implemented")+(Recommendations[ImplStatus]="Compensated"))*ISNUMBER(MATCH(Recommendations[Id],H162:AU162,0)))/COUNTIF(H162:AU162,"&lt;&gt;"))</f>
        <v/>
      </c>
      <c r="H162" s="272"/>
      <c r="I162" s="272"/>
      <c r="J162" s="272"/>
      <c r="K162" s="272"/>
      <c r="L162" s="272"/>
      <c r="M162" s="272"/>
      <c r="N162" s="272"/>
      <c r="O162" s="272"/>
      <c r="P162" s="272"/>
      <c r="Q162" s="272"/>
      <c r="R162" s="272"/>
      <c r="S162" s="272"/>
      <c r="T162" s="272"/>
      <c r="U162" s="272"/>
      <c r="V162" s="272"/>
      <c r="W162" s="272"/>
      <c r="X162" s="272"/>
      <c r="Y162" s="272"/>
      <c r="Z162" s="272"/>
      <c r="AA162" s="272"/>
      <c r="AB162" s="272"/>
      <c r="AC162" s="272"/>
      <c r="AD162" s="272"/>
      <c r="AE162" s="272"/>
      <c r="AF162" s="272"/>
      <c r="AG162" s="272"/>
      <c r="AH162" s="272"/>
      <c r="AI162" s="272"/>
      <c r="AJ162" s="272"/>
      <c r="AK162" s="272"/>
      <c r="AL162" s="272"/>
      <c r="AM162" s="272"/>
      <c r="AN162" s="272"/>
      <c r="AO162" s="272"/>
      <c r="AP162" s="272"/>
      <c r="AQ162" s="272"/>
      <c r="AR162" s="272"/>
      <c r="AS162" s="272"/>
      <c r="AT162" s="272"/>
      <c r="AU162" s="286"/>
    </row>
    <row r="163" spans="1:47" ht="60" customHeight="1" x14ac:dyDescent="0.35">
      <c r="A163" s="282" t="s">
        <v>6944</v>
      </c>
      <c r="B163" s="260" t="s">
        <v>7003</v>
      </c>
      <c r="C163" s="261" t="s">
        <v>7036</v>
      </c>
      <c r="D163" s="264" t="s">
        <v>7037</v>
      </c>
      <c r="E163" s="265" t="s">
        <v>6741</v>
      </c>
      <c r="F163" s="268" t="s">
        <v>7031</v>
      </c>
      <c r="G163" s="271" t="str">
        <f>IF(COUNTIF(H163:AU163,"&lt;&gt;")=0,"",SUMPRODUCT(((Recommendations[ImplStatus]="Implemented")+(Recommendations[ImplStatus]="Compensated"))*ISNUMBER(MATCH(Recommendations[Id],H163:AU163,0)))/COUNTIF(H163:AU163,"&lt;&gt;"))</f>
        <v/>
      </c>
      <c r="H163" s="272"/>
      <c r="I163" s="272"/>
      <c r="J163" s="272"/>
      <c r="K163" s="272"/>
      <c r="L163" s="272"/>
      <c r="M163" s="272"/>
      <c r="N163" s="272"/>
      <c r="O163" s="272"/>
      <c r="P163" s="272"/>
      <c r="Q163" s="272"/>
      <c r="R163" s="272"/>
      <c r="S163" s="272"/>
      <c r="T163" s="272"/>
      <c r="U163" s="272"/>
      <c r="V163" s="272"/>
      <c r="W163" s="272"/>
      <c r="X163" s="272"/>
      <c r="Y163" s="272"/>
      <c r="Z163" s="272"/>
      <c r="AA163" s="272"/>
      <c r="AB163" s="272"/>
      <c r="AC163" s="272"/>
      <c r="AD163" s="272"/>
      <c r="AE163" s="272"/>
      <c r="AF163" s="272"/>
      <c r="AG163" s="272"/>
      <c r="AH163" s="272"/>
      <c r="AI163" s="272"/>
      <c r="AJ163" s="272"/>
      <c r="AK163" s="272"/>
      <c r="AL163" s="272"/>
      <c r="AM163" s="272"/>
      <c r="AN163" s="272"/>
      <c r="AO163" s="272"/>
      <c r="AP163" s="272"/>
      <c r="AQ163" s="272"/>
      <c r="AR163" s="272"/>
      <c r="AS163" s="272"/>
      <c r="AT163" s="272"/>
      <c r="AU163" s="286"/>
    </row>
    <row r="164" spans="1:47" ht="60" customHeight="1" x14ac:dyDescent="0.35">
      <c r="A164" s="282" t="s">
        <v>6944</v>
      </c>
      <c r="B164" s="260" t="s">
        <v>7003</v>
      </c>
      <c r="C164" s="261" t="s">
        <v>7038</v>
      </c>
      <c r="D164" s="264" t="s">
        <v>7039</v>
      </c>
      <c r="E164" s="265" t="s">
        <v>6741</v>
      </c>
      <c r="F164" s="268" t="s">
        <v>7031</v>
      </c>
      <c r="G164" s="271" t="str">
        <f>IF(COUNTIF(H164:AU164,"&lt;&gt;")=0,"",SUMPRODUCT(((Recommendations[ImplStatus]="Implemented")+(Recommendations[ImplStatus]="Compensated"))*ISNUMBER(MATCH(Recommendations[Id],H164:AU164,0)))/COUNTIF(H164:AU164,"&lt;&gt;"))</f>
        <v/>
      </c>
      <c r="H164" s="272"/>
      <c r="I164" s="272"/>
      <c r="J164" s="272"/>
      <c r="K164" s="272"/>
      <c r="L164" s="272"/>
      <c r="M164" s="272"/>
      <c r="N164" s="272"/>
      <c r="O164" s="272"/>
      <c r="P164" s="272"/>
      <c r="Q164" s="272"/>
      <c r="R164" s="272"/>
      <c r="S164" s="272"/>
      <c r="T164" s="272"/>
      <c r="U164" s="272"/>
      <c r="V164" s="272"/>
      <c r="W164" s="272"/>
      <c r="X164" s="272"/>
      <c r="Y164" s="272"/>
      <c r="Z164" s="272"/>
      <c r="AA164" s="272"/>
      <c r="AB164" s="272"/>
      <c r="AC164" s="272"/>
      <c r="AD164" s="272"/>
      <c r="AE164" s="272"/>
      <c r="AF164" s="272"/>
      <c r="AG164" s="272"/>
      <c r="AH164" s="272"/>
      <c r="AI164" s="272"/>
      <c r="AJ164" s="272"/>
      <c r="AK164" s="272"/>
      <c r="AL164" s="272"/>
      <c r="AM164" s="272"/>
      <c r="AN164" s="272"/>
      <c r="AO164" s="272"/>
      <c r="AP164" s="272"/>
      <c r="AQ164" s="272"/>
      <c r="AR164" s="272"/>
      <c r="AS164" s="272"/>
      <c r="AT164" s="272"/>
      <c r="AU164" s="286"/>
    </row>
    <row r="165" spans="1:47" ht="60" customHeight="1" outlineLevel="2" x14ac:dyDescent="0.35">
      <c r="A165" s="281" t="s">
        <v>6944</v>
      </c>
      <c r="B165" s="259" t="s">
        <v>7040</v>
      </c>
      <c r="C165" s="259"/>
      <c r="D165" s="263"/>
      <c r="E165" s="259"/>
      <c r="F165" s="267"/>
      <c r="G165" s="270" t="str">
        <f>IF(COUNTIF(H165:AU165,"&lt;&gt;")=0,"",SUMPRODUCT(((Recommendations[ImplStatus]="Implemented")+(Recommendations[ImplStatus]="Compensated"))*ISNUMBER(MATCH(Recommendations[Id],H165:AU165,0)))/COUNTIF(H165:AU165,"&lt;&gt;"))</f>
        <v/>
      </c>
      <c r="H165" s="267"/>
      <c r="I165" s="267"/>
      <c r="J165" s="267"/>
      <c r="K165" s="267"/>
      <c r="L165" s="267"/>
      <c r="M165" s="267"/>
      <c r="N165" s="267"/>
      <c r="O165" s="267"/>
      <c r="P165" s="267"/>
      <c r="Q165" s="267"/>
      <c r="R165" s="267"/>
      <c r="S165" s="267"/>
      <c r="T165" s="267"/>
      <c r="U165" s="267"/>
      <c r="V165" s="267"/>
      <c r="W165" s="267"/>
      <c r="X165" s="267"/>
      <c r="Y165" s="267"/>
      <c r="Z165" s="267"/>
      <c r="AA165" s="267"/>
      <c r="AB165" s="267"/>
      <c r="AC165" s="267"/>
      <c r="AD165" s="267"/>
      <c r="AE165" s="267"/>
      <c r="AF165" s="267"/>
      <c r="AG165" s="267"/>
      <c r="AH165" s="267"/>
      <c r="AI165" s="267"/>
      <c r="AJ165" s="267"/>
      <c r="AK165" s="267"/>
      <c r="AL165" s="267"/>
      <c r="AM165" s="267"/>
      <c r="AN165" s="267"/>
      <c r="AO165" s="267"/>
      <c r="AP165" s="267"/>
      <c r="AQ165" s="267"/>
      <c r="AR165" s="267"/>
      <c r="AS165" s="267"/>
      <c r="AT165" s="267"/>
      <c r="AU165" s="285"/>
    </row>
    <row r="166" spans="1:47" ht="60" customHeight="1" x14ac:dyDescent="0.35">
      <c r="A166" s="282" t="s">
        <v>6944</v>
      </c>
      <c r="B166" s="260" t="s">
        <v>7040</v>
      </c>
      <c r="C166" s="261" t="s">
        <v>7041</v>
      </c>
      <c r="D166" s="264" t="s">
        <v>7042</v>
      </c>
      <c r="E166" s="265" t="s">
        <v>6712</v>
      </c>
      <c r="F166" s="268" t="s">
        <v>7043</v>
      </c>
      <c r="G166" s="271" t="str">
        <f>IF(COUNTIF(H166:AU166,"&lt;&gt;")=0,"",SUMPRODUCT(((Recommendations[ImplStatus]="Implemented")+(Recommendations[ImplStatus]="Compensated"))*ISNUMBER(MATCH(Recommendations[Id],H166:AU166,0)))/COUNTIF(H166:AU166,"&lt;&gt;"))</f>
        <v/>
      </c>
      <c r="H166" s="272"/>
      <c r="I166" s="272"/>
      <c r="J166" s="272"/>
      <c r="K166" s="272"/>
      <c r="L166" s="272"/>
      <c r="M166" s="272"/>
      <c r="N166" s="272"/>
      <c r="O166" s="272"/>
      <c r="P166" s="272"/>
      <c r="Q166" s="272"/>
      <c r="R166" s="272"/>
      <c r="S166" s="272"/>
      <c r="T166" s="272"/>
      <c r="U166" s="272"/>
      <c r="V166" s="272"/>
      <c r="W166" s="272"/>
      <c r="X166" s="272"/>
      <c r="Y166" s="272"/>
      <c r="Z166" s="272"/>
      <c r="AA166" s="272"/>
      <c r="AB166" s="272"/>
      <c r="AC166" s="272"/>
      <c r="AD166" s="272"/>
      <c r="AE166" s="272"/>
      <c r="AF166" s="272"/>
      <c r="AG166" s="272"/>
      <c r="AH166" s="272"/>
      <c r="AI166" s="272"/>
      <c r="AJ166" s="272"/>
      <c r="AK166" s="272"/>
      <c r="AL166" s="272"/>
      <c r="AM166" s="272"/>
      <c r="AN166" s="272"/>
      <c r="AO166" s="272"/>
      <c r="AP166" s="272"/>
      <c r="AQ166" s="272"/>
      <c r="AR166" s="272"/>
      <c r="AS166" s="272"/>
      <c r="AT166" s="272"/>
      <c r="AU166" s="286"/>
    </row>
    <row r="167" spans="1:47" ht="60" customHeight="1" x14ac:dyDescent="0.35">
      <c r="A167" s="282" t="s">
        <v>6944</v>
      </c>
      <c r="B167" s="260" t="s">
        <v>7040</v>
      </c>
      <c r="C167" s="261" t="s">
        <v>7044</v>
      </c>
      <c r="D167" s="264" t="s">
        <v>7045</v>
      </c>
      <c r="E167" s="265" t="s">
        <v>6856</v>
      </c>
      <c r="F167" s="268" t="s">
        <v>7043</v>
      </c>
      <c r="G167" s="271" t="str">
        <f>IF(COUNTIF(H167:AU167,"&lt;&gt;")=0,"",SUMPRODUCT(((Recommendations[ImplStatus]="Implemented")+(Recommendations[ImplStatus]="Compensated"))*ISNUMBER(MATCH(Recommendations[Id],H167:AU167,0)))/COUNTIF(H167:AU167,"&lt;&gt;"))</f>
        <v/>
      </c>
      <c r="H167" s="272"/>
      <c r="I167" s="272"/>
      <c r="J167" s="272"/>
      <c r="K167" s="272"/>
      <c r="L167" s="272"/>
      <c r="M167" s="272"/>
      <c r="N167" s="272"/>
      <c r="O167" s="272"/>
      <c r="P167" s="272"/>
      <c r="Q167" s="272"/>
      <c r="R167" s="272"/>
      <c r="S167" s="272"/>
      <c r="T167" s="272"/>
      <c r="U167" s="272"/>
      <c r="V167" s="272"/>
      <c r="W167" s="272"/>
      <c r="X167" s="272"/>
      <c r="Y167" s="272"/>
      <c r="Z167" s="272"/>
      <c r="AA167" s="272"/>
      <c r="AB167" s="272"/>
      <c r="AC167" s="272"/>
      <c r="AD167" s="272"/>
      <c r="AE167" s="272"/>
      <c r="AF167" s="272"/>
      <c r="AG167" s="272"/>
      <c r="AH167" s="272"/>
      <c r="AI167" s="272"/>
      <c r="AJ167" s="272"/>
      <c r="AK167" s="272"/>
      <c r="AL167" s="272"/>
      <c r="AM167" s="272"/>
      <c r="AN167" s="272"/>
      <c r="AO167" s="272"/>
      <c r="AP167" s="272"/>
      <c r="AQ167" s="272"/>
      <c r="AR167" s="272"/>
      <c r="AS167" s="272"/>
      <c r="AT167" s="272"/>
      <c r="AU167" s="286"/>
    </row>
    <row r="168" spans="1:47" ht="60" customHeight="1" x14ac:dyDescent="0.35">
      <c r="A168" s="282" t="s">
        <v>6944</v>
      </c>
      <c r="B168" s="260" t="s">
        <v>7040</v>
      </c>
      <c r="C168" s="261" t="s">
        <v>7046</v>
      </c>
      <c r="D168" s="264" t="s">
        <v>7047</v>
      </c>
      <c r="E168" s="265" t="s">
        <v>6808</v>
      </c>
      <c r="F168" s="268" t="s">
        <v>7043</v>
      </c>
      <c r="G168" s="271" t="str">
        <f>IF(COUNTIF(H168:AU168,"&lt;&gt;")=0,"",SUMPRODUCT(((Recommendations[ImplStatus]="Implemented")+(Recommendations[ImplStatus]="Compensated"))*ISNUMBER(MATCH(Recommendations[Id],H168:AU168,0)))/COUNTIF(H168:AU168,"&lt;&gt;"))</f>
        <v/>
      </c>
      <c r="H168" s="272"/>
      <c r="I168" s="272"/>
      <c r="J168" s="272"/>
      <c r="K168" s="272"/>
      <c r="L168" s="272"/>
      <c r="M168" s="272"/>
      <c r="N168" s="272"/>
      <c r="O168" s="272"/>
      <c r="P168" s="272"/>
      <c r="Q168" s="272"/>
      <c r="R168" s="272"/>
      <c r="S168" s="272"/>
      <c r="T168" s="272"/>
      <c r="U168" s="272"/>
      <c r="V168" s="272"/>
      <c r="W168" s="272"/>
      <c r="X168" s="272"/>
      <c r="Y168" s="272"/>
      <c r="Z168" s="272"/>
      <c r="AA168" s="272"/>
      <c r="AB168" s="272"/>
      <c r="AC168" s="272"/>
      <c r="AD168" s="272"/>
      <c r="AE168" s="272"/>
      <c r="AF168" s="272"/>
      <c r="AG168" s="272"/>
      <c r="AH168" s="272"/>
      <c r="AI168" s="272"/>
      <c r="AJ168" s="272"/>
      <c r="AK168" s="272"/>
      <c r="AL168" s="272"/>
      <c r="AM168" s="272"/>
      <c r="AN168" s="272"/>
      <c r="AO168" s="272"/>
      <c r="AP168" s="272"/>
      <c r="AQ168" s="272"/>
      <c r="AR168" s="272"/>
      <c r="AS168" s="272"/>
      <c r="AT168" s="272"/>
      <c r="AU168" s="286"/>
    </row>
    <row r="169" spans="1:47" ht="60" customHeight="1" x14ac:dyDescent="0.35">
      <c r="A169" s="282" t="s">
        <v>6944</v>
      </c>
      <c r="B169" s="260" t="s">
        <v>7040</v>
      </c>
      <c r="C169" s="261" t="s">
        <v>7048</v>
      </c>
      <c r="D169" s="264" t="s">
        <v>7049</v>
      </c>
      <c r="E169" s="265" t="s">
        <v>6808</v>
      </c>
      <c r="F169" s="268" t="s">
        <v>7043</v>
      </c>
      <c r="G169" s="271" t="str">
        <f>IF(COUNTIF(H169:AU169,"&lt;&gt;")=0,"",SUMPRODUCT(((Recommendations[ImplStatus]="Implemented")+(Recommendations[ImplStatus]="Compensated"))*ISNUMBER(MATCH(Recommendations[Id],H169:AU169,0)))/COUNTIF(H169:AU169,"&lt;&gt;"))</f>
        <v/>
      </c>
      <c r="H169" s="272"/>
      <c r="I169" s="272"/>
      <c r="J169" s="272"/>
      <c r="K169" s="272"/>
      <c r="L169" s="272"/>
      <c r="M169" s="272"/>
      <c r="N169" s="272"/>
      <c r="O169" s="272"/>
      <c r="P169" s="272"/>
      <c r="Q169" s="272"/>
      <c r="R169" s="272"/>
      <c r="S169" s="272"/>
      <c r="T169" s="272"/>
      <c r="U169" s="272"/>
      <c r="V169" s="272"/>
      <c r="W169" s="272"/>
      <c r="X169" s="272"/>
      <c r="Y169" s="272"/>
      <c r="Z169" s="272"/>
      <c r="AA169" s="272"/>
      <c r="AB169" s="272"/>
      <c r="AC169" s="272"/>
      <c r="AD169" s="272"/>
      <c r="AE169" s="272"/>
      <c r="AF169" s="272"/>
      <c r="AG169" s="272"/>
      <c r="AH169" s="272"/>
      <c r="AI169" s="272"/>
      <c r="AJ169" s="272"/>
      <c r="AK169" s="272"/>
      <c r="AL169" s="272"/>
      <c r="AM169" s="272"/>
      <c r="AN169" s="272"/>
      <c r="AO169" s="272"/>
      <c r="AP169" s="272"/>
      <c r="AQ169" s="272"/>
      <c r="AR169" s="272"/>
      <c r="AS169" s="272"/>
      <c r="AT169" s="272"/>
      <c r="AU169" s="286"/>
    </row>
    <row r="170" spans="1:47" ht="60" customHeight="1" x14ac:dyDescent="0.35">
      <c r="A170" s="282" t="s">
        <v>6944</v>
      </c>
      <c r="B170" s="260" t="s">
        <v>7040</v>
      </c>
      <c r="C170" s="261" t="s">
        <v>7050</v>
      </c>
      <c r="D170" s="264" t="s">
        <v>7051</v>
      </c>
      <c r="E170" s="265" t="s">
        <v>6856</v>
      </c>
      <c r="F170" s="268" t="s">
        <v>7043</v>
      </c>
      <c r="G170" s="271" t="str">
        <f>IF(COUNTIF(H170:AU170,"&lt;&gt;")=0,"",SUMPRODUCT(((Recommendations[ImplStatus]="Implemented")+(Recommendations[ImplStatus]="Compensated"))*ISNUMBER(MATCH(Recommendations[Id],H170:AU170,0)))/COUNTIF(H170:AU170,"&lt;&gt;"))</f>
        <v/>
      </c>
      <c r="H170" s="272"/>
      <c r="I170" s="272"/>
      <c r="J170" s="272"/>
      <c r="K170" s="272"/>
      <c r="L170" s="272"/>
      <c r="M170" s="272"/>
      <c r="N170" s="272"/>
      <c r="O170" s="272"/>
      <c r="P170" s="272"/>
      <c r="Q170" s="272"/>
      <c r="R170" s="272"/>
      <c r="S170" s="272"/>
      <c r="T170" s="272"/>
      <c r="U170" s="272"/>
      <c r="V170" s="272"/>
      <c r="W170" s="272"/>
      <c r="X170" s="272"/>
      <c r="Y170" s="272"/>
      <c r="Z170" s="272"/>
      <c r="AA170" s="272"/>
      <c r="AB170" s="272"/>
      <c r="AC170" s="272"/>
      <c r="AD170" s="272"/>
      <c r="AE170" s="272"/>
      <c r="AF170" s="272"/>
      <c r="AG170" s="272"/>
      <c r="AH170" s="272"/>
      <c r="AI170" s="272"/>
      <c r="AJ170" s="272"/>
      <c r="AK170" s="272"/>
      <c r="AL170" s="272"/>
      <c r="AM170" s="272"/>
      <c r="AN170" s="272"/>
      <c r="AO170" s="272"/>
      <c r="AP170" s="272"/>
      <c r="AQ170" s="272"/>
      <c r="AR170" s="272"/>
      <c r="AS170" s="272"/>
      <c r="AT170" s="272"/>
      <c r="AU170" s="286"/>
    </row>
    <row r="171" spans="1:47" ht="60" customHeight="1" x14ac:dyDescent="0.35">
      <c r="A171" s="282" t="s">
        <v>6944</v>
      </c>
      <c r="B171" s="260" t="s">
        <v>7040</v>
      </c>
      <c r="C171" s="261" t="s">
        <v>7052</v>
      </c>
      <c r="D171" s="264" t="s">
        <v>7053</v>
      </c>
      <c r="E171" s="265" t="s">
        <v>6741</v>
      </c>
      <c r="F171" s="268" t="s">
        <v>7043</v>
      </c>
      <c r="G171" s="271" t="str">
        <f>IF(COUNTIF(H171:AU171,"&lt;&gt;")=0,"",SUMPRODUCT(((Recommendations[ImplStatus]="Implemented")+(Recommendations[ImplStatus]="Compensated"))*ISNUMBER(MATCH(Recommendations[Id],H171:AU171,0)))/COUNTIF(H171:AU171,"&lt;&gt;"))</f>
        <v/>
      </c>
      <c r="H171" s="272"/>
      <c r="I171" s="272"/>
      <c r="J171" s="272"/>
      <c r="K171" s="272"/>
      <c r="L171" s="272"/>
      <c r="M171" s="272"/>
      <c r="N171" s="272"/>
      <c r="O171" s="272"/>
      <c r="P171" s="272"/>
      <c r="Q171" s="272"/>
      <c r="R171" s="272"/>
      <c r="S171" s="272"/>
      <c r="T171" s="272"/>
      <c r="U171" s="272"/>
      <c r="V171" s="272"/>
      <c r="W171" s="272"/>
      <c r="X171" s="272"/>
      <c r="Y171" s="272"/>
      <c r="Z171" s="272"/>
      <c r="AA171" s="272"/>
      <c r="AB171" s="272"/>
      <c r="AC171" s="272"/>
      <c r="AD171" s="272"/>
      <c r="AE171" s="272"/>
      <c r="AF171" s="272"/>
      <c r="AG171" s="272"/>
      <c r="AH171" s="272"/>
      <c r="AI171" s="272"/>
      <c r="AJ171" s="272"/>
      <c r="AK171" s="272"/>
      <c r="AL171" s="272"/>
      <c r="AM171" s="272"/>
      <c r="AN171" s="272"/>
      <c r="AO171" s="272"/>
      <c r="AP171" s="272"/>
      <c r="AQ171" s="272"/>
      <c r="AR171" s="272"/>
      <c r="AS171" s="272"/>
      <c r="AT171" s="272"/>
      <c r="AU171" s="286"/>
    </row>
    <row r="172" spans="1:47" ht="60" customHeight="1" x14ac:dyDescent="0.35">
      <c r="A172" s="282" t="s">
        <v>6944</v>
      </c>
      <c r="B172" s="260" t="s">
        <v>7040</v>
      </c>
      <c r="C172" s="261" t="s">
        <v>7054</v>
      </c>
      <c r="D172" s="264" t="s">
        <v>7055</v>
      </c>
      <c r="E172" s="265" t="s">
        <v>6808</v>
      </c>
      <c r="F172" s="268" t="s">
        <v>7043</v>
      </c>
      <c r="G172" s="271" t="str">
        <f>IF(COUNTIF(H172:AU172,"&lt;&gt;")=0,"",SUMPRODUCT(((Recommendations[ImplStatus]="Implemented")+(Recommendations[ImplStatus]="Compensated"))*ISNUMBER(MATCH(Recommendations[Id],H172:AU172,0)))/COUNTIF(H172:AU172,"&lt;&gt;"))</f>
        <v/>
      </c>
      <c r="H172" s="272"/>
      <c r="I172" s="272"/>
      <c r="J172" s="272"/>
      <c r="K172" s="272"/>
      <c r="L172" s="272"/>
      <c r="M172" s="272"/>
      <c r="N172" s="272"/>
      <c r="O172" s="272"/>
      <c r="P172" s="272"/>
      <c r="Q172" s="272"/>
      <c r="R172" s="272"/>
      <c r="S172" s="272"/>
      <c r="T172" s="272"/>
      <c r="U172" s="272"/>
      <c r="V172" s="272"/>
      <c r="W172" s="272"/>
      <c r="X172" s="272"/>
      <c r="Y172" s="272"/>
      <c r="Z172" s="272"/>
      <c r="AA172" s="272"/>
      <c r="AB172" s="272"/>
      <c r="AC172" s="272"/>
      <c r="AD172" s="272"/>
      <c r="AE172" s="272"/>
      <c r="AF172" s="272"/>
      <c r="AG172" s="272"/>
      <c r="AH172" s="272"/>
      <c r="AI172" s="272"/>
      <c r="AJ172" s="272"/>
      <c r="AK172" s="272"/>
      <c r="AL172" s="272"/>
      <c r="AM172" s="272"/>
      <c r="AN172" s="272"/>
      <c r="AO172" s="272"/>
      <c r="AP172" s="272"/>
      <c r="AQ172" s="272"/>
      <c r="AR172" s="272"/>
      <c r="AS172" s="272"/>
      <c r="AT172" s="272"/>
      <c r="AU172" s="286"/>
    </row>
    <row r="173" spans="1:47" ht="60" customHeight="1" x14ac:dyDescent="0.35">
      <c r="A173" s="282" t="s">
        <v>6944</v>
      </c>
      <c r="B173" s="260" t="s">
        <v>7040</v>
      </c>
      <c r="C173" s="261" t="s">
        <v>7056</v>
      </c>
      <c r="D173" s="264" t="s">
        <v>7057</v>
      </c>
      <c r="E173" s="265" t="s">
        <v>6741</v>
      </c>
      <c r="F173" s="268" t="s">
        <v>7043</v>
      </c>
      <c r="G173" s="271" t="str">
        <f>IF(COUNTIF(H173:AU173,"&lt;&gt;")=0,"",SUMPRODUCT(((Recommendations[ImplStatus]="Implemented")+(Recommendations[ImplStatus]="Compensated"))*ISNUMBER(MATCH(Recommendations[Id],H173:AU173,0)))/COUNTIF(H173:AU173,"&lt;&gt;"))</f>
        <v/>
      </c>
      <c r="H173" s="272"/>
      <c r="I173" s="272"/>
      <c r="J173" s="272"/>
      <c r="K173" s="272"/>
      <c r="L173" s="272"/>
      <c r="M173" s="272"/>
      <c r="N173" s="272"/>
      <c r="O173" s="272"/>
      <c r="P173" s="272"/>
      <c r="Q173" s="272"/>
      <c r="R173" s="272"/>
      <c r="S173" s="272"/>
      <c r="T173" s="272"/>
      <c r="U173" s="272"/>
      <c r="V173" s="272"/>
      <c r="W173" s="272"/>
      <c r="X173" s="272"/>
      <c r="Y173" s="272"/>
      <c r="Z173" s="272"/>
      <c r="AA173" s="272"/>
      <c r="AB173" s="272"/>
      <c r="AC173" s="272"/>
      <c r="AD173" s="272"/>
      <c r="AE173" s="272"/>
      <c r="AF173" s="272"/>
      <c r="AG173" s="272"/>
      <c r="AH173" s="272"/>
      <c r="AI173" s="272"/>
      <c r="AJ173" s="272"/>
      <c r="AK173" s="272"/>
      <c r="AL173" s="272"/>
      <c r="AM173" s="272"/>
      <c r="AN173" s="272"/>
      <c r="AO173" s="272"/>
      <c r="AP173" s="272"/>
      <c r="AQ173" s="272"/>
      <c r="AR173" s="272"/>
      <c r="AS173" s="272"/>
      <c r="AT173" s="272"/>
      <c r="AU173" s="286"/>
    </row>
    <row r="174" spans="1:47" ht="60" customHeight="1" x14ac:dyDescent="0.35">
      <c r="A174" s="282" t="s">
        <v>6944</v>
      </c>
      <c r="B174" s="260" t="s">
        <v>7040</v>
      </c>
      <c r="C174" s="261" t="s">
        <v>7058</v>
      </c>
      <c r="D174" s="264" t="s">
        <v>7059</v>
      </c>
      <c r="E174" s="265" t="s">
        <v>6808</v>
      </c>
      <c r="F174" s="268" t="s">
        <v>7043</v>
      </c>
      <c r="G174" s="271" t="str">
        <f>IF(COUNTIF(H174:AU174,"&lt;&gt;")=0,"",SUMPRODUCT(((Recommendations[ImplStatus]="Implemented")+(Recommendations[ImplStatus]="Compensated"))*ISNUMBER(MATCH(Recommendations[Id],H174:AU174,0)))/COUNTIF(H174:AU174,"&lt;&gt;"))</f>
        <v/>
      </c>
      <c r="H174" s="272"/>
      <c r="I174" s="272"/>
      <c r="J174" s="272"/>
      <c r="K174" s="272"/>
      <c r="L174" s="272"/>
      <c r="M174" s="272"/>
      <c r="N174" s="272"/>
      <c r="O174" s="272"/>
      <c r="P174" s="272"/>
      <c r="Q174" s="272"/>
      <c r="R174" s="272"/>
      <c r="S174" s="272"/>
      <c r="T174" s="272"/>
      <c r="U174" s="272"/>
      <c r="V174" s="272"/>
      <c r="W174" s="272"/>
      <c r="X174" s="272"/>
      <c r="Y174" s="272"/>
      <c r="Z174" s="272"/>
      <c r="AA174" s="272"/>
      <c r="AB174" s="272"/>
      <c r="AC174" s="272"/>
      <c r="AD174" s="272"/>
      <c r="AE174" s="272"/>
      <c r="AF174" s="272"/>
      <c r="AG174" s="272"/>
      <c r="AH174" s="272"/>
      <c r="AI174" s="272"/>
      <c r="AJ174" s="272"/>
      <c r="AK174" s="272"/>
      <c r="AL174" s="272"/>
      <c r="AM174" s="272"/>
      <c r="AN174" s="272"/>
      <c r="AO174" s="272"/>
      <c r="AP174" s="272"/>
      <c r="AQ174" s="272"/>
      <c r="AR174" s="272"/>
      <c r="AS174" s="272"/>
      <c r="AT174" s="272"/>
      <c r="AU174" s="286"/>
    </row>
    <row r="175" spans="1:47" ht="60" customHeight="1" x14ac:dyDescent="0.35">
      <c r="A175" s="282" t="s">
        <v>6944</v>
      </c>
      <c r="B175" s="260" t="s">
        <v>7040</v>
      </c>
      <c r="C175" s="261" t="s">
        <v>7060</v>
      </c>
      <c r="D175" s="264" t="s">
        <v>7061</v>
      </c>
      <c r="E175" s="265" t="s">
        <v>6741</v>
      </c>
      <c r="F175" s="268" t="s">
        <v>7043</v>
      </c>
      <c r="G175" s="271" t="str">
        <f>IF(COUNTIF(H175:AU175,"&lt;&gt;")=0,"",SUMPRODUCT(((Recommendations[ImplStatus]="Implemented")+(Recommendations[ImplStatus]="Compensated"))*ISNUMBER(MATCH(Recommendations[Id],H175:AU175,0)))/COUNTIF(H175:AU175,"&lt;&gt;"))</f>
        <v/>
      </c>
      <c r="H175" s="272"/>
      <c r="I175" s="272"/>
      <c r="J175" s="272"/>
      <c r="K175" s="272"/>
      <c r="L175" s="272"/>
      <c r="M175" s="272"/>
      <c r="N175" s="272"/>
      <c r="O175" s="272"/>
      <c r="P175" s="272"/>
      <c r="Q175" s="272"/>
      <c r="R175" s="272"/>
      <c r="S175" s="272"/>
      <c r="T175" s="272"/>
      <c r="U175" s="272"/>
      <c r="V175" s="272"/>
      <c r="W175" s="272"/>
      <c r="X175" s="272"/>
      <c r="Y175" s="272"/>
      <c r="Z175" s="272"/>
      <c r="AA175" s="272"/>
      <c r="AB175" s="272"/>
      <c r="AC175" s="272"/>
      <c r="AD175" s="272"/>
      <c r="AE175" s="272"/>
      <c r="AF175" s="272"/>
      <c r="AG175" s="272"/>
      <c r="AH175" s="272"/>
      <c r="AI175" s="272"/>
      <c r="AJ175" s="272"/>
      <c r="AK175" s="272"/>
      <c r="AL175" s="272"/>
      <c r="AM175" s="272"/>
      <c r="AN175" s="272"/>
      <c r="AO175" s="272"/>
      <c r="AP175" s="272"/>
      <c r="AQ175" s="272"/>
      <c r="AR175" s="272"/>
      <c r="AS175" s="272"/>
      <c r="AT175" s="272"/>
      <c r="AU175" s="286"/>
    </row>
    <row r="176" spans="1:47" ht="60" customHeight="1" x14ac:dyDescent="0.35">
      <c r="A176" s="282" t="s">
        <v>6944</v>
      </c>
      <c r="B176" s="260" t="s">
        <v>7040</v>
      </c>
      <c r="C176" s="261" t="s">
        <v>7062</v>
      </c>
      <c r="D176" s="264" t="s">
        <v>7063</v>
      </c>
      <c r="E176" s="265" t="s">
        <v>6712</v>
      </c>
      <c r="F176" s="268" t="s">
        <v>7043</v>
      </c>
      <c r="G176" s="271" t="str">
        <f>IF(COUNTIF(H176:AU176,"&lt;&gt;")=0,"",SUMPRODUCT(((Recommendations[ImplStatus]="Implemented")+(Recommendations[ImplStatus]="Compensated"))*ISNUMBER(MATCH(Recommendations[Id],H176:AU176,0)))/COUNTIF(H176:AU176,"&lt;&gt;"))</f>
        <v/>
      </c>
      <c r="H176" s="272"/>
      <c r="I176" s="272"/>
      <c r="J176" s="272"/>
      <c r="K176" s="272"/>
      <c r="L176" s="272"/>
      <c r="M176" s="272"/>
      <c r="N176" s="272"/>
      <c r="O176" s="272"/>
      <c r="P176" s="272"/>
      <c r="Q176" s="272"/>
      <c r="R176" s="272"/>
      <c r="S176" s="272"/>
      <c r="T176" s="272"/>
      <c r="U176" s="272"/>
      <c r="V176" s="272"/>
      <c r="W176" s="272"/>
      <c r="X176" s="272"/>
      <c r="Y176" s="272"/>
      <c r="Z176" s="272"/>
      <c r="AA176" s="272"/>
      <c r="AB176" s="272"/>
      <c r="AC176" s="272"/>
      <c r="AD176" s="272"/>
      <c r="AE176" s="272"/>
      <c r="AF176" s="272"/>
      <c r="AG176" s="272"/>
      <c r="AH176" s="272"/>
      <c r="AI176" s="272"/>
      <c r="AJ176" s="272"/>
      <c r="AK176" s="272"/>
      <c r="AL176" s="272"/>
      <c r="AM176" s="272"/>
      <c r="AN176" s="272"/>
      <c r="AO176" s="272"/>
      <c r="AP176" s="272"/>
      <c r="AQ176" s="272"/>
      <c r="AR176" s="272"/>
      <c r="AS176" s="272"/>
      <c r="AT176" s="272"/>
      <c r="AU176" s="286"/>
    </row>
    <row r="177" spans="1:47" ht="60" customHeight="1" x14ac:dyDescent="0.35">
      <c r="A177" s="282" t="s">
        <v>6944</v>
      </c>
      <c r="B177" s="260" t="s">
        <v>7040</v>
      </c>
      <c r="C177" s="261" t="s">
        <v>7064</v>
      </c>
      <c r="D177" s="264" t="s">
        <v>7065</v>
      </c>
      <c r="E177" s="265" t="s">
        <v>6712</v>
      </c>
      <c r="F177" s="268" t="s">
        <v>7043</v>
      </c>
      <c r="G177" s="271" t="str">
        <f>IF(COUNTIF(H177:AU177,"&lt;&gt;")=0,"",SUMPRODUCT(((Recommendations[ImplStatus]="Implemented")+(Recommendations[ImplStatus]="Compensated"))*ISNUMBER(MATCH(Recommendations[Id],H177:AU177,0)))/COUNTIF(H177:AU177,"&lt;&gt;"))</f>
        <v/>
      </c>
      <c r="H177" s="272"/>
      <c r="I177" s="272"/>
      <c r="J177" s="272"/>
      <c r="K177" s="272"/>
      <c r="L177" s="272"/>
      <c r="M177" s="272"/>
      <c r="N177" s="272"/>
      <c r="O177" s="272"/>
      <c r="P177" s="272"/>
      <c r="Q177" s="272"/>
      <c r="R177" s="272"/>
      <c r="S177" s="272"/>
      <c r="T177" s="272"/>
      <c r="U177" s="272"/>
      <c r="V177" s="272"/>
      <c r="W177" s="272"/>
      <c r="X177" s="272"/>
      <c r="Y177" s="272"/>
      <c r="Z177" s="272"/>
      <c r="AA177" s="272"/>
      <c r="AB177" s="272"/>
      <c r="AC177" s="272"/>
      <c r="AD177" s="272"/>
      <c r="AE177" s="272"/>
      <c r="AF177" s="272"/>
      <c r="AG177" s="272"/>
      <c r="AH177" s="272"/>
      <c r="AI177" s="272"/>
      <c r="AJ177" s="272"/>
      <c r="AK177" s="272"/>
      <c r="AL177" s="272"/>
      <c r="AM177" s="272"/>
      <c r="AN177" s="272"/>
      <c r="AO177" s="272"/>
      <c r="AP177" s="272"/>
      <c r="AQ177" s="272"/>
      <c r="AR177" s="272"/>
      <c r="AS177" s="272"/>
      <c r="AT177" s="272"/>
      <c r="AU177" s="286"/>
    </row>
    <row r="178" spans="1:47" ht="60" customHeight="1" x14ac:dyDescent="0.35">
      <c r="A178" s="282" t="s">
        <v>6944</v>
      </c>
      <c r="B178" s="260" t="s">
        <v>7040</v>
      </c>
      <c r="C178" s="261" t="s">
        <v>7066</v>
      </c>
      <c r="D178" s="264" t="s">
        <v>7067</v>
      </c>
      <c r="E178" s="265" t="s">
        <v>6741</v>
      </c>
      <c r="F178" s="268" t="s">
        <v>7043</v>
      </c>
      <c r="G178" s="271" t="str">
        <f>IF(COUNTIF(H178:AU178,"&lt;&gt;")=0,"",SUMPRODUCT(((Recommendations[ImplStatus]="Implemented")+(Recommendations[ImplStatus]="Compensated"))*ISNUMBER(MATCH(Recommendations[Id],H178:AU178,0)))/COUNTIF(H178:AU178,"&lt;&gt;"))</f>
        <v/>
      </c>
      <c r="H178" s="272"/>
      <c r="I178" s="272"/>
      <c r="J178" s="272"/>
      <c r="K178" s="272"/>
      <c r="L178" s="272"/>
      <c r="M178" s="272"/>
      <c r="N178" s="272"/>
      <c r="O178" s="272"/>
      <c r="P178" s="272"/>
      <c r="Q178" s="272"/>
      <c r="R178" s="272"/>
      <c r="S178" s="272"/>
      <c r="T178" s="272"/>
      <c r="U178" s="272"/>
      <c r="V178" s="272"/>
      <c r="W178" s="272"/>
      <c r="X178" s="272"/>
      <c r="Y178" s="272"/>
      <c r="Z178" s="272"/>
      <c r="AA178" s="272"/>
      <c r="AB178" s="272"/>
      <c r="AC178" s="272"/>
      <c r="AD178" s="272"/>
      <c r="AE178" s="272"/>
      <c r="AF178" s="272"/>
      <c r="AG178" s="272"/>
      <c r="AH178" s="272"/>
      <c r="AI178" s="272"/>
      <c r="AJ178" s="272"/>
      <c r="AK178" s="272"/>
      <c r="AL178" s="272"/>
      <c r="AM178" s="272"/>
      <c r="AN178" s="272"/>
      <c r="AO178" s="272"/>
      <c r="AP178" s="272"/>
      <c r="AQ178" s="272"/>
      <c r="AR178" s="272"/>
      <c r="AS178" s="272"/>
      <c r="AT178" s="272"/>
      <c r="AU178" s="286"/>
    </row>
    <row r="179" spans="1:47" ht="60" customHeight="1" x14ac:dyDescent="0.35">
      <c r="A179" s="282" t="s">
        <v>6944</v>
      </c>
      <c r="B179" s="260" t="s">
        <v>7040</v>
      </c>
      <c r="C179" s="261" t="s">
        <v>7068</v>
      </c>
      <c r="D179" s="264" t="s">
        <v>7069</v>
      </c>
      <c r="E179" s="265" t="s">
        <v>6856</v>
      </c>
      <c r="F179" s="268" t="s">
        <v>7043</v>
      </c>
      <c r="G179" s="271" t="str">
        <f>IF(COUNTIF(H179:AU179,"&lt;&gt;")=0,"",SUMPRODUCT(((Recommendations[ImplStatus]="Implemented")+(Recommendations[ImplStatus]="Compensated"))*ISNUMBER(MATCH(Recommendations[Id],H179:AU179,0)))/COUNTIF(H179:AU179,"&lt;&gt;"))</f>
        <v/>
      </c>
      <c r="H179" s="272"/>
      <c r="I179" s="272"/>
      <c r="J179" s="272"/>
      <c r="K179" s="272"/>
      <c r="L179" s="272"/>
      <c r="M179" s="272"/>
      <c r="N179" s="272"/>
      <c r="O179" s="272"/>
      <c r="P179" s="272"/>
      <c r="Q179" s="272"/>
      <c r="R179" s="272"/>
      <c r="S179" s="272"/>
      <c r="T179" s="272"/>
      <c r="U179" s="272"/>
      <c r="V179" s="272"/>
      <c r="W179" s="272"/>
      <c r="X179" s="272"/>
      <c r="Y179" s="272"/>
      <c r="Z179" s="272"/>
      <c r="AA179" s="272"/>
      <c r="AB179" s="272"/>
      <c r="AC179" s="272"/>
      <c r="AD179" s="272"/>
      <c r="AE179" s="272"/>
      <c r="AF179" s="272"/>
      <c r="AG179" s="272"/>
      <c r="AH179" s="272"/>
      <c r="AI179" s="272"/>
      <c r="AJ179" s="272"/>
      <c r="AK179" s="272"/>
      <c r="AL179" s="272"/>
      <c r="AM179" s="272"/>
      <c r="AN179" s="272"/>
      <c r="AO179" s="272"/>
      <c r="AP179" s="272"/>
      <c r="AQ179" s="272"/>
      <c r="AR179" s="272"/>
      <c r="AS179" s="272"/>
      <c r="AT179" s="272"/>
      <c r="AU179" s="286"/>
    </row>
    <row r="180" spans="1:47" ht="60" customHeight="1" x14ac:dyDescent="0.35">
      <c r="A180" s="282" t="s">
        <v>6944</v>
      </c>
      <c r="B180" s="260" t="s">
        <v>7040</v>
      </c>
      <c r="C180" s="261" t="s">
        <v>7070</v>
      </c>
      <c r="D180" s="264" t="s">
        <v>7071</v>
      </c>
      <c r="E180" s="265" t="s">
        <v>6856</v>
      </c>
      <c r="F180" s="268" t="s">
        <v>7043</v>
      </c>
      <c r="G180" s="271" t="str">
        <f>IF(COUNTIF(H180:AU180,"&lt;&gt;")=0,"",SUMPRODUCT(((Recommendations[ImplStatus]="Implemented")+(Recommendations[ImplStatus]="Compensated"))*ISNUMBER(MATCH(Recommendations[Id],H180:AU180,0)))/COUNTIF(H180:AU180,"&lt;&gt;"))</f>
        <v/>
      </c>
      <c r="H180" s="272"/>
      <c r="I180" s="272"/>
      <c r="J180" s="272"/>
      <c r="K180" s="272"/>
      <c r="L180" s="272"/>
      <c r="M180" s="272"/>
      <c r="N180" s="272"/>
      <c r="O180" s="272"/>
      <c r="P180" s="272"/>
      <c r="Q180" s="272"/>
      <c r="R180" s="272"/>
      <c r="S180" s="272"/>
      <c r="T180" s="272"/>
      <c r="U180" s="272"/>
      <c r="V180" s="272"/>
      <c r="W180" s="272"/>
      <c r="X180" s="272"/>
      <c r="Y180" s="272"/>
      <c r="Z180" s="272"/>
      <c r="AA180" s="272"/>
      <c r="AB180" s="272"/>
      <c r="AC180" s="272"/>
      <c r="AD180" s="272"/>
      <c r="AE180" s="272"/>
      <c r="AF180" s="272"/>
      <c r="AG180" s="272"/>
      <c r="AH180" s="272"/>
      <c r="AI180" s="272"/>
      <c r="AJ180" s="272"/>
      <c r="AK180" s="272"/>
      <c r="AL180" s="272"/>
      <c r="AM180" s="272"/>
      <c r="AN180" s="272"/>
      <c r="AO180" s="272"/>
      <c r="AP180" s="272"/>
      <c r="AQ180" s="272"/>
      <c r="AR180" s="272"/>
      <c r="AS180" s="272"/>
      <c r="AT180" s="272"/>
      <c r="AU180" s="286"/>
    </row>
    <row r="181" spans="1:47" ht="60" customHeight="1" outlineLevel="2" x14ac:dyDescent="0.35">
      <c r="A181" s="281" t="s">
        <v>6944</v>
      </c>
      <c r="B181" s="259" t="s">
        <v>7072</v>
      </c>
      <c r="C181" s="259"/>
      <c r="D181" s="263"/>
      <c r="E181" s="259"/>
      <c r="F181" s="267"/>
      <c r="G181" s="270" t="str">
        <f>IF(COUNTIF(H181:AU181,"&lt;&gt;")=0,"",SUMPRODUCT(((Recommendations[ImplStatus]="Implemented")+(Recommendations[ImplStatus]="Compensated"))*ISNUMBER(MATCH(Recommendations[Id],H181:AU181,0)))/COUNTIF(H181:AU181,"&lt;&gt;"))</f>
        <v/>
      </c>
      <c r="H181" s="267"/>
      <c r="I181" s="267"/>
      <c r="J181" s="267"/>
      <c r="K181" s="267"/>
      <c r="L181" s="267"/>
      <c r="M181" s="267"/>
      <c r="N181" s="267"/>
      <c r="O181" s="267"/>
      <c r="P181" s="267"/>
      <c r="Q181" s="267"/>
      <c r="R181" s="267"/>
      <c r="S181" s="267"/>
      <c r="T181" s="267"/>
      <c r="U181" s="267"/>
      <c r="V181" s="267"/>
      <c r="W181" s="267"/>
      <c r="X181" s="267"/>
      <c r="Y181" s="267"/>
      <c r="Z181" s="267"/>
      <c r="AA181" s="267"/>
      <c r="AB181" s="267"/>
      <c r="AC181" s="267"/>
      <c r="AD181" s="267"/>
      <c r="AE181" s="267"/>
      <c r="AF181" s="267"/>
      <c r="AG181" s="267"/>
      <c r="AH181" s="267"/>
      <c r="AI181" s="267"/>
      <c r="AJ181" s="267"/>
      <c r="AK181" s="267"/>
      <c r="AL181" s="267"/>
      <c r="AM181" s="267"/>
      <c r="AN181" s="267"/>
      <c r="AO181" s="267"/>
      <c r="AP181" s="267"/>
      <c r="AQ181" s="267"/>
      <c r="AR181" s="267"/>
      <c r="AS181" s="267"/>
      <c r="AT181" s="267"/>
      <c r="AU181" s="285"/>
    </row>
    <row r="182" spans="1:47" ht="60" customHeight="1" x14ac:dyDescent="0.35">
      <c r="A182" s="282" t="s">
        <v>6944</v>
      </c>
      <c r="B182" s="260" t="s">
        <v>7072</v>
      </c>
      <c r="C182" s="261" t="s">
        <v>7073</v>
      </c>
      <c r="D182" s="264" t="s">
        <v>7074</v>
      </c>
      <c r="E182" s="265" t="s">
        <v>6712</v>
      </c>
      <c r="F182" s="268" t="s">
        <v>7075</v>
      </c>
      <c r="G182" s="271" t="str">
        <f>IF(COUNTIF(H182:AU182,"&lt;&gt;")=0,"",SUMPRODUCT(((Recommendations[ImplStatus]="Implemented")+(Recommendations[ImplStatus]="Compensated"))*ISNUMBER(MATCH(Recommendations[Id],H182:AU182,0)))/COUNTIF(H182:AU182,"&lt;&gt;"))</f>
        <v/>
      </c>
      <c r="H182" s="272"/>
      <c r="I182" s="272"/>
      <c r="J182" s="272"/>
      <c r="K182" s="272"/>
      <c r="L182" s="272"/>
      <c r="M182" s="272"/>
      <c r="N182" s="272"/>
      <c r="O182" s="272"/>
      <c r="P182" s="272"/>
      <c r="Q182" s="272"/>
      <c r="R182" s="272"/>
      <c r="S182" s="272"/>
      <c r="T182" s="272"/>
      <c r="U182" s="272"/>
      <c r="V182" s="272"/>
      <c r="W182" s="272"/>
      <c r="X182" s="272"/>
      <c r="Y182" s="272"/>
      <c r="Z182" s="272"/>
      <c r="AA182" s="272"/>
      <c r="AB182" s="272"/>
      <c r="AC182" s="272"/>
      <c r="AD182" s="272"/>
      <c r="AE182" s="272"/>
      <c r="AF182" s="272"/>
      <c r="AG182" s="272"/>
      <c r="AH182" s="272"/>
      <c r="AI182" s="272"/>
      <c r="AJ182" s="272"/>
      <c r="AK182" s="272"/>
      <c r="AL182" s="272"/>
      <c r="AM182" s="272"/>
      <c r="AN182" s="272"/>
      <c r="AO182" s="272"/>
      <c r="AP182" s="272"/>
      <c r="AQ182" s="272"/>
      <c r="AR182" s="272"/>
      <c r="AS182" s="272"/>
      <c r="AT182" s="272"/>
      <c r="AU182" s="286"/>
    </row>
    <row r="183" spans="1:47" ht="60" customHeight="1" x14ac:dyDescent="0.35">
      <c r="A183" s="282" t="s">
        <v>6944</v>
      </c>
      <c r="B183" s="260" t="s">
        <v>7072</v>
      </c>
      <c r="C183" s="261" t="s">
        <v>7076</v>
      </c>
      <c r="D183" s="264" t="s">
        <v>7077</v>
      </c>
      <c r="E183" s="265" t="s">
        <v>6712</v>
      </c>
      <c r="F183" s="268" t="s">
        <v>7075</v>
      </c>
      <c r="G183" s="271" t="str">
        <f>IF(COUNTIF(H183:AU183,"&lt;&gt;")=0,"",SUMPRODUCT(((Recommendations[ImplStatus]="Implemented")+(Recommendations[ImplStatus]="Compensated"))*ISNUMBER(MATCH(Recommendations[Id],H183:AU183,0)))/COUNTIF(H183:AU183,"&lt;&gt;"))</f>
        <v/>
      </c>
      <c r="H183" s="272"/>
      <c r="I183" s="272"/>
      <c r="J183" s="272"/>
      <c r="K183" s="272"/>
      <c r="L183" s="272"/>
      <c r="M183" s="272"/>
      <c r="N183" s="272"/>
      <c r="O183" s="272"/>
      <c r="P183" s="272"/>
      <c r="Q183" s="272"/>
      <c r="R183" s="272"/>
      <c r="S183" s="272"/>
      <c r="T183" s="272"/>
      <c r="U183" s="272"/>
      <c r="V183" s="272"/>
      <c r="W183" s="272"/>
      <c r="X183" s="272"/>
      <c r="Y183" s="272"/>
      <c r="Z183" s="272"/>
      <c r="AA183" s="272"/>
      <c r="AB183" s="272"/>
      <c r="AC183" s="272"/>
      <c r="AD183" s="272"/>
      <c r="AE183" s="272"/>
      <c r="AF183" s="272"/>
      <c r="AG183" s="272"/>
      <c r="AH183" s="272"/>
      <c r="AI183" s="272"/>
      <c r="AJ183" s="272"/>
      <c r="AK183" s="272"/>
      <c r="AL183" s="272"/>
      <c r="AM183" s="272"/>
      <c r="AN183" s="272"/>
      <c r="AO183" s="272"/>
      <c r="AP183" s="272"/>
      <c r="AQ183" s="272"/>
      <c r="AR183" s="272"/>
      <c r="AS183" s="272"/>
      <c r="AT183" s="272"/>
      <c r="AU183" s="286"/>
    </row>
    <row r="184" spans="1:47" ht="60" customHeight="1" x14ac:dyDescent="0.35">
      <c r="A184" s="282" t="s">
        <v>6944</v>
      </c>
      <c r="B184" s="260" t="s">
        <v>7072</v>
      </c>
      <c r="C184" s="261" t="s">
        <v>7078</v>
      </c>
      <c r="D184" s="264" t="s">
        <v>7079</v>
      </c>
      <c r="E184" s="265" t="s">
        <v>6712</v>
      </c>
      <c r="F184" s="268" t="s">
        <v>7075</v>
      </c>
      <c r="G184" s="271" t="str">
        <f>IF(COUNTIF(H184:AU184,"&lt;&gt;")=0,"",SUMPRODUCT(((Recommendations[ImplStatus]="Implemented")+(Recommendations[ImplStatus]="Compensated"))*ISNUMBER(MATCH(Recommendations[Id],H184:AU184,0)))/COUNTIF(H184:AU184,"&lt;&gt;"))</f>
        <v/>
      </c>
      <c r="H184" s="272"/>
      <c r="I184" s="272"/>
      <c r="J184" s="272"/>
      <c r="K184" s="272"/>
      <c r="L184" s="272"/>
      <c r="M184" s="272"/>
      <c r="N184" s="272"/>
      <c r="O184" s="272"/>
      <c r="P184" s="272"/>
      <c r="Q184" s="272"/>
      <c r="R184" s="272"/>
      <c r="S184" s="272"/>
      <c r="T184" s="272"/>
      <c r="U184" s="272"/>
      <c r="V184" s="272"/>
      <c r="W184" s="272"/>
      <c r="X184" s="272"/>
      <c r="Y184" s="272"/>
      <c r="Z184" s="272"/>
      <c r="AA184" s="272"/>
      <c r="AB184" s="272"/>
      <c r="AC184" s="272"/>
      <c r="AD184" s="272"/>
      <c r="AE184" s="272"/>
      <c r="AF184" s="272"/>
      <c r="AG184" s="272"/>
      <c r="AH184" s="272"/>
      <c r="AI184" s="272"/>
      <c r="AJ184" s="272"/>
      <c r="AK184" s="272"/>
      <c r="AL184" s="272"/>
      <c r="AM184" s="272"/>
      <c r="AN184" s="272"/>
      <c r="AO184" s="272"/>
      <c r="AP184" s="272"/>
      <c r="AQ184" s="272"/>
      <c r="AR184" s="272"/>
      <c r="AS184" s="272"/>
      <c r="AT184" s="272"/>
      <c r="AU184" s="286"/>
    </row>
    <row r="185" spans="1:47" ht="60" customHeight="1" x14ac:dyDescent="0.35">
      <c r="A185" s="282" t="s">
        <v>6944</v>
      </c>
      <c r="B185" s="260" t="s">
        <v>7072</v>
      </c>
      <c r="C185" s="261" t="s">
        <v>7080</v>
      </c>
      <c r="D185" s="264" t="s">
        <v>7081</v>
      </c>
      <c r="E185" s="265" t="s">
        <v>6712</v>
      </c>
      <c r="F185" s="268" t="s">
        <v>7075</v>
      </c>
      <c r="G185" s="271" t="str">
        <f>IF(COUNTIF(H185:AU185,"&lt;&gt;")=0,"",SUMPRODUCT(((Recommendations[ImplStatus]="Implemented")+(Recommendations[ImplStatus]="Compensated"))*ISNUMBER(MATCH(Recommendations[Id],H185:AU185,0)))/COUNTIF(H185:AU185,"&lt;&gt;"))</f>
        <v/>
      </c>
      <c r="H185" s="272"/>
      <c r="I185" s="272"/>
      <c r="J185" s="272"/>
      <c r="K185" s="272"/>
      <c r="L185" s="272"/>
      <c r="M185" s="272"/>
      <c r="N185" s="272"/>
      <c r="O185" s="272"/>
      <c r="P185" s="272"/>
      <c r="Q185" s="272"/>
      <c r="R185" s="272"/>
      <c r="S185" s="272"/>
      <c r="T185" s="272"/>
      <c r="U185" s="272"/>
      <c r="V185" s="272"/>
      <c r="W185" s="272"/>
      <c r="X185" s="272"/>
      <c r="Y185" s="272"/>
      <c r="Z185" s="272"/>
      <c r="AA185" s="272"/>
      <c r="AB185" s="272"/>
      <c r="AC185" s="272"/>
      <c r="AD185" s="272"/>
      <c r="AE185" s="272"/>
      <c r="AF185" s="272"/>
      <c r="AG185" s="272"/>
      <c r="AH185" s="272"/>
      <c r="AI185" s="272"/>
      <c r="AJ185" s="272"/>
      <c r="AK185" s="272"/>
      <c r="AL185" s="272"/>
      <c r="AM185" s="272"/>
      <c r="AN185" s="272"/>
      <c r="AO185" s="272"/>
      <c r="AP185" s="272"/>
      <c r="AQ185" s="272"/>
      <c r="AR185" s="272"/>
      <c r="AS185" s="272"/>
      <c r="AT185" s="272"/>
      <c r="AU185" s="286"/>
    </row>
    <row r="186" spans="1:47" ht="60" customHeight="1" x14ac:dyDescent="0.35">
      <c r="A186" s="282" t="s">
        <v>6944</v>
      </c>
      <c r="B186" s="260" t="s">
        <v>7072</v>
      </c>
      <c r="C186" s="261" t="s">
        <v>7082</v>
      </c>
      <c r="D186" s="264" t="s">
        <v>7083</v>
      </c>
      <c r="E186" s="265" t="s">
        <v>6712</v>
      </c>
      <c r="F186" s="268" t="s">
        <v>7075</v>
      </c>
      <c r="G186" s="271" t="str">
        <f>IF(COUNTIF(H186:AU186,"&lt;&gt;")=0,"",SUMPRODUCT(((Recommendations[ImplStatus]="Implemented")+(Recommendations[ImplStatus]="Compensated"))*ISNUMBER(MATCH(Recommendations[Id],H186:AU186,0)))/COUNTIF(H186:AU186,"&lt;&gt;"))</f>
        <v/>
      </c>
      <c r="H186" s="272"/>
      <c r="I186" s="272"/>
      <c r="J186" s="272"/>
      <c r="K186" s="272"/>
      <c r="L186" s="272"/>
      <c r="M186" s="272"/>
      <c r="N186" s="272"/>
      <c r="O186" s="272"/>
      <c r="P186" s="272"/>
      <c r="Q186" s="272"/>
      <c r="R186" s="272"/>
      <c r="S186" s="272"/>
      <c r="T186" s="272"/>
      <c r="U186" s="272"/>
      <c r="V186" s="272"/>
      <c r="W186" s="272"/>
      <c r="X186" s="272"/>
      <c r="Y186" s="272"/>
      <c r="Z186" s="272"/>
      <c r="AA186" s="272"/>
      <c r="AB186" s="272"/>
      <c r="AC186" s="272"/>
      <c r="AD186" s="272"/>
      <c r="AE186" s="272"/>
      <c r="AF186" s="272"/>
      <c r="AG186" s="272"/>
      <c r="AH186" s="272"/>
      <c r="AI186" s="272"/>
      <c r="AJ186" s="272"/>
      <c r="AK186" s="272"/>
      <c r="AL186" s="272"/>
      <c r="AM186" s="272"/>
      <c r="AN186" s="272"/>
      <c r="AO186" s="272"/>
      <c r="AP186" s="272"/>
      <c r="AQ186" s="272"/>
      <c r="AR186" s="272"/>
      <c r="AS186" s="272"/>
      <c r="AT186" s="272"/>
      <c r="AU186" s="286"/>
    </row>
    <row r="187" spans="1:47" ht="60" customHeight="1" x14ac:dyDescent="0.35">
      <c r="A187" s="282" t="s">
        <v>6944</v>
      </c>
      <c r="B187" s="260" t="s">
        <v>7072</v>
      </c>
      <c r="C187" s="261" t="s">
        <v>7084</v>
      </c>
      <c r="D187" s="264" t="s">
        <v>7085</v>
      </c>
      <c r="E187" s="265" t="s">
        <v>6741</v>
      </c>
      <c r="F187" s="268" t="s">
        <v>7075</v>
      </c>
      <c r="G187" s="271" t="str">
        <f>IF(COUNTIF(H187:AU187,"&lt;&gt;")=0,"",SUMPRODUCT(((Recommendations[ImplStatus]="Implemented")+(Recommendations[ImplStatus]="Compensated"))*ISNUMBER(MATCH(Recommendations[Id],H187:AU187,0)))/COUNTIF(H187:AU187,"&lt;&gt;"))</f>
        <v/>
      </c>
      <c r="H187" s="272"/>
      <c r="I187" s="272"/>
      <c r="J187" s="272"/>
      <c r="K187" s="272"/>
      <c r="L187" s="272"/>
      <c r="M187" s="272"/>
      <c r="N187" s="272"/>
      <c r="O187" s="272"/>
      <c r="P187" s="272"/>
      <c r="Q187" s="272"/>
      <c r="R187" s="272"/>
      <c r="S187" s="272"/>
      <c r="T187" s="272"/>
      <c r="U187" s="272"/>
      <c r="V187" s="272"/>
      <c r="W187" s="272"/>
      <c r="X187" s="272"/>
      <c r="Y187" s="272"/>
      <c r="Z187" s="272"/>
      <c r="AA187" s="272"/>
      <c r="AB187" s="272"/>
      <c r="AC187" s="272"/>
      <c r="AD187" s="272"/>
      <c r="AE187" s="272"/>
      <c r="AF187" s="272"/>
      <c r="AG187" s="272"/>
      <c r="AH187" s="272"/>
      <c r="AI187" s="272"/>
      <c r="AJ187" s="272"/>
      <c r="AK187" s="272"/>
      <c r="AL187" s="272"/>
      <c r="AM187" s="272"/>
      <c r="AN187" s="272"/>
      <c r="AO187" s="272"/>
      <c r="AP187" s="272"/>
      <c r="AQ187" s="272"/>
      <c r="AR187" s="272"/>
      <c r="AS187" s="272"/>
      <c r="AT187" s="272"/>
      <c r="AU187" s="286"/>
    </row>
    <row r="188" spans="1:47" ht="60" customHeight="1" x14ac:dyDescent="0.35">
      <c r="A188" s="282" t="s">
        <v>6944</v>
      </c>
      <c r="B188" s="260" t="s">
        <v>7072</v>
      </c>
      <c r="C188" s="261" t="s">
        <v>7086</v>
      </c>
      <c r="D188" s="264" t="s">
        <v>7087</v>
      </c>
      <c r="E188" s="265" t="s">
        <v>6741</v>
      </c>
      <c r="F188" s="268" t="s">
        <v>7075</v>
      </c>
      <c r="G188" s="271" t="str">
        <f>IF(COUNTIF(H188:AU188,"&lt;&gt;")=0,"",SUMPRODUCT(((Recommendations[ImplStatus]="Implemented")+(Recommendations[ImplStatus]="Compensated"))*ISNUMBER(MATCH(Recommendations[Id],H188:AU188,0)))/COUNTIF(H188:AU188,"&lt;&gt;"))</f>
        <v/>
      </c>
      <c r="H188" s="272"/>
      <c r="I188" s="272"/>
      <c r="J188" s="272"/>
      <c r="K188" s="272"/>
      <c r="L188" s="272"/>
      <c r="M188" s="272"/>
      <c r="N188" s="272"/>
      <c r="O188" s="272"/>
      <c r="P188" s="272"/>
      <c r="Q188" s="272"/>
      <c r="R188" s="272"/>
      <c r="S188" s="272"/>
      <c r="T188" s="272"/>
      <c r="U188" s="272"/>
      <c r="V188" s="272"/>
      <c r="W188" s="272"/>
      <c r="X188" s="272"/>
      <c r="Y188" s="272"/>
      <c r="Z188" s="272"/>
      <c r="AA188" s="272"/>
      <c r="AB188" s="272"/>
      <c r="AC188" s="272"/>
      <c r="AD188" s="272"/>
      <c r="AE188" s="272"/>
      <c r="AF188" s="272"/>
      <c r="AG188" s="272"/>
      <c r="AH188" s="272"/>
      <c r="AI188" s="272"/>
      <c r="AJ188" s="272"/>
      <c r="AK188" s="272"/>
      <c r="AL188" s="272"/>
      <c r="AM188" s="272"/>
      <c r="AN188" s="272"/>
      <c r="AO188" s="272"/>
      <c r="AP188" s="272"/>
      <c r="AQ188" s="272"/>
      <c r="AR188" s="272"/>
      <c r="AS188" s="272"/>
      <c r="AT188" s="272"/>
      <c r="AU188" s="286"/>
    </row>
    <row r="189" spans="1:47" ht="60" customHeight="1" x14ac:dyDescent="0.35">
      <c r="A189" s="282" t="s">
        <v>6944</v>
      </c>
      <c r="B189" s="260" t="s">
        <v>7072</v>
      </c>
      <c r="C189" s="261" t="s">
        <v>7088</v>
      </c>
      <c r="D189" s="264" t="s">
        <v>7089</v>
      </c>
      <c r="E189" s="265" t="s">
        <v>6741</v>
      </c>
      <c r="F189" s="268" t="s">
        <v>7075</v>
      </c>
      <c r="G189" s="271" t="str">
        <f>IF(COUNTIF(H189:AU189,"&lt;&gt;")=0,"",SUMPRODUCT(((Recommendations[ImplStatus]="Implemented")+(Recommendations[ImplStatus]="Compensated"))*ISNUMBER(MATCH(Recommendations[Id],H189:AU189,0)))/COUNTIF(H189:AU189,"&lt;&gt;"))</f>
        <v/>
      </c>
      <c r="H189" s="272"/>
      <c r="I189" s="272"/>
      <c r="J189" s="272"/>
      <c r="K189" s="272"/>
      <c r="L189" s="272"/>
      <c r="M189" s="272"/>
      <c r="N189" s="272"/>
      <c r="O189" s="272"/>
      <c r="P189" s="272"/>
      <c r="Q189" s="272"/>
      <c r="R189" s="272"/>
      <c r="S189" s="272"/>
      <c r="T189" s="272"/>
      <c r="U189" s="272"/>
      <c r="V189" s="272"/>
      <c r="W189" s="272"/>
      <c r="X189" s="272"/>
      <c r="Y189" s="272"/>
      <c r="Z189" s="272"/>
      <c r="AA189" s="272"/>
      <c r="AB189" s="272"/>
      <c r="AC189" s="272"/>
      <c r="AD189" s="272"/>
      <c r="AE189" s="272"/>
      <c r="AF189" s="272"/>
      <c r="AG189" s="272"/>
      <c r="AH189" s="272"/>
      <c r="AI189" s="272"/>
      <c r="AJ189" s="272"/>
      <c r="AK189" s="272"/>
      <c r="AL189" s="272"/>
      <c r="AM189" s="272"/>
      <c r="AN189" s="272"/>
      <c r="AO189" s="272"/>
      <c r="AP189" s="272"/>
      <c r="AQ189" s="272"/>
      <c r="AR189" s="272"/>
      <c r="AS189" s="272"/>
      <c r="AT189" s="272"/>
      <c r="AU189" s="286"/>
    </row>
    <row r="190" spans="1:47" ht="60" customHeight="1" x14ac:dyDescent="0.35">
      <c r="A190" s="282" t="s">
        <v>6944</v>
      </c>
      <c r="B190" s="260" t="s">
        <v>7072</v>
      </c>
      <c r="C190" s="261" t="s">
        <v>7090</v>
      </c>
      <c r="D190" s="264" t="s">
        <v>7091</v>
      </c>
      <c r="E190" s="265" t="s">
        <v>6741</v>
      </c>
      <c r="F190" s="268" t="s">
        <v>7075</v>
      </c>
      <c r="G190" s="271" t="str">
        <f>IF(COUNTIF(H190:AU190,"&lt;&gt;")=0,"",SUMPRODUCT(((Recommendations[ImplStatus]="Implemented")+(Recommendations[ImplStatus]="Compensated"))*ISNUMBER(MATCH(Recommendations[Id],H190:AU190,0)))/COUNTIF(H190:AU190,"&lt;&gt;"))</f>
        <v/>
      </c>
      <c r="H190" s="272"/>
      <c r="I190" s="272"/>
      <c r="J190" s="272"/>
      <c r="K190" s="272"/>
      <c r="L190" s="272"/>
      <c r="M190" s="272"/>
      <c r="N190" s="272"/>
      <c r="O190" s="272"/>
      <c r="P190" s="272"/>
      <c r="Q190" s="272"/>
      <c r="R190" s="272"/>
      <c r="S190" s="272"/>
      <c r="T190" s="272"/>
      <c r="U190" s="272"/>
      <c r="V190" s="272"/>
      <c r="W190" s="272"/>
      <c r="X190" s="272"/>
      <c r="Y190" s="272"/>
      <c r="Z190" s="272"/>
      <c r="AA190" s="272"/>
      <c r="AB190" s="272"/>
      <c r="AC190" s="272"/>
      <c r="AD190" s="272"/>
      <c r="AE190" s="272"/>
      <c r="AF190" s="272"/>
      <c r="AG190" s="272"/>
      <c r="AH190" s="272"/>
      <c r="AI190" s="272"/>
      <c r="AJ190" s="272"/>
      <c r="AK190" s="272"/>
      <c r="AL190" s="272"/>
      <c r="AM190" s="272"/>
      <c r="AN190" s="272"/>
      <c r="AO190" s="272"/>
      <c r="AP190" s="272"/>
      <c r="AQ190" s="272"/>
      <c r="AR190" s="272"/>
      <c r="AS190" s="272"/>
      <c r="AT190" s="272"/>
      <c r="AU190" s="286"/>
    </row>
    <row r="191" spans="1:47" ht="60" customHeight="1" x14ac:dyDescent="0.35">
      <c r="A191" s="282" t="s">
        <v>6944</v>
      </c>
      <c r="B191" s="260" t="s">
        <v>7072</v>
      </c>
      <c r="C191" s="261" t="s">
        <v>7092</v>
      </c>
      <c r="D191" s="264" t="s">
        <v>7093</v>
      </c>
      <c r="E191" s="265" t="s">
        <v>6712</v>
      </c>
      <c r="F191" s="268" t="s">
        <v>7075</v>
      </c>
      <c r="G191" s="271" t="str">
        <f>IF(COUNTIF(H191:AU191,"&lt;&gt;")=0,"",SUMPRODUCT(((Recommendations[ImplStatus]="Implemented")+(Recommendations[ImplStatus]="Compensated"))*ISNUMBER(MATCH(Recommendations[Id],H191:AU191,0)))/COUNTIF(H191:AU191,"&lt;&gt;"))</f>
        <v/>
      </c>
      <c r="H191" s="272"/>
      <c r="I191" s="272"/>
      <c r="J191" s="272"/>
      <c r="K191" s="272"/>
      <c r="L191" s="272"/>
      <c r="M191" s="272"/>
      <c r="N191" s="272"/>
      <c r="O191" s="272"/>
      <c r="P191" s="272"/>
      <c r="Q191" s="272"/>
      <c r="R191" s="272"/>
      <c r="S191" s="272"/>
      <c r="T191" s="272"/>
      <c r="U191" s="272"/>
      <c r="V191" s="272"/>
      <c r="W191" s="272"/>
      <c r="X191" s="272"/>
      <c r="Y191" s="272"/>
      <c r="Z191" s="272"/>
      <c r="AA191" s="272"/>
      <c r="AB191" s="272"/>
      <c r="AC191" s="272"/>
      <c r="AD191" s="272"/>
      <c r="AE191" s="272"/>
      <c r="AF191" s="272"/>
      <c r="AG191" s="272"/>
      <c r="AH191" s="272"/>
      <c r="AI191" s="272"/>
      <c r="AJ191" s="272"/>
      <c r="AK191" s="272"/>
      <c r="AL191" s="272"/>
      <c r="AM191" s="272"/>
      <c r="AN191" s="272"/>
      <c r="AO191" s="272"/>
      <c r="AP191" s="272"/>
      <c r="AQ191" s="272"/>
      <c r="AR191" s="272"/>
      <c r="AS191" s="272"/>
      <c r="AT191" s="272"/>
      <c r="AU191" s="286"/>
    </row>
    <row r="192" spans="1:47" ht="60" customHeight="1" x14ac:dyDescent="0.35">
      <c r="A192" s="282" t="s">
        <v>6944</v>
      </c>
      <c r="B192" s="260" t="s">
        <v>7072</v>
      </c>
      <c r="C192" s="261" t="s">
        <v>7094</v>
      </c>
      <c r="D192" s="264" t="s">
        <v>7095</v>
      </c>
      <c r="E192" s="265" t="s">
        <v>6712</v>
      </c>
      <c r="F192" s="268" t="s">
        <v>7075</v>
      </c>
      <c r="G192" s="271" t="str">
        <f>IF(COUNTIF(H192:AU192,"&lt;&gt;")=0,"",SUMPRODUCT(((Recommendations[ImplStatus]="Implemented")+(Recommendations[ImplStatus]="Compensated"))*ISNUMBER(MATCH(Recommendations[Id],H192:AU192,0)))/COUNTIF(H192:AU192,"&lt;&gt;"))</f>
        <v/>
      </c>
      <c r="H192" s="272"/>
      <c r="I192" s="272"/>
      <c r="J192" s="272"/>
      <c r="K192" s="272"/>
      <c r="L192" s="272"/>
      <c r="M192" s="272"/>
      <c r="N192" s="272"/>
      <c r="O192" s="272"/>
      <c r="P192" s="272"/>
      <c r="Q192" s="272"/>
      <c r="R192" s="272"/>
      <c r="S192" s="272"/>
      <c r="T192" s="272"/>
      <c r="U192" s="272"/>
      <c r="V192" s="272"/>
      <c r="W192" s="272"/>
      <c r="X192" s="272"/>
      <c r="Y192" s="272"/>
      <c r="Z192" s="272"/>
      <c r="AA192" s="272"/>
      <c r="AB192" s="272"/>
      <c r="AC192" s="272"/>
      <c r="AD192" s="272"/>
      <c r="AE192" s="272"/>
      <c r="AF192" s="272"/>
      <c r="AG192" s="272"/>
      <c r="AH192" s="272"/>
      <c r="AI192" s="272"/>
      <c r="AJ192" s="272"/>
      <c r="AK192" s="272"/>
      <c r="AL192" s="272"/>
      <c r="AM192" s="272"/>
      <c r="AN192" s="272"/>
      <c r="AO192" s="272"/>
      <c r="AP192" s="272"/>
      <c r="AQ192" s="272"/>
      <c r="AR192" s="272"/>
      <c r="AS192" s="272"/>
      <c r="AT192" s="272"/>
      <c r="AU192" s="286"/>
    </row>
    <row r="193" spans="1:47" ht="60" customHeight="1" x14ac:dyDescent="0.35">
      <c r="A193" s="282" t="s">
        <v>6944</v>
      </c>
      <c r="B193" s="260" t="s">
        <v>7072</v>
      </c>
      <c r="C193" s="261" t="s">
        <v>7096</v>
      </c>
      <c r="D193" s="264" t="s">
        <v>7097</v>
      </c>
      <c r="E193" s="265" t="s">
        <v>6712</v>
      </c>
      <c r="F193" s="268" t="s">
        <v>7075</v>
      </c>
      <c r="G193" s="271" t="str">
        <f>IF(COUNTIF(H193:AU193,"&lt;&gt;")=0,"",SUMPRODUCT(((Recommendations[ImplStatus]="Implemented")+(Recommendations[ImplStatus]="Compensated"))*ISNUMBER(MATCH(Recommendations[Id],H193:AU193,0)))/COUNTIF(H193:AU193,"&lt;&gt;"))</f>
        <v/>
      </c>
      <c r="H193" s="272"/>
      <c r="I193" s="272"/>
      <c r="J193" s="272"/>
      <c r="K193" s="272"/>
      <c r="L193" s="272"/>
      <c r="M193" s="272"/>
      <c r="N193" s="272"/>
      <c r="O193" s="272"/>
      <c r="P193" s="272"/>
      <c r="Q193" s="272"/>
      <c r="R193" s="272"/>
      <c r="S193" s="272"/>
      <c r="T193" s="272"/>
      <c r="U193" s="272"/>
      <c r="V193" s="272"/>
      <c r="W193" s="272"/>
      <c r="X193" s="272"/>
      <c r="Y193" s="272"/>
      <c r="Z193" s="272"/>
      <c r="AA193" s="272"/>
      <c r="AB193" s="272"/>
      <c r="AC193" s="272"/>
      <c r="AD193" s="272"/>
      <c r="AE193" s="272"/>
      <c r="AF193" s="272"/>
      <c r="AG193" s="272"/>
      <c r="AH193" s="272"/>
      <c r="AI193" s="272"/>
      <c r="AJ193" s="272"/>
      <c r="AK193" s="272"/>
      <c r="AL193" s="272"/>
      <c r="AM193" s="272"/>
      <c r="AN193" s="272"/>
      <c r="AO193" s="272"/>
      <c r="AP193" s="272"/>
      <c r="AQ193" s="272"/>
      <c r="AR193" s="272"/>
      <c r="AS193" s="272"/>
      <c r="AT193" s="272"/>
      <c r="AU193" s="286"/>
    </row>
    <row r="194" spans="1:47" ht="60" customHeight="1" x14ac:dyDescent="0.35">
      <c r="A194" s="282" t="s">
        <v>6944</v>
      </c>
      <c r="B194" s="260" t="s">
        <v>7072</v>
      </c>
      <c r="C194" s="261" t="s">
        <v>7098</v>
      </c>
      <c r="D194" s="264" t="s">
        <v>7099</v>
      </c>
      <c r="E194" s="265" t="s">
        <v>6712</v>
      </c>
      <c r="F194" s="268" t="s">
        <v>7075</v>
      </c>
      <c r="G194" s="271" t="str">
        <f>IF(COUNTIF(H194:AU194,"&lt;&gt;")=0,"",SUMPRODUCT(((Recommendations[ImplStatus]="Implemented")+(Recommendations[ImplStatus]="Compensated"))*ISNUMBER(MATCH(Recommendations[Id],H194:AU194,0)))/COUNTIF(H194:AU194,"&lt;&gt;"))</f>
        <v/>
      </c>
      <c r="H194" s="272"/>
      <c r="I194" s="272"/>
      <c r="J194" s="272"/>
      <c r="K194" s="272"/>
      <c r="L194" s="272"/>
      <c r="M194" s="272"/>
      <c r="N194" s="272"/>
      <c r="O194" s="272"/>
      <c r="P194" s="272"/>
      <c r="Q194" s="272"/>
      <c r="R194" s="272"/>
      <c r="S194" s="272"/>
      <c r="T194" s="272"/>
      <c r="U194" s="272"/>
      <c r="V194" s="272"/>
      <c r="W194" s="272"/>
      <c r="X194" s="272"/>
      <c r="Y194" s="272"/>
      <c r="Z194" s="272"/>
      <c r="AA194" s="272"/>
      <c r="AB194" s="272"/>
      <c r="AC194" s="272"/>
      <c r="AD194" s="272"/>
      <c r="AE194" s="272"/>
      <c r="AF194" s="272"/>
      <c r="AG194" s="272"/>
      <c r="AH194" s="272"/>
      <c r="AI194" s="272"/>
      <c r="AJ194" s="272"/>
      <c r="AK194" s="272"/>
      <c r="AL194" s="272"/>
      <c r="AM194" s="272"/>
      <c r="AN194" s="272"/>
      <c r="AO194" s="272"/>
      <c r="AP194" s="272"/>
      <c r="AQ194" s="272"/>
      <c r="AR194" s="272"/>
      <c r="AS194" s="272"/>
      <c r="AT194" s="272"/>
      <c r="AU194" s="286"/>
    </row>
    <row r="195" spans="1:47" ht="60" customHeight="1" x14ac:dyDescent="0.35">
      <c r="A195" s="282" t="s">
        <v>6944</v>
      </c>
      <c r="B195" s="260" t="s">
        <v>7072</v>
      </c>
      <c r="C195" s="261" t="s">
        <v>7100</v>
      </c>
      <c r="D195" s="264" t="s">
        <v>7101</v>
      </c>
      <c r="E195" s="265" t="s">
        <v>6712</v>
      </c>
      <c r="F195" s="268" t="s">
        <v>7075</v>
      </c>
      <c r="G195" s="271" t="str">
        <f>IF(COUNTIF(H195:AU195,"&lt;&gt;")=0,"",SUMPRODUCT(((Recommendations[ImplStatus]="Implemented")+(Recommendations[ImplStatus]="Compensated"))*ISNUMBER(MATCH(Recommendations[Id],H195:AU195,0)))/COUNTIF(H195:AU195,"&lt;&gt;"))</f>
        <v/>
      </c>
      <c r="H195" s="272"/>
      <c r="I195" s="272"/>
      <c r="J195" s="272"/>
      <c r="K195" s="272"/>
      <c r="L195" s="272"/>
      <c r="M195" s="272"/>
      <c r="N195" s="272"/>
      <c r="O195" s="272"/>
      <c r="P195" s="272"/>
      <c r="Q195" s="272"/>
      <c r="R195" s="272"/>
      <c r="S195" s="272"/>
      <c r="T195" s="272"/>
      <c r="U195" s="272"/>
      <c r="V195" s="272"/>
      <c r="W195" s="272"/>
      <c r="X195" s="272"/>
      <c r="Y195" s="272"/>
      <c r="Z195" s="272"/>
      <c r="AA195" s="272"/>
      <c r="AB195" s="272"/>
      <c r="AC195" s="272"/>
      <c r="AD195" s="272"/>
      <c r="AE195" s="272"/>
      <c r="AF195" s="272"/>
      <c r="AG195" s="272"/>
      <c r="AH195" s="272"/>
      <c r="AI195" s="272"/>
      <c r="AJ195" s="272"/>
      <c r="AK195" s="272"/>
      <c r="AL195" s="272"/>
      <c r="AM195" s="272"/>
      <c r="AN195" s="272"/>
      <c r="AO195" s="272"/>
      <c r="AP195" s="272"/>
      <c r="AQ195" s="272"/>
      <c r="AR195" s="272"/>
      <c r="AS195" s="272"/>
      <c r="AT195" s="272"/>
      <c r="AU195" s="286"/>
    </row>
    <row r="196" spans="1:47" ht="60" customHeight="1" x14ac:dyDescent="0.35">
      <c r="A196" s="282" t="s">
        <v>6944</v>
      </c>
      <c r="B196" s="260" t="s">
        <v>7072</v>
      </c>
      <c r="C196" s="261" t="s">
        <v>7102</v>
      </c>
      <c r="D196" s="264" t="s">
        <v>7103</v>
      </c>
      <c r="E196" s="265" t="s">
        <v>6712</v>
      </c>
      <c r="F196" s="268" t="s">
        <v>7104</v>
      </c>
      <c r="G196" s="271" t="str">
        <f>IF(COUNTIF(H196:AU196,"&lt;&gt;")=0,"",SUMPRODUCT(((Recommendations[ImplStatus]="Implemented")+(Recommendations[ImplStatus]="Compensated"))*ISNUMBER(MATCH(Recommendations[Id],H196:AU196,0)))/COUNTIF(H196:AU196,"&lt;&gt;"))</f>
        <v/>
      </c>
      <c r="H196" s="272"/>
      <c r="I196" s="272"/>
      <c r="J196" s="272"/>
      <c r="K196" s="272"/>
      <c r="L196" s="272"/>
      <c r="M196" s="272"/>
      <c r="N196" s="272"/>
      <c r="O196" s="272"/>
      <c r="P196" s="272"/>
      <c r="Q196" s="272"/>
      <c r="R196" s="272"/>
      <c r="S196" s="272"/>
      <c r="T196" s="272"/>
      <c r="U196" s="272"/>
      <c r="V196" s="272"/>
      <c r="W196" s="272"/>
      <c r="X196" s="272"/>
      <c r="Y196" s="272"/>
      <c r="Z196" s="272"/>
      <c r="AA196" s="272"/>
      <c r="AB196" s="272"/>
      <c r="AC196" s="272"/>
      <c r="AD196" s="272"/>
      <c r="AE196" s="272"/>
      <c r="AF196" s="272"/>
      <c r="AG196" s="272"/>
      <c r="AH196" s="272"/>
      <c r="AI196" s="272"/>
      <c r="AJ196" s="272"/>
      <c r="AK196" s="272"/>
      <c r="AL196" s="272"/>
      <c r="AM196" s="272"/>
      <c r="AN196" s="272"/>
      <c r="AO196" s="272"/>
      <c r="AP196" s="272"/>
      <c r="AQ196" s="272"/>
      <c r="AR196" s="272"/>
      <c r="AS196" s="272"/>
      <c r="AT196" s="272"/>
      <c r="AU196" s="286"/>
    </row>
    <row r="197" spans="1:47" ht="60" customHeight="1" x14ac:dyDescent="0.35">
      <c r="A197" s="282" t="s">
        <v>6944</v>
      </c>
      <c r="B197" s="260" t="s">
        <v>7072</v>
      </c>
      <c r="C197" s="261" t="s">
        <v>7105</v>
      </c>
      <c r="D197" s="264" t="s">
        <v>7106</v>
      </c>
      <c r="E197" s="265" t="s">
        <v>6712</v>
      </c>
      <c r="F197" s="268" t="s">
        <v>7104</v>
      </c>
      <c r="G197" s="271" t="str">
        <f>IF(COUNTIF(H197:AU197,"&lt;&gt;")=0,"",SUMPRODUCT(((Recommendations[ImplStatus]="Implemented")+(Recommendations[ImplStatus]="Compensated"))*ISNUMBER(MATCH(Recommendations[Id],H197:AU197,0)))/COUNTIF(H197:AU197,"&lt;&gt;"))</f>
        <v/>
      </c>
      <c r="H197" s="272"/>
      <c r="I197" s="272"/>
      <c r="J197" s="272"/>
      <c r="K197" s="272"/>
      <c r="L197" s="272"/>
      <c r="M197" s="272"/>
      <c r="N197" s="272"/>
      <c r="O197" s="272"/>
      <c r="P197" s="272"/>
      <c r="Q197" s="272"/>
      <c r="R197" s="272"/>
      <c r="S197" s="272"/>
      <c r="T197" s="272"/>
      <c r="U197" s="272"/>
      <c r="V197" s="272"/>
      <c r="W197" s="272"/>
      <c r="X197" s="272"/>
      <c r="Y197" s="272"/>
      <c r="Z197" s="272"/>
      <c r="AA197" s="272"/>
      <c r="AB197" s="272"/>
      <c r="AC197" s="272"/>
      <c r="AD197" s="272"/>
      <c r="AE197" s="272"/>
      <c r="AF197" s="272"/>
      <c r="AG197" s="272"/>
      <c r="AH197" s="272"/>
      <c r="AI197" s="272"/>
      <c r="AJ197" s="272"/>
      <c r="AK197" s="272"/>
      <c r="AL197" s="272"/>
      <c r="AM197" s="272"/>
      <c r="AN197" s="272"/>
      <c r="AO197" s="272"/>
      <c r="AP197" s="272"/>
      <c r="AQ197" s="272"/>
      <c r="AR197" s="272"/>
      <c r="AS197" s="272"/>
      <c r="AT197" s="272"/>
      <c r="AU197" s="286"/>
    </row>
    <row r="198" spans="1:47" ht="60" customHeight="1" x14ac:dyDescent="0.35">
      <c r="A198" s="282" t="s">
        <v>6944</v>
      </c>
      <c r="B198" s="260" t="s">
        <v>7072</v>
      </c>
      <c r="C198" s="261" t="s">
        <v>7107</v>
      </c>
      <c r="D198" s="264" t="s">
        <v>7108</v>
      </c>
      <c r="E198" s="265" t="s">
        <v>6712</v>
      </c>
      <c r="F198" s="268" t="s">
        <v>7104</v>
      </c>
      <c r="G198" s="271" t="str">
        <f>IF(COUNTIF(H198:AU198,"&lt;&gt;")=0,"",SUMPRODUCT(((Recommendations[ImplStatus]="Implemented")+(Recommendations[ImplStatus]="Compensated"))*ISNUMBER(MATCH(Recommendations[Id],H198:AU198,0)))/COUNTIF(H198:AU198,"&lt;&gt;"))</f>
        <v/>
      </c>
      <c r="H198" s="272"/>
      <c r="I198" s="272"/>
      <c r="J198" s="272"/>
      <c r="K198" s="272"/>
      <c r="L198" s="272"/>
      <c r="M198" s="272"/>
      <c r="N198" s="272"/>
      <c r="O198" s="272"/>
      <c r="P198" s="272"/>
      <c r="Q198" s="272"/>
      <c r="R198" s="272"/>
      <c r="S198" s="272"/>
      <c r="T198" s="272"/>
      <c r="U198" s="272"/>
      <c r="V198" s="272"/>
      <c r="W198" s="272"/>
      <c r="X198" s="272"/>
      <c r="Y198" s="272"/>
      <c r="Z198" s="272"/>
      <c r="AA198" s="272"/>
      <c r="AB198" s="272"/>
      <c r="AC198" s="272"/>
      <c r="AD198" s="272"/>
      <c r="AE198" s="272"/>
      <c r="AF198" s="272"/>
      <c r="AG198" s="272"/>
      <c r="AH198" s="272"/>
      <c r="AI198" s="272"/>
      <c r="AJ198" s="272"/>
      <c r="AK198" s="272"/>
      <c r="AL198" s="272"/>
      <c r="AM198" s="272"/>
      <c r="AN198" s="272"/>
      <c r="AO198" s="272"/>
      <c r="AP198" s="272"/>
      <c r="AQ198" s="272"/>
      <c r="AR198" s="272"/>
      <c r="AS198" s="272"/>
      <c r="AT198" s="272"/>
      <c r="AU198" s="286"/>
    </row>
    <row r="199" spans="1:47" ht="60" customHeight="1" x14ac:dyDescent="0.35">
      <c r="A199" s="282" t="s">
        <v>6944</v>
      </c>
      <c r="B199" s="260" t="s">
        <v>7072</v>
      </c>
      <c r="C199" s="261" t="s">
        <v>7109</v>
      </c>
      <c r="D199" s="264" t="s">
        <v>7110</v>
      </c>
      <c r="E199" s="265" t="s">
        <v>6712</v>
      </c>
      <c r="F199" s="268" t="s">
        <v>7104</v>
      </c>
      <c r="G199" s="271" t="str">
        <f>IF(COUNTIF(H199:AU199,"&lt;&gt;")=0,"",SUMPRODUCT(((Recommendations[ImplStatus]="Implemented")+(Recommendations[ImplStatus]="Compensated"))*ISNUMBER(MATCH(Recommendations[Id],H199:AU199,0)))/COUNTIF(H199:AU199,"&lt;&gt;"))</f>
        <v/>
      </c>
      <c r="H199" s="272"/>
      <c r="I199" s="272"/>
      <c r="J199" s="272"/>
      <c r="K199" s="272"/>
      <c r="L199" s="272"/>
      <c r="M199" s="272"/>
      <c r="N199" s="272"/>
      <c r="O199" s="272"/>
      <c r="P199" s="272"/>
      <c r="Q199" s="272"/>
      <c r="R199" s="272"/>
      <c r="S199" s="272"/>
      <c r="T199" s="272"/>
      <c r="U199" s="272"/>
      <c r="V199" s="272"/>
      <c r="W199" s="272"/>
      <c r="X199" s="272"/>
      <c r="Y199" s="272"/>
      <c r="Z199" s="272"/>
      <c r="AA199" s="272"/>
      <c r="AB199" s="272"/>
      <c r="AC199" s="272"/>
      <c r="AD199" s="272"/>
      <c r="AE199" s="272"/>
      <c r="AF199" s="272"/>
      <c r="AG199" s="272"/>
      <c r="AH199" s="272"/>
      <c r="AI199" s="272"/>
      <c r="AJ199" s="272"/>
      <c r="AK199" s="272"/>
      <c r="AL199" s="272"/>
      <c r="AM199" s="272"/>
      <c r="AN199" s="272"/>
      <c r="AO199" s="272"/>
      <c r="AP199" s="272"/>
      <c r="AQ199" s="272"/>
      <c r="AR199" s="272"/>
      <c r="AS199" s="272"/>
      <c r="AT199" s="272"/>
      <c r="AU199" s="286"/>
    </row>
    <row r="200" spans="1:47" ht="60" customHeight="1" outlineLevel="1" x14ac:dyDescent="0.35">
      <c r="A200" s="280" t="s">
        <v>7111</v>
      </c>
      <c r="B200" s="258"/>
      <c r="C200" s="258"/>
      <c r="D200" s="262"/>
      <c r="E200" s="258"/>
      <c r="F200" s="266"/>
      <c r="G200" s="269" t="str">
        <f>IF(COUNTIF(H200:AU200,"&lt;&gt;")=0,"",SUMPRODUCT(((Recommendations[ImplStatus]="Implemented")+(Recommendations[ImplStatus]="Compensated"))*ISNUMBER(MATCH(Recommendations[Id],H200:AU200,0)))/COUNTIF(H200:AU200,"&lt;&gt;"))</f>
        <v/>
      </c>
      <c r="H200" s="266"/>
      <c r="I200" s="266"/>
      <c r="J200" s="266"/>
      <c r="K200" s="266"/>
      <c r="L200" s="266"/>
      <c r="M200" s="266"/>
      <c r="N200" s="266"/>
      <c r="O200" s="266"/>
      <c r="P200" s="266"/>
      <c r="Q200" s="266"/>
      <c r="R200" s="266"/>
      <c r="S200" s="266"/>
      <c r="T200" s="266"/>
      <c r="U200" s="266"/>
      <c r="V200" s="266"/>
      <c r="W200" s="266"/>
      <c r="X200" s="266"/>
      <c r="Y200" s="266"/>
      <c r="Z200" s="266"/>
      <c r="AA200" s="266"/>
      <c r="AB200" s="266"/>
      <c r="AC200" s="266"/>
      <c r="AD200" s="266"/>
      <c r="AE200" s="266"/>
      <c r="AF200" s="266"/>
      <c r="AG200" s="266"/>
      <c r="AH200" s="266"/>
      <c r="AI200" s="266"/>
      <c r="AJ200" s="266"/>
      <c r="AK200" s="266"/>
      <c r="AL200" s="266"/>
      <c r="AM200" s="266"/>
      <c r="AN200" s="266"/>
      <c r="AO200" s="266"/>
      <c r="AP200" s="266"/>
      <c r="AQ200" s="266"/>
      <c r="AR200" s="266"/>
      <c r="AS200" s="266"/>
      <c r="AT200" s="266"/>
      <c r="AU200" s="284"/>
    </row>
    <row r="201" spans="1:47" ht="60" customHeight="1" outlineLevel="2" x14ac:dyDescent="0.35">
      <c r="A201" s="281" t="s">
        <v>7111</v>
      </c>
      <c r="B201" s="259" t="s">
        <v>7112</v>
      </c>
      <c r="C201" s="259"/>
      <c r="D201" s="263"/>
      <c r="E201" s="259"/>
      <c r="F201" s="267"/>
      <c r="G201" s="270" t="str">
        <f>IF(COUNTIF(H201:AU201,"&lt;&gt;")=0,"",SUMPRODUCT(((Recommendations[ImplStatus]="Implemented")+(Recommendations[ImplStatus]="Compensated"))*ISNUMBER(MATCH(Recommendations[Id],H201:AU201,0)))/COUNTIF(H201:AU201,"&lt;&gt;"))</f>
        <v/>
      </c>
      <c r="H201" s="267"/>
      <c r="I201" s="267"/>
      <c r="J201" s="267"/>
      <c r="K201" s="267"/>
      <c r="L201" s="267"/>
      <c r="M201" s="267"/>
      <c r="N201" s="267"/>
      <c r="O201" s="267"/>
      <c r="P201" s="267"/>
      <c r="Q201" s="267"/>
      <c r="R201" s="267"/>
      <c r="S201" s="267"/>
      <c r="T201" s="267"/>
      <c r="U201" s="267"/>
      <c r="V201" s="267"/>
      <c r="W201" s="267"/>
      <c r="X201" s="267"/>
      <c r="Y201" s="267"/>
      <c r="Z201" s="267"/>
      <c r="AA201" s="267"/>
      <c r="AB201" s="267"/>
      <c r="AC201" s="267"/>
      <c r="AD201" s="267"/>
      <c r="AE201" s="267"/>
      <c r="AF201" s="267"/>
      <c r="AG201" s="267"/>
      <c r="AH201" s="267"/>
      <c r="AI201" s="267"/>
      <c r="AJ201" s="267"/>
      <c r="AK201" s="267"/>
      <c r="AL201" s="267"/>
      <c r="AM201" s="267"/>
      <c r="AN201" s="267"/>
      <c r="AO201" s="267"/>
      <c r="AP201" s="267"/>
      <c r="AQ201" s="267"/>
      <c r="AR201" s="267"/>
      <c r="AS201" s="267"/>
      <c r="AT201" s="267"/>
      <c r="AU201" s="285"/>
    </row>
    <row r="202" spans="1:47" ht="60" customHeight="1" x14ac:dyDescent="0.35">
      <c r="A202" s="282" t="s">
        <v>7111</v>
      </c>
      <c r="B202" s="260" t="s">
        <v>7112</v>
      </c>
      <c r="C202" s="261" t="s">
        <v>7113</v>
      </c>
      <c r="D202" s="264" t="s">
        <v>7114</v>
      </c>
      <c r="E202" s="265" t="s">
        <v>6991</v>
      </c>
      <c r="F202" s="268" t="s">
        <v>7115</v>
      </c>
      <c r="G202" s="271" t="str">
        <f>IF(COUNTIF(H202:AU202,"&lt;&gt;")=0,"",SUMPRODUCT(((Recommendations[ImplStatus]="Implemented")+(Recommendations[ImplStatus]="Compensated"))*ISNUMBER(MATCH(Recommendations[Id],H202:AU202,0)))/COUNTIF(H202:AU202,"&lt;&gt;"))</f>
        <v/>
      </c>
      <c r="H202" s="272"/>
      <c r="I202" s="272"/>
      <c r="J202" s="272"/>
      <c r="K202" s="272"/>
      <c r="L202" s="272"/>
      <c r="M202" s="272"/>
      <c r="N202" s="272"/>
      <c r="O202" s="272"/>
      <c r="P202" s="272"/>
      <c r="Q202" s="272"/>
      <c r="R202" s="272"/>
      <c r="S202" s="272"/>
      <c r="T202" s="272"/>
      <c r="U202" s="272"/>
      <c r="V202" s="272"/>
      <c r="W202" s="272"/>
      <c r="X202" s="272"/>
      <c r="Y202" s="272"/>
      <c r="Z202" s="272"/>
      <c r="AA202" s="272"/>
      <c r="AB202" s="272"/>
      <c r="AC202" s="272"/>
      <c r="AD202" s="272"/>
      <c r="AE202" s="272"/>
      <c r="AF202" s="272"/>
      <c r="AG202" s="272"/>
      <c r="AH202" s="272"/>
      <c r="AI202" s="272"/>
      <c r="AJ202" s="272"/>
      <c r="AK202" s="272"/>
      <c r="AL202" s="272"/>
      <c r="AM202" s="272"/>
      <c r="AN202" s="272"/>
      <c r="AO202" s="272"/>
      <c r="AP202" s="272"/>
      <c r="AQ202" s="272"/>
      <c r="AR202" s="272"/>
      <c r="AS202" s="272"/>
      <c r="AT202" s="272"/>
      <c r="AU202" s="286"/>
    </row>
    <row r="203" spans="1:47" ht="60" customHeight="1" x14ac:dyDescent="0.35">
      <c r="A203" s="282" t="s">
        <v>7111</v>
      </c>
      <c r="B203" s="260" t="s">
        <v>7112</v>
      </c>
      <c r="C203" s="261" t="s">
        <v>7116</v>
      </c>
      <c r="D203" s="264" t="s">
        <v>7117</v>
      </c>
      <c r="E203" s="265" t="s">
        <v>6991</v>
      </c>
      <c r="F203" s="268" t="s">
        <v>7115</v>
      </c>
      <c r="G203" s="271" t="str">
        <f>IF(COUNTIF(H203:AU203,"&lt;&gt;")=0,"",SUMPRODUCT(((Recommendations[ImplStatus]="Implemented")+(Recommendations[ImplStatus]="Compensated"))*ISNUMBER(MATCH(Recommendations[Id],H203:AU203,0)))/COUNTIF(H203:AU203,"&lt;&gt;"))</f>
        <v/>
      </c>
      <c r="H203" s="272"/>
      <c r="I203" s="272"/>
      <c r="J203" s="272"/>
      <c r="K203" s="272"/>
      <c r="L203" s="272"/>
      <c r="M203" s="272"/>
      <c r="N203" s="272"/>
      <c r="O203" s="272"/>
      <c r="P203" s="272"/>
      <c r="Q203" s="272"/>
      <c r="R203" s="272"/>
      <c r="S203" s="272"/>
      <c r="T203" s="272"/>
      <c r="U203" s="272"/>
      <c r="V203" s="272"/>
      <c r="W203" s="272"/>
      <c r="X203" s="272"/>
      <c r="Y203" s="272"/>
      <c r="Z203" s="272"/>
      <c r="AA203" s="272"/>
      <c r="AB203" s="272"/>
      <c r="AC203" s="272"/>
      <c r="AD203" s="272"/>
      <c r="AE203" s="272"/>
      <c r="AF203" s="272"/>
      <c r="AG203" s="272"/>
      <c r="AH203" s="272"/>
      <c r="AI203" s="272"/>
      <c r="AJ203" s="272"/>
      <c r="AK203" s="272"/>
      <c r="AL203" s="272"/>
      <c r="AM203" s="272"/>
      <c r="AN203" s="272"/>
      <c r="AO203" s="272"/>
      <c r="AP203" s="272"/>
      <c r="AQ203" s="272"/>
      <c r="AR203" s="272"/>
      <c r="AS203" s="272"/>
      <c r="AT203" s="272"/>
      <c r="AU203" s="286"/>
    </row>
    <row r="204" spans="1:47" ht="60" customHeight="1" x14ac:dyDescent="0.35">
      <c r="A204" s="282" t="s">
        <v>7111</v>
      </c>
      <c r="B204" s="260" t="s">
        <v>7112</v>
      </c>
      <c r="C204" s="261" t="s">
        <v>7118</v>
      </c>
      <c r="D204" s="264" t="s">
        <v>7119</v>
      </c>
      <c r="E204" s="265" t="s">
        <v>6991</v>
      </c>
      <c r="F204" s="268" t="s">
        <v>7115</v>
      </c>
      <c r="G204" s="271" t="str">
        <f>IF(COUNTIF(H204:AU204,"&lt;&gt;")=0,"",SUMPRODUCT(((Recommendations[ImplStatus]="Implemented")+(Recommendations[ImplStatus]="Compensated"))*ISNUMBER(MATCH(Recommendations[Id],H204:AU204,0)))/COUNTIF(H204:AU204,"&lt;&gt;"))</f>
        <v/>
      </c>
      <c r="H204" s="272"/>
      <c r="I204" s="272"/>
      <c r="J204" s="272"/>
      <c r="K204" s="272"/>
      <c r="L204" s="272"/>
      <c r="M204" s="272"/>
      <c r="N204" s="272"/>
      <c r="O204" s="272"/>
      <c r="P204" s="272"/>
      <c r="Q204" s="272"/>
      <c r="R204" s="272"/>
      <c r="S204" s="272"/>
      <c r="T204" s="272"/>
      <c r="U204" s="272"/>
      <c r="V204" s="272"/>
      <c r="W204" s="272"/>
      <c r="X204" s="272"/>
      <c r="Y204" s="272"/>
      <c r="Z204" s="272"/>
      <c r="AA204" s="272"/>
      <c r="AB204" s="272"/>
      <c r="AC204" s="272"/>
      <c r="AD204" s="272"/>
      <c r="AE204" s="272"/>
      <c r="AF204" s="272"/>
      <c r="AG204" s="272"/>
      <c r="AH204" s="272"/>
      <c r="AI204" s="272"/>
      <c r="AJ204" s="272"/>
      <c r="AK204" s="272"/>
      <c r="AL204" s="272"/>
      <c r="AM204" s="272"/>
      <c r="AN204" s="272"/>
      <c r="AO204" s="272"/>
      <c r="AP204" s="272"/>
      <c r="AQ204" s="272"/>
      <c r="AR204" s="272"/>
      <c r="AS204" s="272"/>
      <c r="AT204" s="272"/>
      <c r="AU204" s="286"/>
    </row>
    <row r="205" spans="1:47" ht="60" customHeight="1" x14ac:dyDescent="0.35">
      <c r="A205" s="282" t="s">
        <v>7111</v>
      </c>
      <c r="B205" s="260" t="s">
        <v>7112</v>
      </c>
      <c r="C205" s="261" t="s">
        <v>7120</v>
      </c>
      <c r="D205" s="264" t="s">
        <v>7121</v>
      </c>
      <c r="E205" s="265" t="s">
        <v>6991</v>
      </c>
      <c r="F205" s="268" t="s">
        <v>7115</v>
      </c>
      <c r="G205" s="271" t="str">
        <f>IF(COUNTIF(H205:AU205,"&lt;&gt;")=0,"",SUMPRODUCT(((Recommendations[ImplStatus]="Implemented")+(Recommendations[ImplStatus]="Compensated"))*ISNUMBER(MATCH(Recommendations[Id],H205:AU205,0)))/COUNTIF(H205:AU205,"&lt;&gt;"))</f>
        <v/>
      </c>
      <c r="H205" s="272"/>
      <c r="I205" s="272"/>
      <c r="J205" s="272"/>
      <c r="K205" s="272"/>
      <c r="L205" s="272"/>
      <c r="M205" s="272"/>
      <c r="N205" s="272"/>
      <c r="O205" s="272"/>
      <c r="P205" s="272"/>
      <c r="Q205" s="272"/>
      <c r="R205" s="272"/>
      <c r="S205" s="272"/>
      <c r="T205" s="272"/>
      <c r="U205" s="272"/>
      <c r="V205" s="272"/>
      <c r="W205" s="272"/>
      <c r="X205" s="272"/>
      <c r="Y205" s="272"/>
      <c r="Z205" s="272"/>
      <c r="AA205" s="272"/>
      <c r="AB205" s="272"/>
      <c r="AC205" s="272"/>
      <c r="AD205" s="272"/>
      <c r="AE205" s="272"/>
      <c r="AF205" s="272"/>
      <c r="AG205" s="272"/>
      <c r="AH205" s="272"/>
      <c r="AI205" s="272"/>
      <c r="AJ205" s="272"/>
      <c r="AK205" s="272"/>
      <c r="AL205" s="272"/>
      <c r="AM205" s="272"/>
      <c r="AN205" s="272"/>
      <c r="AO205" s="272"/>
      <c r="AP205" s="272"/>
      <c r="AQ205" s="272"/>
      <c r="AR205" s="272"/>
      <c r="AS205" s="272"/>
      <c r="AT205" s="272"/>
      <c r="AU205" s="286"/>
    </row>
    <row r="206" spans="1:47" ht="60" customHeight="1" x14ac:dyDescent="0.35">
      <c r="A206" s="282" t="s">
        <v>7111</v>
      </c>
      <c r="B206" s="260" t="s">
        <v>7112</v>
      </c>
      <c r="C206" s="261" t="s">
        <v>7122</v>
      </c>
      <c r="D206" s="264" t="s">
        <v>7123</v>
      </c>
      <c r="E206" s="265" t="s">
        <v>6991</v>
      </c>
      <c r="F206" s="268" t="s">
        <v>7115</v>
      </c>
      <c r="G206" s="271" t="str">
        <f>IF(COUNTIF(H206:AU206,"&lt;&gt;")=0,"",SUMPRODUCT(((Recommendations[ImplStatus]="Implemented")+(Recommendations[ImplStatus]="Compensated"))*ISNUMBER(MATCH(Recommendations[Id],H206:AU206,0)))/COUNTIF(H206:AU206,"&lt;&gt;"))</f>
        <v/>
      </c>
      <c r="H206" s="272"/>
      <c r="I206" s="272"/>
      <c r="J206" s="272"/>
      <c r="K206" s="272"/>
      <c r="L206" s="272"/>
      <c r="M206" s="272"/>
      <c r="N206" s="272"/>
      <c r="O206" s="272"/>
      <c r="P206" s="272"/>
      <c r="Q206" s="272"/>
      <c r="R206" s="272"/>
      <c r="S206" s="272"/>
      <c r="T206" s="272"/>
      <c r="U206" s="272"/>
      <c r="V206" s="272"/>
      <c r="W206" s="272"/>
      <c r="X206" s="272"/>
      <c r="Y206" s="272"/>
      <c r="Z206" s="272"/>
      <c r="AA206" s="272"/>
      <c r="AB206" s="272"/>
      <c r="AC206" s="272"/>
      <c r="AD206" s="272"/>
      <c r="AE206" s="272"/>
      <c r="AF206" s="272"/>
      <c r="AG206" s="272"/>
      <c r="AH206" s="272"/>
      <c r="AI206" s="272"/>
      <c r="AJ206" s="272"/>
      <c r="AK206" s="272"/>
      <c r="AL206" s="272"/>
      <c r="AM206" s="272"/>
      <c r="AN206" s="272"/>
      <c r="AO206" s="272"/>
      <c r="AP206" s="272"/>
      <c r="AQ206" s="272"/>
      <c r="AR206" s="272"/>
      <c r="AS206" s="272"/>
      <c r="AT206" s="272"/>
      <c r="AU206" s="286"/>
    </row>
    <row r="207" spans="1:47" ht="60" customHeight="1" x14ac:dyDescent="0.35">
      <c r="A207" s="282" t="s">
        <v>7111</v>
      </c>
      <c r="B207" s="260" t="s">
        <v>7112</v>
      </c>
      <c r="C207" s="261" t="s">
        <v>7124</v>
      </c>
      <c r="D207" s="264" t="s">
        <v>7125</v>
      </c>
      <c r="E207" s="265" t="s">
        <v>6856</v>
      </c>
      <c r="F207" s="268" t="s">
        <v>7115</v>
      </c>
      <c r="G207" s="271" t="str">
        <f>IF(COUNTIF(H207:AU207,"&lt;&gt;")=0,"",SUMPRODUCT(((Recommendations[ImplStatus]="Implemented")+(Recommendations[ImplStatus]="Compensated"))*ISNUMBER(MATCH(Recommendations[Id],H207:AU207,0)))/COUNTIF(H207:AU207,"&lt;&gt;"))</f>
        <v/>
      </c>
      <c r="H207" s="272"/>
      <c r="I207" s="272"/>
      <c r="J207" s="272"/>
      <c r="K207" s="272"/>
      <c r="L207" s="272"/>
      <c r="M207" s="272"/>
      <c r="N207" s="272"/>
      <c r="O207" s="272"/>
      <c r="P207" s="272"/>
      <c r="Q207" s="272"/>
      <c r="R207" s="272"/>
      <c r="S207" s="272"/>
      <c r="T207" s="272"/>
      <c r="U207" s="272"/>
      <c r="V207" s="272"/>
      <c r="W207" s="272"/>
      <c r="X207" s="272"/>
      <c r="Y207" s="272"/>
      <c r="Z207" s="272"/>
      <c r="AA207" s="272"/>
      <c r="AB207" s="272"/>
      <c r="AC207" s="272"/>
      <c r="AD207" s="272"/>
      <c r="AE207" s="272"/>
      <c r="AF207" s="272"/>
      <c r="AG207" s="272"/>
      <c r="AH207" s="272"/>
      <c r="AI207" s="272"/>
      <c r="AJ207" s="272"/>
      <c r="AK207" s="272"/>
      <c r="AL207" s="272"/>
      <c r="AM207" s="272"/>
      <c r="AN207" s="272"/>
      <c r="AO207" s="272"/>
      <c r="AP207" s="272"/>
      <c r="AQ207" s="272"/>
      <c r="AR207" s="272"/>
      <c r="AS207" s="272"/>
      <c r="AT207" s="272"/>
      <c r="AU207" s="286"/>
    </row>
    <row r="208" spans="1:47" ht="60" customHeight="1" x14ac:dyDescent="0.35">
      <c r="A208" s="282" t="s">
        <v>7111</v>
      </c>
      <c r="B208" s="260" t="s">
        <v>7112</v>
      </c>
      <c r="C208" s="261" t="s">
        <v>7126</v>
      </c>
      <c r="D208" s="264" t="s">
        <v>7127</v>
      </c>
      <c r="E208" s="265" t="s">
        <v>6856</v>
      </c>
      <c r="F208" s="268" t="s">
        <v>7115</v>
      </c>
      <c r="G208" s="271" t="str">
        <f>IF(COUNTIF(H208:AU208,"&lt;&gt;")=0,"",SUMPRODUCT(((Recommendations[ImplStatus]="Implemented")+(Recommendations[ImplStatus]="Compensated"))*ISNUMBER(MATCH(Recommendations[Id],H208:AU208,0)))/COUNTIF(H208:AU208,"&lt;&gt;"))</f>
        <v/>
      </c>
      <c r="H208" s="272"/>
      <c r="I208" s="272"/>
      <c r="J208" s="272"/>
      <c r="K208" s="272"/>
      <c r="L208" s="272"/>
      <c r="M208" s="272"/>
      <c r="N208" s="272"/>
      <c r="O208" s="272"/>
      <c r="P208" s="272"/>
      <c r="Q208" s="272"/>
      <c r="R208" s="272"/>
      <c r="S208" s="272"/>
      <c r="T208" s="272"/>
      <c r="U208" s="272"/>
      <c r="V208" s="272"/>
      <c r="W208" s="272"/>
      <c r="X208" s="272"/>
      <c r="Y208" s="272"/>
      <c r="Z208" s="272"/>
      <c r="AA208" s="272"/>
      <c r="AB208" s="272"/>
      <c r="AC208" s="272"/>
      <c r="AD208" s="272"/>
      <c r="AE208" s="272"/>
      <c r="AF208" s="272"/>
      <c r="AG208" s="272"/>
      <c r="AH208" s="272"/>
      <c r="AI208" s="272"/>
      <c r="AJ208" s="272"/>
      <c r="AK208" s="272"/>
      <c r="AL208" s="272"/>
      <c r="AM208" s="272"/>
      <c r="AN208" s="272"/>
      <c r="AO208" s="272"/>
      <c r="AP208" s="272"/>
      <c r="AQ208" s="272"/>
      <c r="AR208" s="272"/>
      <c r="AS208" s="272"/>
      <c r="AT208" s="272"/>
      <c r="AU208" s="286"/>
    </row>
    <row r="209" spans="1:47" ht="60" customHeight="1" x14ac:dyDescent="0.35">
      <c r="A209" s="282" t="s">
        <v>7111</v>
      </c>
      <c r="B209" s="260" t="s">
        <v>7112</v>
      </c>
      <c r="C209" s="261" t="s">
        <v>7128</v>
      </c>
      <c r="D209" s="264" t="s">
        <v>7129</v>
      </c>
      <c r="E209" s="265" t="s">
        <v>6991</v>
      </c>
      <c r="F209" s="268" t="s">
        <v>7115</v>
      </c>
      <c r="G209" s="271" t="str">
        <f>IF(COUNTIF(H209:AU209,"&lt;&gt;")=0,"",SUMPRODUCT(((Recommendations[ImplStatus]="Implemented")+(Recommendations[ImplStatus]="Compensated"))*ISNUMBER(MATCH(Recommendations[Id],H209:AU209,0)))/COUNTIF(H209:AU209,"&lt;&gt;"))</f>
        <v/>
      </c>
      <c r="H209" s="272"/>
      <c r="I209" s="272"/>
      <c r="J209" s="272"/>
      <c r="K209" s="272"/>
      <c r="L209" s="272"/>
      <c r="M209" s="272"/>
      <c r="N209" s="272"/>
      <c r="O209" s="272"/>
      <c r="P209" s="272"/>
      <c r="Q209" s="272"/>
      <c r="R209" s="272"/>
      <c r="S209" s="272"/>
      <c r="T209" s="272"/>
      <c r="U209" s="272"/>
      <c r="V209" s="272"/>
      <c r="W209" s="272"/>
      <c r="X209" s="272"/>
      <c r="Y209" s="272"/>
      <c r="Z209" s="272"/>
      <c r="AA209" s="272"/>
      <c r="AB209" s="272"/>
      <c r="AC209" s="272"/>
      <c r="AD209" s="272"/>
      <c r="AE209" s="272"/>
      <c r="AF209" s="272"/>
      <c r="AG209" s="272"/>
      <c r="AH209" s="272"/>
      <c r="AI209" s="272"/>
      <c r="AJ209" s="272"/>
      <c r="AK209" s="272"/>
      <c r="AL209" s="272"/>
      <c r="AM209" s="272"/>
      <c r="AN209" s="272"/>
      <c r="AO209" s="272"/>
      <c r="AP209" s="272"/>
      <c r="AQ209" s="272"/>
      <c r="AR209" s="272"/>
      <c r="AS209" s="272"/>
      <c r="AT209" s="272"/>
      <c r="AU209" s="286"/>
    </row>
    <row r="210" spans="1:47" ht="60" customHeight="1" x14ac:dyDescent="0.35">
      <c r="A210" s="282" t="s">
        <v>7111</v>
      </c>
      <c r="B210" s="260" t="s">
        <v>7112</v>
      </c>
      <c r="C210" s="261" t="s">
        <v>7130</v>
      </c>
      <c r="D210" s="264" t="s">
        <v>7131</v>
      </c>
      <c r="E210" s="265" t="s">
        <v>6741</v>
      </c>
      <c r="F210" s="268" t="s">
        <v>7132</v>
      </c>
      <c r="G210" s="271" t="str">
        <f>IF(COUNTIF(H210:AU210,"&lt;&gt;")=0,"",SUMPRODUCT(((Recommendations[ImplStatus]="Implemented")+(Recommendations[ImplStatus]="Compensated"))*ISNUMBER(MATCH(Recommendations[Id],H210:AU210,0)))/COUNTIF(H210:AU210,"&lt;&gt;"))</f>
        <v/>
      </c>
      <c r="H210" s="272"/>
      <c r="I210" s="272"/>
      <c r="J210" s="272"/>
      <c r="K210" s="272"/>
      <c r="L210" s="272"/>
      <c r="M210" s="272"/>
      <c r="N210" s="272"/>
      <c r="O210" s="272"/>
      <c r="P210" s="272"/>
      <c r="Q210" s="272"/>
      <c r="R210" s="272"/>
      <c r="S210" s="272"/>
      <c r="T210" s="272"/>
      <c r="U210" s="272"/>
      <c r="V210" s="272"/>
      <c r="W210" s="272"/>
      <c r="X210" s="272"/>
      <c r="Y210" s="272"/>
      <c r="Z210" s="272"/>
      <c r="AA210" s="272"/>
      <c r="AB210" s="272"/>
      <c r="AC210" s="272"/>
      <c r="AD210" s="272"/>
      <c r="AE210" s="272"/>
      <c r="AF210" s="272"/>
      <c r="AG210" s="272"/>
      <c r="AH210" s="272"/>
      <c r="AI210" s="272"/>
      <c r="AJ210" s="272"/>
      <c r="AK210" s="272"/>
      <c r="AL210" s="272"/>
      <c r="AM210" s="272"/>
      <c r="AN210" s="272"/>
      <c r="AO210" s="272"/>
      <c r="AP210" s="272"/>
      <c r="AQ210" s="272"/>
      <c r="AR210" s="272"/>
      <c r="AS210" s="272"/>
      <c r="AT210" s="272"/>
      <c r="AU210" s="286"/>
    </row>
    <row r="211" spans="1:47" ht="60" customHeight="1" x14ac:dyDescent="0.35">
      <c r="A211" s="282" t="s">
        <v>7111</v>
      </c>
      <c r="B211" s="260" t="s">
        <v>7112</v>
      </c>
      <c r="C211" s="261" t="s">
        <v>7133</v>
      </c>
      <c r="D211" s="264" t="s">
        <v>7134</v>
      </c>
      <c r="E211" s="265" t="s">
        <v>6741</v>
      </c>
      <c r="F211" s="268" t="s">
        <v>7132</v>
      </c>
      <c r="G211" s="271" t="str">
        <f>IF(COUNTIF(H211:AU211,"&lt;&gt;")=0,"",SUMPRODUCT(((Recommendations[ImplStatus]="Implemented")+(Recommendations[ImplStatus]="Compensated"))*ISNUMBER(MATCH(Recommendations[Id],H211:AU211,0)))/COUNTIF(H211:AU211,"&lt;&gt;"))</f>
        <v/>
      </c>
      <c r="H211" s="272"/>
      <c r="I211" s="272"/>
      <c r="J211" s="272"/>
      <c r="K211" s="272"/>
      <c r="L211" s="272"/>
      <c r="M211" s="272"/>
      <c r="N211" s="272"/>
      <c r="O211" s="272"/>
      <c r="P211" s="272"/>
      <c r="Q211" s="272"/>
      <c r="R211" s="272"/>
      <c r="S211" s="272"/>
      <c r="T211" s="272"/>
      <c r="U211" s="272"/>
      <c r="V211" s="272"/>
      <c r="W211" s="272"/>
      <c r="X211" s="272"/>
      <c r="Y211" s="272"/>
      <c r="Z211" s="272"/>
      <c r="AA211" s="272"/>
      <c r="AB211" s="272"/>
      <c r="AC211" s="272"/>
      <c r="AD211" s="272"/>
      <c r="AE211" s="272"/>
      <c r="AF211" s="272"/>
      <c r="AG211" s="272"/>
      <c r="AH211" s="272"/>
      <c r="AI211" s="272"/>
      <c r="AJ211" s="272"/>
      <c r="AK211" s="272"/>
      <c r="AL211" s="272"/>
      <c r="AM211" s="272"/>
      <c r="AN211" s="272"/>
      <c r="AO211" s="272"/>
      <c r="AP211" s="272"/>
      <c r="AQ211" s="272"/>
      <c r="AR211" s="272"/>
      <c r="AS211" s="272"/>
      <c r="AT211" s="272"/>
      <c r="AU211" s="286"/>
    </row>
    <row r="212" spans="1:47" ht="60" customHeight="1" x14ac:dyDescent="0.35">
      <c r="A212" s="282" t="s">
        <v>7111</v>
      </c>
      <c r="B212" s="260" t="s">
        <v>7112</v>
      </c>
      <c r="C212" s="261" t="s">
        <v>7135</v>
      </c>
      <c r="D212" s="264" t="s">
        <v>7136</v>
      </c>
      <c r="E212" s="265" t="s">
        <v>6808</v>
      </c>
      <c r="F212" s="268" t="s">
        <v>7137</v>
      </c>
      <c r="G212" s="271" t="str">
        <f>IF(COUNTIF(H212:AU212,"&lt;&gt;")=0,"",SUMPRODUCT(((Recommendations[ImplStatus]="Implemented")+(Recommendations[ImplStatus]="Compensated"))*ISNUMBER(MATCH(Recommendations[Id],H212:AU212,0)))/COUNTIF(H212:AU212,"&lt;&gt;"))</f>
        <v/>
      </c>
      <c r="H212" s="272"/>
      <c r="I212" s="272"/>
      <c r="J212" s="272"/>
      <c r="K212" s="272"/>
      <c r="L212" s="272"/>
      <c r="M212" s="272"/>
      <c r="N212" s="272"/>
      <c r="O212" s="272"/>
      <c r="P212" s="272"/>
      <c r="Q212" s="272"/>
      <c r="R212" s="272"/>
      <c r="S212" s="272"/>
      <c r="T212" s="272"/>
      <c r="U212" s="272"/>
      <c r="V212" s="272"/>
      <c r="W212" s="272"/>
      <c r="X212" s="272"/>
      <c r="Y212" s="272"/>
      <c r="Z212" s="272"/>
      <c r="AA212" s="272"/>
      <c r="AB212" s="272"/>
      <c r="AC212" s="272"/>
      <c r="AD212" s="272"/>
      <c r="AE212" s="272"/>
      <c r="AF212" s="272"/>
      <c r="AG212" s="272"/>
      <c r="AH212" s="272"/>
      <c r="AI212" s="272"/>
      <c r="AJ212" s="272"/>
      <c r="AK212" s="272"/>
      <c r="AL212" s="272"/>
      <c r="AM212" s="272"/>
      <c r="AN212" s="272"/>
      <c r="AO212" s="272"/>
      <c r="AP212" s="272"/>
      <c r="AQ212" s="272"/>
      <c r="AR212" s="272"/>
      <c r="AS212" s="272"/>
      <c r="AT212" s="272"/>
      <c r="AU212" s="286"/>
    </row>
    <row r="213" spans="1:47" ht="60" customHeight="1" x14ac:dyDescent="0.35">
      <c r="A213" s="282" t="s">
        <v>7111</v>
      </c>
      <c r="B213" s="260" t="s">
        <v>7112</v>
      </c>
      <c r="C213" s="261" t="s">
        <v>7138</v>
      </c>
      <c r="D213" s="264" t="s">
        <v>7139</v>
      </c>
      <c r="E213" s="265" t="s">
        <v>6741</v>
      </c>
      <c r="F213" s="268" t="s">
        <v>7140</v>
      </c>
      <c r="G213" s="271" t="str">
        <f>IF(COUNTIF(H213:AU213,"&lt;&gt;")=0,"",SUMPRODUCT(((Recommendations[ImplStatus]="Implemented")+(Recommendations[ImplStatus]="Compensated"))*ISNUMBER(MATCH(Recommendations[Id],H213:AU213,0)))/COUNTIF(H213:AU213,"&lt;&gt;"))</f>
        <v/>
      </c>
      <c r="H213" s="272"/>
      <c r="I213" s="272"/>
      <c r="J213" s="272"/>
      <c r="K213" s="272"/>
      <c r="L213" s="272"/>
      <c r="M213" s="272"/>
      <c r="N213" s="272"/>
      <c r="O213" s="272"/>
      <c r="P213" s="272"/>
      <c r="Q213" s="272"/>
      <c r="R213" s="272"/>
      <c r="S213" s="272"/>
      <c r="T213" s="272"/>
      <c r="U213" s="272"/>
      <c r="V213" s="272"/>
      <c r="W213" s="272"/>
      <c r="X213" s="272"/>
      <c r="Y213" s="272"/>
      <c r="Z213" s="272"/>
      <c r="AA213" s="272"/>
      <c r="AB213" s="272"/>
      <c r="AC213" s="272"/>
      <c r="AD213" s="272"/>
      <c r="AE213" s="272"/>
      <c r="AF213" s="272"/>
      <c r="AG213" s="272"/>
      <c r="AH213" s="272"/>
      <c r="AI213" s="272"/>
      <c r="AJ213" s="272"/>
      <c r="AK213" s="272"/>
      <c r="AL213" s="272"/>
      <c r="AM213" s="272"/>
      <c r="AN213" s="272"/>
      <c r="AO213" s="272"/>
      <c r="AP213" s="272"/>
      <c r="AQ213" s="272"/>
      <c r="AR213" s="272"/>
      <c r="AS213" s="272"/>
      <c r="AT213" s="272"/>
      <c r="AU213" s="286"/>
    </row>
    <row r="214" spans="1:47" ht="60" customHeight="1" x14ac:dyDescent="0.35">
      <c r="A214" s="282" t="s">
        <v>7111</v>
      </c>
      <c r="B214" s="260" t="s">
        <v>7112</v>
      </c>
      <c r="C214" s="261" t="s">
        <v>7141</v>
      </c>
      <c r="D214" s="264" t="s">
        <v>7142</v>
      </c>
      <c r="E214" s="265" t="s">
        <v>6808</v>
      </c>
      <c r="F214" s="268" t="s">
        <v>7143</v>
      </c>
      <c r="G214" s="271" t="str">
        <f>IF(COUNTIF(H214:AU214,"&lt;&gt;")=0,"",SUMPRODUCT(((Recommendations[ImplStatus]="Implemented")+(Recommendations[ImplStatus]="Compensated"))*ISNUMBER(MATCH(Recommendations[Id],H214:AU214,0)))/COUNTIF(H214:AU214,"&lt;&gt;"))</f>
        <v/>
      </c>
      <c r="H214" s="272"/>
      <c r="I214" s="272"/>
      <c r="J214" s="272"/>
      <c r="K214" s="272"/>
      <c r="L214" s="272"/>
      <c r="M214" s="272"/>
      <c r="N214" s="272"/>
      <c r="O214" s="272"/>
      <c r="P214" s="272"/>
      <c r="Q214" s="272"/>
      <c r="R214" s="272"/>
      <c r="S214" s="272"/>
      <c r="T214" s="272"/>
      <c r="U214" s="272"/>
      <c r="V214" s="272"/>
      <c r="W214" s="272"/>
      <c r="X214" s="272"/>
      <c r="Y214" s="272"/>
      <c r="Z214" s="272"/>
      <c r="AA214" s="272"/>
      <c r="AB214" s="272"/>
      <c r="AC214" s="272"/>
      <c r="AD214" s="272"/>
      <c r="AE214" s="272"/>
      <c r="AF214" s="272"/>
      <c r="AG214" s="272"/>
      <c r="AH214" s="272"/>
      <c r="AI214" s="272"/>
      <c r="AJ214" s="272"/>
      <c r="AK214" s="272"/>
      <c r="AL214" s="272"/>
      <c r="AM214" s="272"/>
      <c r="AN214" s="272"/>
      <c r="AO214" s="272"/>
      <c r="AP214" s="272"/>
      <c r="AQ214" s="272"/>
      <c r="AR214" s="272"/>
      <c r="AS214" s="272"/>
      <c r="AT214" s="272"/>
      <c r="AU214" s="286"/>
    </row>
    <row r="215" spans="1:47" ht="60" customHeight="1" x14ac:dyDescent="0.35">
      <c r="A215" s="282" t="s">
        <v>7111</v>
      </c>
      <c r="B215" s="260" t="s">
        <v>7112</v>
      </c>
      <c r="C215" s="261" t="s">
        <v>7144</v>
      </c>
      <c r="D215" s="264" t="s">
        <v>7145</v>
      </c>
      <c r="E215" s="265" t="s">
        <v>6712</v>
      </c>
      <c r="F215" s="268" t="s">
        <v>7143</v>
      </c>
      <c r="G215" s="271" t="str">
        <f>IF(COUNTIF(H215:AU215,"&lt;&gt;")=0,"",SUMPRODUCT(((Recommendations[ImplStatus]="Implemented")+(Recommendations[ImplStatus]="Compensated"))*ISNUMBER(MATCH(Recommendations[Id],H215:AU215,0)))/COUNTIF(H215:AU215,"&lt;&gt;"))</f>
        <v/>
      </c>
      <c r="H215" s="272"/>
      <c r="I215" s="272"/>
      <c r="J215" s="272"/>
      <c r="K215" s="272"/>
      <c r="L215" s="272"/>
      <c r="M215" s="272"/>
      <c r="N215" s="272"/>
      <c r="O215" s="272"/>
      <c r="P215" s="272"/>
      <c r="Q215" s="272"/>
      <c r="R215" s="272"/>
      <c r="S215" s="272"/>
      <c r="T215" s="272"/>
      <c r="U215" s="272"/>
      <c r="V215" s="272"/>
      <c r="W215" s="272"/>
      <c r="X215" s="272"/>
      <c r="Y215" s="272"/>
      <c r="Z215" s="272"/>
      <c r="AA215" s="272"/>
      <c r="AB215" s="272"/>
      <c r="AC215" s="272"/>
      <c r="AD215" s="272"/>
      <c r="AE215" s="272"/>
      <c r="AF215" s="272"/>
      <c r="AG215" s="272"/>
      <c r="AH215" s="272"/>
      <c r="AI215" s="272"/>
      <c r="AJ215" s="272"/>
      <c r="AK215" s="272"/>
      <c r="AL215" s="272"/>
      <c r="AM215" s="272"/>
      <c r="AN215" s="272"/>
      <c r="AO215" s="272"/>
      <c r="AP215" s="272"/>
      <c r="AQ215" s="272"/>
      <c r="AR215" s="272"/>
      <c r="AS215" s="272"/>
      <c r="AT215" s="272"/>
      <c r="AU215" s="286"/>
    </row>
    <row r="216" spans="1:47" ht="60" customHeight="1" x14ac:dyDescent="0.35">
      <c r="A216" s="282" t="s">
        <v>7111</v>
      </c>
      <c r="B216" s="260" t="s">
        <v>7112</v>
      </c>
      <c r="C216" s="261" t="s">
        <v>7146</v>
      </c>
      <c r="D216" s="264" t="s">
        <v>7147</v>
      </c>
      <c r="E216" s="265" t="s">
        <v>6712</v>
      </c>
      <c r="F216" s="268" t="s">
        <v>7143</v>
      </c>
      <c r="G216" s="271" t="str">
        <f>IF(COUNTIF(H216:AU216,"&lt;&gt;")=0,"",SUMPRODUCT(((Recommendations[ImplStatus]="Implemented")+(Recommendations[ImplStatus]="Compensated"))*ISNUMBER(MATCH(Recommendations[Id],H216:AU216,0)))/COUNTIF(H216:AU216,"&lt;&gt;"))</f>
        <v/>
      </c>
      <c r="H216" s="272"/>
      <c r="I216" s="272"/>
      <c r="J216" s="272"/>
      <c r="K216" s="272"/>
      <c r="L216" s="272"/>
      <c r="M216" s="272"/>
      <c r="N216" s="272"/>
      <c r="O216" s="272"/>
      <c r="P216" s="272"/>
      <c r="Q216" s="272"/>
      <c r="R216" s="272"/>
      <c r="S216" s="272"/>
      <c r="T216" s="272"/>
      <c r="U216" s="272"/>
      <c r="V216" s="272"/>
      <c r="W216" s="272"/>
      <c r="X216" s="272"/>
      <c r="Y216" s="272"/>
      <c r="Z216" s="272"/>
      <c r="AA216" s="272"/>
      <c r="AB216" s="272"/>
      <c r="AC216" s="272"/>
      <c r="AD216" s="272"/>
      <c r="AE216" s="272"/>
      <c r="AF216" s="272"/>
      <c r="AG216" s="272"/>
      <c r="AH216" s="272"/>
      <c r="AI216" s="272"/>
      <c r="AJ216" s="272"/>
      <c r="AK216" s="272"/>
      <c r="AL216" s="272"/>
      <c r="AM216" s="272"/>
      <c r="AN216" s="272"/>
      <c r="AO216" s="272"/>
      <c r="AP216" s="272"/>
      <c r="AQ216" s="272"/>
      <c r="AR216" s="272"/>
      <c r="AS216" s="272"/>
      <c r="AT216" s="272"/>
      <c r="AU216" s="286"/>
    </row>
    <row r="217" spans="1:47" ht="60" customHeight="1" x14ac:dyDescent="0.35">
      <c r="A217" s="282" t="s">
        <v>7111</v>
      </c>
      <c r="B217" s="260" t="s">
        <v>7112</v>
      </c>
      <c r="C217" s="261" t="s">
        <v>7148</v>
      </c>
      <c r="D217" s="264" t="s">
        <v>7149</v>
      </c>
      <c r="E217" s="265" t="s">
        <v>6741</v>
      </c>
      <c r="F217" s="268" t="s">
        <v>7143</v>
      </c>
      <c r="G217" s="271" t="str">
        <f>IF(COUNTIF(H217:AU217,"&lt;&gt;")=0,"",SUMPRODUCT(((Recommendations[ImplStatus]="Implemented")+(Recommendations[ImplStatus]="Compensated"))*ISNUMBER(MATCH(Recommendations[Id],H217:AU217,0)))/COUNTIF(H217:AU217,"&lt;&gt;"))</f>
        <v/>
      </c>
      <c r="H217" s="272"/>
      <c r="I217" s="272"/>
      <c r="J217" s="272"/>
      <c r="K217" s="272"/>
      <c r="L217" s="272"/>
      <c r="M217" s="272"/>
      <c r="N217" s="272"/>
      <c r="O217" s="272"/>
      <c r="P217" s="272"/>
      <c r="Q217" s="272"/>
      <c r="R217" s="272"/>
      <c r="S217" s="272"/>
      <c r="T217" s="272"/>
      <c r="U217" s="272"/>
      <c r="V217" s="272"/>
      <c r="W217" s="272"/>
      <c r="X217" s="272"/>
      <c r="Y217" s="272"/>
      <c r="Z217" s="272"/>
      <c r="AA217" s="272"/>
      <c r="AB217" s="272"/>
      <c r="AC217" s="272"/>
      <c r="AD217" s="272"/>
      <c r="AE217" s="272"/>
      <c r="AF217" s="272"/>
      <c r="AG217" s="272"/>
      <c r="AH217" s="272"/>
      <c r="AI217" s="272"/>
      <c r="AJ217" s="272"/>
      <c r="AK217" s="272"/>
      <c r="AL217" s="272"/>
      <c r="AM217" s="272"/>
      <c r="AN217" s="272"/>
      <c r="AO217" s="272"/>
      <c r="AP217" s="272"/>
      <c r="AQ217" s="272"/>
      <c r="AR217" s="272"/>
      <c r="AS217" s="272"/>
      <c r="AT217" s="272"/>
      <c r="AU217" s="286"/>
    </row>
    <row r="218" spans="1:47" ht="60" customHeight="1" x14ac:dyDescent="0.35">
      <c r="A218" s="282" t="s">
        <v>7111</v>
      </c>
      <c r="B218" s="260" t="s">
        <v>7112</v>
      </c>
      <c r="C218" s="261" t="s">
        <v>7150</v>
      </c>
      <c r="D218" s="264" t="s">
        <v>7151</v>
      </c>
      <c r="E218" s="265" t="s">
        <v>6741</v>
      </c>
      <c r="F218" s="268" t="s">
        <v>7143</v>
      </c>
      <c r="G218" s="271" t="str">
        <f>IF(COUNTIF(H218:AU218,"&lt;&gt;")=0,"",SUMPRODUCT(((Recommendations[ImplStatus]="Implemented")+(Recommendations[ImplStatus]="Compensated"))*ISNUMBER(MATCH(Recommendations[Id],H218:AU218,0)))/COUNTIF(H218:AU218,"&lt;&gt;"))</f>
        <v/>
      </c>
      <c r="H218" s="272"/>
      <c r="I218" s="272"/>
      <c r="J218" s="272"/>
      <c r="K218" s="272"/>
      <c r="L218" s="272"/>
      <c r="M218" s="272"/>
      <c r="N218" s="272"/>
      <c r="O218" s="272"/>
      <c r="P218" s="272"/>
      <c r="Q218" s="272"/>
      <c r="R218" s="272"/>
      <c r="S218" s="272"/>
      <c r="T218" s="272"/>
      <c r="U218" s="272"/>
      <c r="V218" s="272"/>
      <c r="W218" s="272"/>
      <c r="X218" s="272"/>
      <c r="Y218" s="272"/>
      <c r="Z218" s="272"/>
      <c r="AA218" s="272"/>
      <c r="AB218" s="272"/>
      <c r="AC218" s="272"/>
      <c r="AD218" s="272"/>
      <c r="AE218" s="272"/>
      <c r="AF218" s="272"/>
      <c r="AG218" s="272"/>
      <c r="AH218" s="272"/>
      <c r="AI218" s="272"/>
      <c r="AJ218" s="272"/>
      <c r="AK218" s="272"/>
      <c r="AL218" s="272"/>
      <c r="AM218" s="272"/>
      <c r="AN218" s="272"/>
      <c r="AO218" s="272"/>
      <c r="AP218" s="272"/>
      <c r="AQ218" s="272"/>
      <c r="AR218" s="272"/>
      <c r="AS218" s="272"/>
      <c r="AT218" s="272"/>
      <c r="AU218" s="286"/>
    </row>
    <row r="219" spans="1:47" ht="60" customHeight="1" x14ac:dyDescent="0.35">
      <c r="A219" s="282" t="s">
        <v>7111</v>
      </c>
      <c r="B219" s="260" t="s">
        <v>7112</v>
      </c>
      <c r="C219" s="261" t="s">
        <v>7152</v>
      </c>
      <c r="D219" s="264" t="s">
        <v>7153</v>
      </c>
      <c r="E219" s="265" t="s">
        <v>6741</v>
      </c>
      <c r="F219" s="268" t="s">
        <v>7143</v>
      </c>
      <c r="G219" s="271" t="str">
        <f>IF(COUNTIF(H219:AU219,"&lt;&gt;")=0,"",SUMPRODUCT(((Recommendations[ImplStatus]="Implemented")+(Recommendations[ImplStatus]="Compensated"))*ISNUMBER(MATCH(Recommendations[Id],H219:AU219,0)))/COUNTIF(H219:AU219,"&lt;&gt;"))</f>
        <v/>
      </c>
      <c r="H219" s="272"/>
      <c r="I219" s="272"/>
      <c r="J219" s="272"/>
      <c r="K219" s="272"/>
      <c r="L219" s="272"/>
      <c r="M219" s="272"/>
      <c r="N219" s="272"/>
      <c r="O219" s="272"/>
      <c r="P219" s="272"/>
      <c r="Q219" s="272"/>
      <c r="R219" s="272"/>
      <c r="S219" s="272"/>
      <c r="T219" s="272"/>
      <c r="U219" s="272"/>
      <c r="V219" s="272"/>
      <c r="W219" s="272"/>
      <c r="X219" s="272"/>
      <c r="Y219" s="272"/>
      <c r="Z219" s="272"/>
      <c r="AA219" s="272"/>
      <c r="AB219" s="272"/>
      <c r="AC219" s="272"/>
      <c r="AD219" s="272"/>
      <c r="AE219" s="272"/>
      <c r="AF219" s="272"/>
      <c r="AG219" s="272"/>
      <c r="AH219" s="272"/>
      <c r="AI219" s="272"/>
      <c r="AJ219" s="272"/>
      <c r="AK219" s="272"/>
      <c r="AL219" s="272"/>
      <c r="AM219" s="272"/>
      <c r="AN219" s="272"/>
      <c r="AO219" s="272"/>
      <c r="AP219" s="272"/>
      <c r="AQ219" s="272"/>
      <c r="AR219" s="272"/>
      <c r="AS219" s="272"/>
      <c r="AT219" s="272"/>
      <c r="AU219" s="286"/>
    </row>
    <row r="220" spans="1:47" ht="60" customHeight="1" x14ac:dyDescent="0.35">
      <c r="A220" s="282" t="s">
        <v>7111</v>
      </c>
      <c r="B220" s="260" t="s">
        <v>7112</v>
      </c>
      <c r="C220" s="261" t="s">
        <v>7154</v>
      </c>
      <c r="D220" s="264" t="s">
        <v>7155</v>
      </c>
      <c r="E220" s="265" t="s">
        <v>6741</v>
      </c>
      <c r="F220" s="268" t="s">
        <v>7143</v>
      </c>
      <c r="G220" s="271" t="str">
        <f>IF(COUNTIF(H220:AU220,"&lt;&gt;")=0,"",SUMPRODUCT(((Recommendations[ImplStatus]="Implemented")+(Recommendations[ImplStatus]="Compensated"))*ISNUMBER(MATCH(Recommendations[Id],H220:AU220,0)))/COUNTIF(H220:AU220,"&lt;&gt;"))</f>
        <v/>
      </c>
      <c r="H220" s="272"/>
      <c r="I220" s="272"/>
      <c r="J220" s="272"/>
      <c r="K220" s="272"/>
      <c r="L220" s="272"/>
      <c r="M220" s="272"/>
      <c r="N220" s="272"/>
      <c r="O220" s="272"/>
      <c r="P220" s="272"/>
      <c r="Q220" s="272"/>
      <c r="R220" s="272"/>
      <c r="S220" s="272"/>
      <c r="T220" s="272"/>
      <c r="U220" s="272"/>
      <c r="V220" s="272"/>
      <c r="W220" s="272"/>
      <c r="X220" s="272"/>
      <c r="Y220" s="272"/>
      <c r="Z220" s="272"/>
      <c r="AA220" s="272"/>
      <c r="AB220" s="272"/>
      <c r="AC220" s="272"/>
      <c r="AD220" s="272"/>
      <c r="AE220" s="272"/>
      <c r="AF220" s="272"/>
      <c r="AG220" s="272"/>
      <c r="AH220" s="272"/>
      <c r="AI220" s="272"/>
      <c r="AJ220" s="272"/>
      <c r="AK220" s="272"/>
      <c r="AL220" s="272"/>
      <c r="AM220" s="272"/>
      <c r="AN220" s="272"/>
      <c r="AO220" s="272"/>
      <c r="AP220" s="272"/>
      <c r="AQ220" s="272"/>
      <c r="AR220" s="272"/>
      <c r="AS220" s="272"/>
      <c r="AT220" s="272"/>
      <c r="AU220" s="286"/>
    </row>
    <row r="221" spans="1:47" ht="60" customHeight="1" outlineLevel="2" x14ac:dyDescent="0.35">
      <c r="A221" s="281" t="s">
        <v>7111</v>
      </c>
      <c r="B221" s="259" t="s">
        <v>7156</v>
      </c>
      <c r="C221" s="259"/>
      <c r="D221" s="263"/>
      <c r="E221" s="259"/>
      <c r="F221" s="267"/>
      <c r="G221" s="270" t="str">
        <f>IF(COUNTIF(H221:AU221,"&lt;&gt;")=0,"",SUMPRODUCT(((Recommendations[ImplStatus]="Implemented")+(Recommendations[ImplStatus]="Compensated"))*ISNUMBER(MATCH(Recommendations[Id],H221:AU221,0)))/COUNTIF(H221:AU221,"&lt;&gt;"))</f>
        <v/>
      </c>
      <c r="H221" s="267"/>
      <c r="I221" s="267"/>
      <c r="J221" s="267"/>
      <c r="K221" s="267"/>
      <c r="L221" s="267"/>
      <c r="M221" s="267"/>
      <c r="N221" s="267"/>
      <c r="O221" s="267"/>
      <c r="P221" s="267"/>
      <c r="Q221" s="267"/>
      <c r="R221" s="267"/>
      <c r="S221" s="267"/>
      <c r="T221" s="267"/>
      <c r="U221" s="267"/>
      <c r="V221" s="267"/>
      <c r="W221" s="267"/>
      <c r="X221" s="267"/>
      <c r="Y221" s="267"/>
      <c r="Z221" s="267"/>
      <c r="AA221" s="267"/>
      <c r="AB221" s="267"/>
      <c r="AC221" s="267"/>
      <c r="AD221" s="267"/>
      <c r="AE221" s="267"/>
      <c r="AF221" s="267"/>
      <c r="AG221" s="267"/>
      <c r="AH221" s="267"/>
      <c r="AI221" s="267"/>
      <c r="AJ221" s="267"/>
      <c r="AK221" s="267"/>
      <c r="AL221" s="267"/>
      <c r="AM221" s="267"/>
      <c r="AN221" s="267"/>
      <c r="AO221" s="267"/>
      <c r="AP221" s="267"/>
      <c r="AQ221" s="267"/>
      <c r="AR221" s="267"/>
      <c r="AS221" s="267"/>
      <c r="AT221" s="267"/>
      <c r="AU221" s="285"/>
    </row>
    <row r="222" spans="1:47" ht="60" customHeight="1" x14ac:dyDescent="0.35">
      <c r="A222" s="282" t="s">
        <v>7111</v>
      </c>
      <c r="B222" s="260" t="s">
        <v>7156</v>
      </c>
      <c r="C222" s="261" t="s">
        <v>7157</v>
      </c>
      <c r="D222" s="264" t="s">
        <v>7158</v>
      </c>
      <c r="E222" s="265" t="s">
        <v>6808</v>
      </c>
      <c r="F222" s="268" t="s">
        <v>7159</v>
      </c>
      <c r="G222" s="271" t="str">
        <f>IF(COUNTIF(H222:AU222,"&lt;&gt;")=0,"",SUMPRODUCT(((Recommendations[ImplStatus]="Implemented")+(Recommendations[ImplStatus]="Compensated"))*ISNUMBER(MATCH(Recommendations[Id],H222:AU222,0)))/COUNTIF(H222:AU222,"&lt;&gt;"))</f>
        <v/>
      </c>
      <c r="H222" s="272"/>
      <c r="I222" s="272"/>
      <c r="J222" s="272"/>
      <c r="K222" s="272"/>
      <c r="L222" s="272"/>
      <c r="M222" s="272"/>
      <c r="N222" s="272"/>
      <c r="O222" s="272"/>
      <c r="P222" s="272"/>
      <c r="Q222" s="272"/>
      <c r="R222" s="272"/>
      <c r="S222" s="272"/>
      <c r="T222" s="272"/>
      <c r="U222" s="272"/>
      <c r="V222" s="272"/>
      <c r="W222" s="272"/>
      <c r="X222" s="272"/>
      <c r="Y222" s="272"/>
      <c r="Z222" s="272"/>
      <c r="AA222" s="272"/>
      <c r="AB222" s="272"/>
      <c r="AC222" s="272"/>
      <c r="AD222" s="272"/>
      <c r="AE222" s="272"/>
      <c r="AF222" s="272"/>
      <c r="AG222" s="272"/>
      <c r="AH222" s="272"/>
      <c r="AI222" s="272"/>
      <c r="AJ222" s="272"/>
      <c r="AK222" s="272"/>
      <c r="AL222" s="272"/>
      <c r="AM222" s="272"/>
      <c r="AN222" s="272"/>
      <c r="AO222" s="272"/>
      <c r="AP222" s="272"/>
      <c r="AQ222" s="272"/>
      <c r="AR222" s="272"/>
      <c r="AS222" s="272"/>
      <c r="AT222" s="272"/>
      <c r="AU222" s="286"/>
    </row>
    <row r="223" spans="1:47" ht="60" customHeight="1" x14ac:dyDescent="0.35">
      <c r="A223" s="282" t="s">
        <v>7111</v>
      </c>
      <c r="B223" s="260" t="s">
        <v>7156</v>
      </c>
      <c r="C223" s="261" t="s">
        <v>7160</v>
      </c>
      <c r="D223" s="264" t="s">
        <v>7161</v>
      </c>
      <c r="E223" s="265" t="s">
        <v>6808</v>
      </c>
      <c r="F223" s="268" t="s">
        <v>7159</v>
      </c>
      <c r="G223" s="271" t="str">
        <f>IF(COUNTIF(H223:AU223,"&lt;&gt;")=0,"",SUMPRODUCT(((Recommendations[ImplStatus]="Implemented")+(Recommendations[ImplStatus]="Compensated"))*ISNUMBER(MATCH(Recommendations[Id],H223:AU223,0)))/COUNTIF(H223:AU223,"&lt;&gt;"))</f>
        <v/>
      </c>
      <c r="H223" s="272"/>
      <c r="I223" s="272"/>
      <c r="J223" s="272"/>
      <c r="K223" s="272"/>
      <c r="L223" s="272"/>
      <c r="M223" s="272"/>
      <c r="N223" s="272"/>
      <c r="O223" s="272"/>
      <c r="P223" s="272"/>
      <c r="Q223" s="272"/>
      <c r="R223" s="272"/>
      <c r="S223" s="272"/>
      <c r="T223" s="272"/>
      <c r="U223" s="272"/>
      <c r="V223" s="272"/>
      <c r="W223" s="272"/>
      <c r="X223" s="272"/>
      <c r="Y223" s="272"/>
      <c r="Z223" s="272"/>
      <c r="AA223" s="272"/>
      <c r="AB223" s="272"/>
      <c r="AC223" s="272"/>
      <c r="AD223" s="272"/>
      <c r="AE223" s="272"/>
      <c r="AF223" s="272"/>
      <c r="AG223" s="272"/>
      <c r="AH223" s="272"/>
      <c r="AI223" s="272"/>
      <c r="AJ223" s="272"/>
      <c r="AK223" s="272"/>
      <c r="AL223" s="272"/>
      <c r="AM223" s="272"/>
      <c r="AN223" s="272"/>
      <c r="AO223" s="272"/>
      <c r="AP223" s="272"/>
      <c r="AQ223" s="272"/>
      <c r="AR223" s="272"/>
      <c r="AS223" s="272"/>
      <c r="AT223" s="272"/>
      <c r="AU223" s="286"/>
    </row>
    <row r="224" spans="1:47" ht="60" customHeight="1" x14ac:dyDescent="0.35">
      <c r="A224" s="282" t="s">
        <v>7111</v>
      </c>
      <c r="B224" s="260" t="s">
        <v>7156</v>
      </c>
      <c r="C224" s="261" t="s">
        <v>7162</v>
      </c>
      <c r="D224" s="264" t="s">
        <v>7163</v>
      </c>
      <c r="E224" s="265" t="s">
        <v>6808</v>
      </c>
      <c r="F224" s="268" t="s">
        <v>7159</v>
      </c>
      <c r="G224" s="271" t="str">
        <f>IF(COUNTIF(H224:AU224,"&lt;&gt;")=0,"",SUMPRODUCT(((Recommendations[ImplStatus]="Implemented")+(Recommendations[ImplStatus]="Compensated"))*ISNUMBER(MATCH(Recommendations[Id],H224:AU224,0)))/COUNTIF(H224:AU224,"&lt;&gt;"))</f>
        <v/>
      </c>
      <c r="H224" s="272"/>
      <c r="I224" s="272"/>
      <c r="J224" s="272"/>
      <c r="K224" s="272"/>
      <c r="L224" s="272"/>
      <c r="M224" s="272"/>
      <c r="N224" s="272"/>
      <c r="O224" s="272"/>
      <c r="P224" s="272"/>
      <c r="Q224" s="272"/>
      <c r="R224" s="272"/>
      <c r="S224" s="272"/>
      <c r="T224" s="272"/>
      <c r="U224" s="272"/>
      <c r="V224" s="272"/>
      <c r="W224" s="272"/>
      <c r="X224" s="272"/>
      <c r="Y224" s="272"/>
      <c r="Z224" s="272"/>
      <c r="AA224" s="272"/>
      <c r="AB224" s="272"/>
      <c r="AC224" s="272"/>
      <c r="AD224" s="272"/>
      <c r="AE224" s="272"/>
      <c r="AF224" s="272"/>
      <c r="AG224" s="272"/>
      <c r="AH224" s="272"/>
      <c r="AI224" s="272"/>
      <c r="AJ224" s="272"/>
      <c r="AK224" s="272"/>
      <c r="AL224" s="272"/>
      <c r="AM224" s="272"/>
      <c r="AN224" s="272"/>
      <c r="AO224" s="272"/>
      <c r="AP224" s="272"/>
      <c r="AQ224" s="272"/>
      <c r="AR224" s="272"/>
      <c r="AS224" s="272"/>
      <c r="AT224" s="272"/>
      <c r="AU224" s="286"/>
    </row>
    <row r="225" spans="1:47" ht="60" customHeight="1" x14ac:dyDescent="0.35">
      <c r="A225" s="282" t="s">
        <v>7111</v>
      </c>
      <c r="B225" s="260" t="s">
        <v>7156</v>
      </c>
      <c r="C225" s="261" t="s">
        <v>7164</v>
      </c>
      <c r="D225" s="264" t="s">
        <v>7165</v>
      </c>
      <c r="E225" s="265" t="s">
        <v>6808</v>
      </c>
      <c r="F225" s="268" t="s">
        <v>7159</v>
      </c>
      <c r="G225" s="271" t="str">
        <f>IF(COUNTIF(H225:AU225,"&lt;&gt;")=0,"",SUMPRODUCT(((Recommendations[ImplStatus]="Implemented")+(Recommendations[ImplStatus]="Compensated"))*ISNUMBER(MATCH(Recommendations[Id],H225:AU225,0)))/COUNTIF(H225:AU225,"&lt;&gt;"))</f>
        <v/>
      </c>
      <c r="H225" s="272"/>
      <c r="I225" s="272"/>
      <c r="J225" s="272"/>
      <c r="K225" s="272"/>
      <c r="L225" s="272"/>
      <c r="M225" s="272"/>
      <c r="N225" s="272"/>
      <c r="O225" s="272"/>
      <c r="P225" s="272"/>
      <c r="Q225" s="272"/>
      <c r="R225" s="272"/>
      <c r="S225" s="272"/>
      <c r="T225" s="272"/>
      <c r="U225" s="272"/>
      <c r="V225" s="272"/>
      <c r="W225" s="272"/>
      <c r="X225" s="272"/>
      <c r="Y225" s="272"/>
      <c r="Z225" s="272"/>
      <c r="AA225" s="272"/>
      <c r="AB225" s="272"/>
      <c r="AC225" s="272"/>
      <c r="AD225" s="272"/>
      <c r="AE225" s="272"/>
      <c r="AF225" s="272"/>
      <c r="AG225" s="272"/>
      <c r="AH225" s="272"/>
      <c r="AI225" s="272"/>
      <c r="AJ225" s="272"/>
      <c r="AK225" s="272"/>
      <c r="AL225" s="272"/>
      <c r="AM225" s="272"/>
      <c r="AN225" s="272"/>
      <c r="AO225" s="272"/>
      <c r="AP225" s="272"/>
      <c r="AQ225" s="272"/>
      <c r="AR225" s="272"/>
      <c r="AS225" s="272"/>
      <c r="AT225" s="272"/>
      <c r="AU225" s="286"/>
    </row>
    <row r="226" spans="1:47" ht="60" customHeight="1" x14ac:dyDescent="0.35">
      <c r="A226" s="282" t="s">
        <v>7111</v>
      </c>
      <c r="B226" s="260" t="s">
        <v>7156</v>
      </c>
      <c r="C226" s="261" t="s">
        <v>7166</v>
      </c>
      <c r="D226" s="264" t="s">
        <v>7167</v>
      </c>
      <c r="E226" s="265" t="s">
        <v>6808</v>
      </c>
      <c r="F226" s="268" t="s">
        <v>7159</v>
      </c>
      <c r="G226" s="271" t="str">
        <f>IF(COUNTIF(H226:AU226,"&lt;&gt;")=0,"",SUMPRODUCT(((Recommendations[ImplStatus]="Implemented")+(Recommendations[ImplStatus]="Compensated"))*ISNUMBER(MATCH(Recommendations[Id],H226:AU226,0)))/COUNTIF(H226:AU226,"&lt;&gt;"))</f>
        <v/>
      </c>
      <c r="H226" s="272"/>
      <c r="I226" s="272"/>
      <c r="J226" s="272"/>
      <c r="K226" s="272"/>
      <c r="L226" s="272"/>
      <c r="M226" s="272"/>
      <c r="N226" s="272"/>
      <c r="O226" s="272"/>
      <c r="P226" s="272"/>
      <c r="Q226" s="272"/>
      <c r="R226" s="272"/>
      <c r="S226" s="272"/>
      <c r="T226" s="272"/>
      <c r="U226" s="272"/>
      <c r="V226" s="272"/>
      <c r="W226" s="272"/>
      <c r="X226" s="272"/>
      <c r="Y226" s="272"/>
      <c r="Z226" s="272"/>
      <c r="AA226" s="272"/>
      <c r="AB226" s="272"/>
      <c r="AC226" s="272"/>
      <c r="AD226" s="272"/>
      <c r="AE226" s="272"/>
      <c r="AF226" s="272"/>
      <c r="AG226" s="272"/>
      <c r="AH226" s="272"/>
      <c r="AI226" s="272"/>
      <c r="AJ226" s="272"/>
      <c r="AK226" s="272"/>
      <c r="AL226" s="272"/>
      <c r="AM226" s="272"/>
      <c r="AN226" s="272"/>
      <c r="AO226" s="272"/>
      <c r="AP226" s="272"/>
      <c r="AQ226" s="272"/>
      <c r="AR226" s="272"/>
      <c r="AS226" s="272"/>
      <c r="AT226" s="272"/>
      <c r="AU226" s="286"/>
    </row>
    <row r="227" spans="1:47" ht="60" customHeight="1" x14ac:dyDescent="0.35">
      <c r="A227" s="282" t="s">
        <v>7111</v>
      </c>
      <c r="B227" s="260" t="s">
        <v>7156</v>
      </c>
      <c r="C227" s="261" t="s">
        <v>7168</v>
      </c>
      <c r="D227" s="264" t="s">
        <v>7169</v>
      </c>
      <c r="E227" s="265" t="s">
        <v>6808</v>
      </c>
      <c r="F227" s="268" t="s">
        <v>7159</v>
      </c>
      <c r="G227" s="271" t="str">
        <f>IF(COUNTIF(H227:AU227,"&lt;&gt;")=0,"",SUMPRODUCT(((Recommendations[ImplStatus]="Implemented")+(Recommendations[ImplStatus]="Compensated"))*ISNUMBER(MATCH(Recommendations[Id],H227:AU227,0)))/COUNTIF(H227:AU227,"&lt;&gt;"))</f>
        <v/>
      </c>
      <c r="H227" s="272"/>
      <c r="I227" s="272"/>
      <c r="J227" s="272"/>
      <c r="K227" s="272"/>
      <c r="L227" s="272"/>
      <c r="M227" s="272"/>
      <c r="N227" s="272"/>
      <c r="O227" s="272"/>
      <c r="P227" s="272"/>
      <c r="Q227" s="272"/>
      <c r="R227" s="272"/>
      <c r="S227" s="272"/>
      <c r="T227" s="272"/>
      <c r="U227" s="272"/>
      <c r="V227" s="272"/>
      <c r="W227" s="272"/>
      <c r="X227" s="272"/>
      <c r="Y227" s="272"/>
      <c r="Z227" s="272"/>
      <c r="AA227" s="272"/>
      <c r="AB227" s="272"/>
      <c r="AC227" s="272"/>
      <c r="AD227" s="272"/>
      <c r="AE227" s="272"/>
      <c r="AF227" s="272"/>
      <c r="AG227" s="272"/>
      <c r="AH227" s="272"/>
      <c r="AI227" s="272"/>
      <c r="AJ227" s="272"/>
      <c r="AK227" s="272"/>
      <c r="AL227" s="272"/>
      <c r="AM227" s="272"/>
      <c r="AN227" s="272"/>
      <c r="AO227" s="272"/>
      <c r="AP227" s="272"/>
      <c r="AQ227" s="272"/>
      <c r="AR227" s="272"/>
      <c r="AS227" s="272"/>
      <c r="AT227" s="272"/>
      <c r="AU227" s="286"/>
    </row>
    <row r="228" spans="1:47" ht="60" customHeight="1" x14ac:dyDescent="0.35">
      <c r="A228" s="282" t="s">
        <v>7111</v>
      </c>
      <c r="B228" s="260" t="s">
        <v>7156</v>
      </c>
      <c r="C228" s="261" t="s">
        <v>7170</v>
      </c>
      <c r="D228" s="264" t="s">
        <v>7171</v>
      </c>
      <c r="E228" s="265" t="s">
        <v>6808</v>
      </c>
      <c r="F228" s="268" t="s">
        <v>7159</v>
      </c>
      <c r="G228" s="271" t="str">
        <f>IF(COUNTIF(H228:AU228,"&lt;&gt;")=0,"",SUMPRODUCT(((Recommendations[ImplStatus]="Implemented")+(Recommendations[ImplStatus]="Compensated"))*ISNUMBER(MATCH(Recommendations[Id],H228:AU228,0)))/COUNTIF(H228:AU228,"&lt;&gt;"))</f>
        <v/>
      </c>
      <c r="H228" s="272"/>
      <c r="I228" s="272"/>
      <c r="J228" s="272"/>
      <c r="K228" s="272"/>
      <c r="L228" s="272"/>
      <c r="M228" s="272"/>
      <c r="N228" s="272"/>
      <c r="O228" s="272"/>
      <c r="P228" s="272"/>
      <c r="Q228" s="272"/>
      <c r="R228" s="272"/>
      <c r="S228" s="272"/>
      <c r="T228" s="272"/>
      <c r="U228" s="272"/>
      <c r="V228" s="272"/>
      <c r="W228" s="272"/>
      <c r="X228" s="272"/>
      <c r="Y228" s="272"/>
      <c r="Z228" s="272"/>
      <c r="AA228" s="272"/>
      <c r="AB228" s="272"/>
      <c r="AC228" s="272"/>
      <c r="AD228" s="272"/>
      <c r="AE228" s="272"/>
      <c r="AF228" s="272"/>
      <c r="AG228" s="272"/>
      <c r="AH228" s="272"/>
      <c r="AI228" s="272"/>
      <c r="AJ228" s="272"/>
      <c r="AK228" s="272"/>
      <c r="AL228" s="272"/>
      <c r="AM228" s="272"/>
      <c r="AN228" s="272"/>
      <c r="AO228" s="272"/>
      <c r="AP228" s="272"/>
      <c r="AQ228" s="272"/>
      <c r="AR228" s="272"/>
      <c r="AS228" s="272"/>
      <c r="AT228" s="272"/>
      <c r="AU228" s="286"/>
    </row>
    <row r="229" spans="1:47" ht="60" customHeight="1" x14ac:dyDescent="0.35">
      <c r="A229" s="282" t="s">
        <v>7111</v>
      </c>
      <c r="B229" s="260" t="s">
        <v>7156</v>
      </c>
      <c r="C229" s="261" t="s">
        <v>7172</v>
      </c>
      <c r="D229" s="264" t="s">
        <v>7173</v>
      </c>
      <c r="E229" s="265" t="s">
        <v>6712</v>
      </c>
      <c r="F229" s="268" t="s">
        <v>7159</v>
      </c>
      <c r="G229" s="271" t="str">
        <f>IF(COUNTIF(H229:AU229,"&lt;&gt;")=0,"",SUMPRODUCT(((Recommendations[ImplStatus]="Implemented")+(Recommendations[ImplStatus]="Compensated"))*ISNUMBER(MATCH(Recommendations[Id],H229:AU229,0)))/COUNTIF(H229:AU229,"&lt;&gt;"))</f>
        <v/>
      </c>
      <c r="H229" s="272"/>
      <c r="I229" s="272"/>
      <c r="J229" s="272"/>
      <c r="K229" s="272"/>
      <c r="L229" s="272"/>
      <c r="M229" s="272"/>
      <c r="N229" s="272"/>
      <c r="O229" s="272"/>
      <c r="P229" s="272"/>
      <c r="Q229" s="272"/>
      <c r="R229" s="272"/>
      <c r="S229" s="272"/>
      <c r="T229" s="272"/>
      <c r="U229" s="272"/>
      <c r="V229" s="272"/>
      <c r="W229" s="272"/>
      <c r="X229" s="272"/>
      <c r="Y229" s="272"/>
      <c r="Z229" s="272"/>
      <c r="AA229" s="272"/>
      <c r="AB229" s="272"/>
      <c r="AC229" s="272"/>
      <c r="AD229" s="272"/>
      <c r="AE229" s="272"/>
      <c r="AF229" s="272"/>
      <c r="AG229" s="272"/>
      <c r="AH229" s="272"/>
      <c r="AI229" s="272"/>
      <c r="AJ229" s="272"/>
      <c r="AK229" s="272"/>
      <c r="AL229" s="272"/>
      <c r="AM229" s="272"/>
      <c r="AN229" s="272"/>
      <c r="AO229" s="272"/>
      <c r="AP229" s="272"/>
      <c r="AQ229" s="272"/>
      <c r="AR229" s="272"/>
      <c r="AS229" s="272"/>
      <c r="AT229" s="272"/>
      <c r="AU229" s="286"/>
    </row>
    <row r="230" spans="1:47" ht="60" customHeight="1" x14ac:dyDescent="0.35">
      <c r="A230" s="282" t="s">
        <v>7111</v>
      </c>
      <c r="B230" s="260" t="s">
        <v>7156</v>
      </c>
      <c r="C230" s="261" t="s">
        <v>7174</v>
      </c>
      <c r="D230" s="264" t="s">
        <v>7175</v>
      </c>
      <c r="E230" s="265" t="s">
        <v>6712</v>
      </c>
      <c r="F230" s="268" t="s">
        <v>7159</v>
      </c>
      <c r="G230" s="271" t="str">
        <f>IF(COUNTIF(H230:AU230,"&lt;&gt;")=0,"",SUMPRODUCT(((Recommendations[ImplStatus]="Implemented")+(Recommendations[ImplStatus]="Compensated"))*ISNUMBER(MATCH(Recommendations[Id],H230:AU230,0)))/COUNTIF(H230:AU230,"&lt;&gt;"))</f>
        <v/>
      </c>
      <c r="H230" s="272"/>
      <c r="I230" s="272"/>
      <c r="J230" s="272"/>
      <c r="K230" s="272"/>
      <c r="L230" s="272"/>
      <c r="M230" s="272"/>
      <c r="N230" s="272"/>
      <c r="O230" s="272"/>
      <c r="P230" s="272"/>
      <c r="Q230" s="272"/>
      <c r="R230" s="272"/>
      <c r="S230" s="272"/>
      <c r="T230" s="272"/>
      <c r="U230" s="272"/>
      <c r="V230" s="272"/>
      <c r="W230" s="272"/>
      <c r="X230" s="272"/>
      <c r="Y230" s="272"/>
      <c r="Z230" s="272"/>
      <c r="AA230" s="272"/>
      <c r="AB230" s="272"/>
      <c r="AC230" s="272"/>
      <c r="AD230" s="272"/>
      <c r="AE230" s="272"/>
      <c r="AF230" s="272"/>
      <c r="AG230" s="272"/>
      <c r="AH230" s="272"/>
      <c r="AI230" s="272"/>
      <c r="AJ230" s="272"/>
      <c r="AK230" s="272"/>
      <c r="AL230" s="272"/>
      <c r="AM230" s="272"/>
      <c r="AN230" s="272"/>
      <c r="AO230" s="272"/>
      <c r="AP230" s="272"/>
      <c r="AQ230" s="272"/>
      <c r="AR230" s="272"/>
      <c r="AS230" s="272"/>
      <c r="AT230" s="272"/>
      <c r="AU230" s="286"/>
    </row>
    <row r="231" spans="1:47" ht="60" customHeight="1" x14ac:dyDescent="0.35">
      <c r="A231" s="282" t="s">
        <v>7111</v>
      </c>
      <c r="B231" s="260" t="s">
        <v>7156</v>
      </c>
      <c r="C231" s="261" t="s">
        <v>7176</v>
      </c>
      <c r="D231" s="264" t="s">
        <v>7177</v>
      </c>
      <c r="E231" s="265" t="s">
        <v>6808</v>
      </c>
      <c r="F231" s="268" t="s">
        <v>7178</v>
      </c>
      <c r="G231" s="271" t="str">
        <f>IF(COUNTIF(H231:AU231,"&lt;&gt;")=0,"",SUMPRODUCT(((Recommendations[ImplStatus]="Implemented")+(Recommendations[ImplStatus]="Compensated"))*ISNUMBER(MATCH(Recommendations[Id],H231:AU231,0)))/COUNTIF(H231:AU231,"&lt;&gt;"))</f>
        <v/>
      </c>
      <c r="H231" s="272"/>
      <c r="I231" s="272"/>
      <c r="J231" s="272"/>
      <c r="K231" s="272"/>
      <c r="L231" s="272"/>
      <c r="M231" s="272"/>
      <c r="N231" s="272"/>
      <c r="O231" s="272"/>
      <c r="P231" s="272"/>
      <c r="Q231" s="272"/>
      <c r="R231" s="272"/>
      <c r="S231" s="272"/>
      <c r="T231" s="272"/>
      <c r="U231" s="272"/>
      <c r="V231" s="272"/>
      <c r="W231" s="272"/>
      <c r="X231" s="272"/>
      <c r="Y231" s="272"/>
      <c r="Z231" s="272"/>
      <c r="AA231" s="272"/>
      <c r="AB231" s="272"/>
      <c r="AC231" s="272"/>
      <c r="AD231" s="272"/>
      <c r="AE231" s="272"/>
      <c r="AF231" s="272"/>
      <c r="AG231" s="272"/>
      <c r="AH231" s="272"/>
      <c r="AI231" s="272"/>
      <c r="AJ231" s="272"/>
      <c r="AK231" s="272"/>
      <c r="AL231" s="272"/>
      <c r="AM231" s="272"/>
      <c r="AN231" s="272"/>
      <c r="AO231" s="272"/>
      <c r="AP231" s="272"/>
      <c r="AQ231" s="272"/>
      <c r="AR231" s="272"/>
      <c r="AS231" s="272"/>
      <c r="AT231" s="272"/>
      <c r="AU231" s="286"/>
    </row>
    <row r="232" spans="1:47" ht="60" customHeight="1" x14ac:dyDescent="0.35">
      <c r="A232" s="282" t="s">
        <v>7111</v>
      </c>
      <c r="B232" s="260" t="s">
        <v>7156</v>
      </c>
      <c r="C232" s="261" t="s">
        <v>7179</v>
      </c>
      <c r="D232" s="264" t="s">
        <v>7180</v>
      </c>
      <c r="E232" s="265" t="s">
        <v>6808</v>
      </c>
      <c r="F232" s="268" t="s">
        <v>7178</v>
      </c>
      <c r="G232" s="271" t="str">
        <f>IF(COUNTIF(H232:AU232,"&lt;&gt;")=0,"",SUMPRODUCT(((Recommendations[ImplStatus]="Implemented")+(Recommendations[ImplStatus]="Compensated"))*ISNUMBER(MATCH(Recommendations[Id],H232:AU232,0)))/COUNTIF(H232:AU232,"&lt;&gt;"))</f>
        <v/>
      </c>
      <c r="H232" s="272"/>
      <c r="I232" s="272"/>
      <c r="J232" s="272"/>
      <c r="K232" s="272"/>
      <c r="L232" s="272"/>
      <c r="M232" s="272"/>
      <c r="N232" s="272"/>
      <c r="O232" s="272"/>
      <c r="P232" s="272"/>
      <c r="Q232" s="272"/>
      <c r="R232" s="272"/>
      <c r="S232" s="272"/>
      <c r="T232" s="272"/>
      <c r="U232" s="272"/>
      <c r="V232" s="272"/>
      <c r="W232" s="272"/>
      <c r="X232" s="272"/>
      <c r="Y232" s="272"/>
      <c r="Z232" s="272"/>
      <c r="AA232" s="272"/>
      <c r="AB232" s="272"/>
      <c r="AC232" s="272"/>
      <c r="AD232" s="272"/>
      <c r="AE232" s="272"/>
      <c r="AF232" s="272"/>
      <c r="AG232" s="272"/>
      <c r="AH232" s="272"/>
      <c r="AI232" s="272"/>
      <c r="AJ232" s="272"/>
      <c r="AK232" s="272"/>
      <c r="AL232" s="272"/>
      <c r="AM232" s="272"/>
      <c r="AN232" s="272"/>
      <c r="AO232" s="272"/>
      <c r="AP232" s="272"/>
      <c r="AQ232" s="272"/>
      <c r="AR232" s="272"/>
      <c r="AS232" s="272"/>
      <c r="AT232" s="272"/>
      <c r="AU232" s="286"/>
    </row>
    <row r="233" spans="1:47" ht="60" customHeight="1" x14ac:dyDescent="0.35">
      <c r="A233" s="282" t="s">
        <v>7111</v>
      </c>
      <c r="B233" s="260" t="s">
        <v>7156</v>
      </c>
      <c r="C233" s="261" t="s">
        <v>7181</v>
      </c>
      <c r="D233" s="264" t="s">
        <v>7182</v>
      </c>
      <c r="E233" s="265" t="s">
        <v>6741</v>
      </c>
      <c r="F233" s="268" t="s">
        <v>7178</v>
      </c>
      <c r="G233" s="271" t="str">
        <f>IF(COUNTIF(H233:AU233,"&lt;&gt;")=0,"",SUMPRODUCT(((Recommendations[ImplStatus]="Implemented")+(Recommendations[ImplStatus]="Compensated"))*ISNUMBER(MATCH(Recommendations[Id],H233:AU233,0)))/COUNTIF(H233:AU233,"&lt;&gt;"))</f>
        <v/>
      </c>
      <c r="H233" s="272"/>
      <c r="I233" s="272"/>
      <c r="J233" s="272"/>
      <c r="K233" s="272"/>
      <c r="L233" s="272"/>
      <c r="M233" s="272"/>
      <c r="N233" s="272"/>
      <c r="O233" s="272"/>
      <c r="P233" s="272"/>
      <c r="Q233" s="272"/>
      <c r="R233" s="272"/>
      <c r="S233" s="272"/>
      <c r="T233" s="272"/>
      <c r="U233" s="272"/>
      <c r="V233" s="272"/>
      <c r="W233" s="272"/>
      <c r="X233" s="272"/>
      <c r="Y233" s="272"/>
      <c r="Z233" s="272"/>
      <c r="AA233" s="272"/>
      <c r="AB233" s="272"/>
      <c r="AC233" s="272"/>
      <c r="AD233" s="272"/>
      <c r="AE233" s="272"/>
      <c r="AF233" s="272"/>
      <c r="AG233" s="272"/>
      <c r="AH233" s="272"/>
      <c r="AI233" s="272"/>
      <c r="AJ233" s="272"/>
      <c r="AK233" s="272"/>
      <c r="AL233" s="272"/>
      <c r="AM233" s="272"/>
      <c r="AN233" s="272"/>
      <c r="AO233" s="272"/>
      <c r="AP233" s="272"/>
      <c r="AQ233" s="272"/>
      <c r="AR233" s="272"/>
      <c r="AS233" s="272"/>
      <c r="AT233" s="272"/>
      <c r="AU233" s="286"/>
    </row>
    <row r="234" spans="1:47" ht="60" customHeight="1" x14ac:dyDescent="0.35">
      <c r="A234" s="282" t="s">
        <v>7111</v>
      </c>
      <c r="B234" s="260" t="s">
        <v>7156</v>
      </c>
      <c r="C234" s="261" t="s">
        <v>7183</v>
      </c>
      <c r="D234" s="264" t="s">
        <v>7184</v>
      </c>
      <c r="E234" s="265" t="s">
        <v>6741</v>
      </c>
      <c r="F234" s="268" t="s">
        <v>7178</v>
      </c>
      <c r="G234" s="271" t="str">
        <f>IF(COUNTIF(H234:AU234,"&lt;&gt;")=0,"",SUMPRODUCT(((Recommendations[ImplStatus]="Implemented")+(Recommendations[ImplStatus]="Compensated"))*ISNUMBER(MATCH(Recommendations[Id],H234:AU234,0)))/COUNTIF(H234:AU234,"&lt;&gt;"))</f>
        <v/>
      </c>
      <c r="H234" s="272"/>
      <c r="I234" s="272"/>
      <c r="J234" s="272"/>
      <c r="K234" s="272"/>
      <c r="L234" s="272"/>
      <c r="M234" s="272"/>
      <c r="N234" s="272"/>
      <c r="O234" s="272"/>
      <c r="P234" s="272"/>
      <c r="Q234" s="272"/>
      <c r="R234" s="272"/>
      <c r="S234" s="272"/>
      <c r="T234" s="272"/>
      <c r="U234" s="272"/>
      <c r="V234" s="272"/>
      <c r="W234" s="272"/>
      <c r="X234" s="272"/>
      <c r="Y234" s="272"/>
      <c r="Z234" s="272"/>
      <c r="AA234" s="272"/>
      <c r="AB234" s="272"/>
      <c r="AC234" s="272"/>
      <c r="AD234" s="272"/>
      <c r="AE234" s="272"/>
      <c r="AF234" s="272"/>
      <c r="AG234" s="272"/>
      <c r="AH234" s="272"/>
      <c r="AI234" s="272"/>
      <c r="AJ234" s="272"/>
      <c r="AK234" s="272"/>
      <c r="AL234" s="272"/>
      <c r="AM234" s="272"/>
      <c r="AN234" s="272"/>
      <c r="AO234" s="272"/>
      <c r="AP234" s="272"/>
      <c r="AQ234" s="272"/>
      <c r="AR234" s="272"/>
      <c r="AS234" s="272"/>
      <c r="AT234" s="272"/>
      <c r="AU234" s="286"/>
    </row>
    <row r="235" spans="1:47" ht="60" customHeight="1" x14ac:dyDescent="0.35">
      <c r="A235" s="282" t="s">
        <v>7111</v>
      </c>
      <c r="B235" s="260" t="s">
        <v>7156</v>
      </c>
      <c r="C235" s="261" t="s">
        <v>7185</v>
      </c>
      <c r="D235" s="264" t="s">
        <v>7186</v>
      </c>
      <c r="E235" s="265" t="s">
        <v>6808</v>
      </c>
      <c r="F235" s="268" t="s">
        <v>7178</v>
      </c>
      <c r="G235" s="271" t="str">
        <f>IF(COUNTIF(H235:AU235,"&lt;&gt;")=0,"",SUMPRODUCT(((Recommendations[ImplStatus]="Implemented")+(Recommendations[ImplStatus]="Compensated"))*ISNUMBER(MATCH(Recommendations[Id],H235:AU235,0)))/COUNTIF(H235:AU235,"&lt;&gt;"))</f>
        <v/>
      </c>
      <c r="H235" s="272"/>
      <c r="I235" s="272"/>
      <c r="J235" s="272"/>
      <c r="K235" s="272"/>
      <c r="L235" s="272"/>
      <c r="M235" s="272"/>
      <c r="N235" s="272"/>
      <c r="O235" s="272"/>
      <c r="P235" s="272"/>
      <c r="Q235" s="272"/>
      <c r="R235" s="272"/>
      <c r="S235" s="272"/>
      <c r="T235" s="272"/>
      <c r="U235" s="272"/>
      <c r="V235" s="272"/>
      <c r="W235" s="272"/>
      <c r="X235" s="272"/>
      <c r="Y235" s="272"/>
      <c r="Z235" s="272"/>
      <c r="AA235" s="272"/>
      <c r="AB235" s="272"/>
      <c r="AC235" s="272"/>
      <c r="AD235" s="272"/>
      <c r="AE235" s="272"/>
      <c r="AF235" s="272"/>
      <c r="AG235" s="272"/>
      <c r="AH235" s="272"/>
      <c r="AI235" s="272"/>
      <c r="AJ235" s="272"/>
      <c r="AK235" s="272"/>
      <c r="AL235" s="272"/>
      <c r="AM235" s="272"/>
      <c r="AN235" s="272"/>
      <c r="AO235" s="272"/>
      <c r="AP235" s="272"/>
      <c r="AQ235" s="272"/>
      <c r="AR235" s="272"/>
      <c r="AS235" s="272"/>
      <c r="AT235" s="272"/>
      <c r="AU235" s="286"/>
    </row>
    <row r="236" spans="1:47" ht="60" customHeight="1" x14ac:dyDescent="0.35">
      <c r="A236" s="282" t="s">
        <v>7111</v>
      </c>
      <c r="B236" s="260" t="s">
        <v>7156</v>
      </c>
      <c r="C236" s="261" t="s">
        <v>7187</v>
      </c>
      <c r="D236" s="264" t="s">
        <v>7188</v>
      </c>
      <c r="E236" s="265" t="s">
        <v>6741</v>
      </c>
      <c r="F236" s="268" t="s">
        <v>7178</v>
      </c>
      <c r="G236" s="271" t="str">
        <f>IF(COUNTIF(H236:AU236,"&lt;&gt;")=0,"",SUMPRODUCT(((Recommendations[ImplStatus]="Implemented")+(Recommendations[ImplStatus]="Compensated"))*ISNUMBER(MATCH(Recommendations[Id],H236:AU236,0)))/COUNTIF(H236:AU236,"&lt;&gt;"))</f>
        <v/>
      </c>
      <c r="H236" s="272"/>
      <c r="I236" s="272"/>
      <c r="J236" s="272"/>
      <c r="K236" s="272"/>
      <c r="L236" s="272"/>
      <c r="M236" s="272"/>
      <c r="N236" s="272"/>
      <c r="O236" s="272"/>
      <c r="P236" s="272"/>
      <c r="Q236" s="272"/>
      <c r="R236" s="272"/>
      <c r="S236" s="272"/>
      <c r="T236" s="272"/>
      <c r="U236" s="272"/>
      <c r="V236" s="272"/>
      <c r="W236" s="272"/>
      <c r="X236" s="272"/>
      <c r="Y236" s="272"/>
      <c r="Z236" s="272"/>
      <c r="AA236" s="272"/>
      <c r="AB236" s="272"/>
      <c r="AC236" s="272"/>
      <c r="AD236" s="272"/>
      <c r="AE236" s="272"/>
      <c r="AF236" s="272"/>
      <c r="AG236" s="272"/>
      <c r="AH236" s="272"/>
      <c r="AI236" s="272"/>
      <c r="AJ236" s="272"/>
      <c r="AK236" s="272"/>
      <c r="AL236" s="272"/>
      <c r="AM236" s="272"/>
      <c r="AN236" s="272"/>
      <c r="AO236" s="272"/>
      <c r="AP236" s="272"/>
      <c r="AQ236" s="272"/>
      <c r="AR236" s="272"/>
      <c r="AS236" s="272"/>
      <c r="AT236" s="272"/>
      <c r="AU236" s="286"/>
    </row>
    <row r="237" spans="1:47" ht="60" customHeight="1" outlineLevel="2" x14ac:dyDescent="0.35">
      <c r="A237" s="281" t="s">
        <v>7111</v>
      </c>
      <c r="B237" s="259" t="s">
        <v>3345</v>
      </c>
      <c r="C237" s="259"/>
      <c r="D237" s="263"/>
      <c r="E237" s="259"/>
      <c r="F237" s="267"/>
      <c r="G237" s="270" t="str">
        <f>IF(COUNTIF(H237:AU237,"&lt;&gt;")=0,"",SUMPRODUCT(((Recommendations[ImplStatus]="Implemented")+(Recommendations[ImplStatus]="Compensated"))*ISNUMBER(MATCH(Recommendations[Id],H237:AU237,0)))/COUNTIF(H237:AU237,"&lt;&gt;"))</f>
        <v/>
      </c>
      <c r="H237" s="267"/>
      <c r="I237" s="267"/>
      <c r="J237" s="267"/>
      <c r="K237" s="267"/>
      <c r="L237" s="267"/>
      <c r="M237" s="267"/>
      <c r="N237" s="267"/>
      <c r="O237" s="267"/>
      <c r="P237" s="267"/>
      <c r="Q237" s="267"/>
      <c r="R237" s="267"/>
      <c r="S237" s="267"/>
      <c r="T237" s="267"/>
      <c r="U237" s="267"/>
      <c r="V237" s="267"/>
      <c r="W237" s="267"/>
      <c r="X237" s="267"/>
      <c r="Y237" s="267"/>
      <c r="Z237" s="267"/>
      <c r="AA237" s="267"/>
      <c r="AB237" s="267"/>
      <c r="AC237" s="267"/>
      <c r="AD237" s="267"/>
      <c r="AE237" s="267"/>
      <c r="AF237" s="267"/>
      <c r="AG237" s="267"/>
      <c r="AH237" s="267"/>
      <c r="AI237" s="267"/>
      <c r="AJ237" s="267"/>
      <c r="AK237" s="267"/>
      <c r="AL237" s="267"/>
      <c r="AM237" s="267"/>
      <c r="AN237" s="267"/>
      <c r="AO237" s="267"/>
      <c r="AP237" s="267"/>
      <c r="AQ237" s="267"/>
      <c r="AR237" s="267"/>
      <c r="AS237" s="267"/>
      <c r="AT237" s="267"/>
      <c r="AU237" s="285"/>
    </row>
    <row r="238" spans="1:47" ht="60" customHeight="1" x14ac:dyDescent="0.35">
      <c r="A238" s="282" t="s">
        <v>7111</v>
      </c>
      <c r="B238" s="260" t="s">
        <v>3345</v>
      </c>
      <c r="C238" s="261" t="s">
        <v>7189</v>
      </c>
      <c r="D238" s="264" t="s">
        <v>7190</v>
      </c>
      <c r="E238" s="265" t="s">
        <v>6712</v>
      </c>
      <c r="F238" s="268" t="s">
        <v>7191</v>
      </c>
      <c r="G238" s="271" t="str">
        <f>IF(COUNTIF(H238:AU238,"&lt;&gt;")=0,"",SUMPRODUCT(((Recommendations[ImplStatus]="Implemented")+(Recommendations[ImplStatus]="Compensated"))*ISNUMBER(MATCH(Recommendations[Id],H238:AU238,0)))/COUNTIF(H238:AU238,"&lt;&gt;"))</f>
        <v/>
      </c>
      <c r="H238" s="272"/>
      <c r="I238" s="272"/>
      <c r="J238" s="272"/>
      <c r="K238" s="272"/>
      <c r="L238" s="272"/>
      <c r="M238" s="272"/>
      <c r="N238" s="272"/>
      <c r="O238" s="272"/>
      <c r="P238" s="272"/>
      <c r="Q238" s="272"/>
      <c r="R238" s="272"/>
      <c r="S238" s="272"/>
      <c r="T238" s="272"/>
      <c r="U238" s="272"/>
      <c r="V238" s="272"/>
      <c r="W238" s="272"/>
      <c r="X238" s="272"/>
      <c r="Y238" s="272"/>
      <c r="Z238" s="272"/>
      <c r="AA238" s="272"/>
      <c r="AB238" s="272"/>
      <c r="AC238" s="272"/>
      <c r="AD238" s="272"/>
      <c r="AE238" s="272"/>
      <c r="AF238" s="272"/>
      <c r="AG238" s="272"/>
      <c r="AH238" s="272"/>
      <c r="AI238" s="272"/>
      <c r="AJ238" s="272"/>
      <c r="AK238" s="272"/>
      <c r="AL238" s="272"/>
      <c r="AM238" s="272"/>
      <c r="AN238" s="272"/>
      <c r="AO238" s="272"/>
      <c r="AP238" s="272"/>
      <c r="AQ238" s="272"/>
      <c r="AR238" s="272"/>
      <c r="AS238" s="272"/>
      <c r="AT238" s="272"/>
      <c r="AU238" s="286"/>
    </row>
    <row r="239" spans="1:47" ht="60" customHeight="1" x14ac:dyDescent="0.35">
      <c r="A239" s="282" t="s">
        <v>7111</v>
      </c>
      <c r="B239" s="260" t="s">
        <v>3345</v>
      </c>
      <c r="C239" s="261" t="s">
        <v>7192</v>
      </c>
      <c r="D239" s="264" t="s">
        <v>7193</v>
      </c>
      <c r="E239" s="265" t="s">
        <v>6712</v>
      </c>
      <c r="F239" s="268" t="s">
        <v>7191</v>
      </c>
      <c r="G239" s="271" t="str">
        <f>IF(COUNTIF(H239:AU239,"&lt;&gt;")=0,"",SUMPRODUCT(((Recommendations[ImplStatus]="Implemented")+(Recommendations[ImplStatus]="Compensated"))*ISNUMBER(MATCH(Recommendations[Id],H239:AU239,0)))/COUNTIF(H239:AU239,"&lt;&gt;"))</f>
        <v/>
      </c>
      <c r="H239" s="272"/>
      <c r="I239" s="272"/>
      <c r="J239" s="272"/>
      <c r="K239" s="272"/>
      <c r="L239" s="272"/>
      <c r="M239" s="272"/>
      <c r="N239" s="272"/>
      <c r="O239" s="272"/>
      <c r="P239" s="272"/>
      <c r="Q239" s="272"/>
      <c r="R239" s="272"/>
      <c r="S239" s="272"/>
      <c r="T239" s="272"/>
      <c r="U239" s="272"/>
      <c r="V239" s="272"/>
      <c r="W239" s="272"/>
      <c r="X239" s="272"/>
      <c r="Y239" s="272"/>
      <c r="Z239" s="272"/>
      <c r="AA239" s="272"/>
      <c r="AB239" s="272"/>
      <c r="AC239" s="272"/>
      <c r="AD239" s="272"/>
      <c r="AE239" s="272"/>
      <c r="AF239" s="272"/>
      <c r="AG239" s="272"/>
      <c r="AH239" s="272"/>
      <c r="AI239" s="272"/>
      <c r="AJ239" s="272"/>
      <c r="AK239" s="272"/>
      <c r="AL239" s="272"/>
      <c r="AM239" s="272"/>
      <c r="AN239" s="272"/>
      <c r="AO239" s="272"/>
      <c r="AP239" s="272"/>
      <c r="AQ239" s="272"/>
      <c r="AR239" s="272"/>
      <c r="AS239" s="272"/>
      <c r="AT239" s="272"/>
      <c r="AU239" s="286"/>
    </row>
    <row r="240" spans="1:47" ht="60" customHeight="1" x14ac:dyDescent="0.35">
      <c r="A240" s="282" t="s">
        <v>7111</v>
      </c>
      <c r="B240" s="260" t="s">
        <v>3345</v>
      </c>
      <c r="C240" s="261" t="s">
        <v>7194</v>
      </c>
      <c r="D240" s="264" t="s">
        <v>7195</v>
      </c>
      <c r="E240" s="265" t="s">
        <v>6712</v>
      </c>
      <c r="F240" s="268" t="s">
        <v>7191</v>
      </c>
      <c r="G240" s="271" t="str">
        <f>IF(COUNTIF(H240:AU240,"&lt;&gt;")=0,"",SUMPRODUCT(((Recommendations[ImplStatus]="Implemented")+(Recommendations[ImplStatus]="Compensated"))*ISNUMBER(MATCH(Recommendations[Id],H240:AU240,0)))/COUNTIF(H240:AU240,"&lt;&gt;"))</f>
        <v/>
      </c>
      <c r="H240" s="272"/>
      <c r="I240" s="272"/>
      <c r="J240" s="272"/>
      <c r="K240" s="272"/>
      <c r="L240" s="272"/>
      <c r="M240" s="272"/>
      <c r="N240" s="272"/>
      <c r="O240" s="272"/>
      <c r="P240" s="272"/>
      <c r="Q240" s="272"/>
      <c r="R240" s="272"/>
      <c r="S240" s="272"/>
      <c r="T240" s="272"/>
      <c r="U240" s="272"/>
      <c r="V240" s="272"/>
      <c r="W240" s="272"/>
      <c r="X240" s="272"/>
      <c r="Y240" s="272"/>
      <c r="Z240" s="272"/>
      <c r="AA240" s="272"/>
      <c r="AB240" s="272"/>
      <c r="AC240" s="272"/>
      <c r="AD240" s="272"/>
      <c r="AE240" s="272"/>
      <c r="AF240" s="272"/>
      <c r="AG240" s="272"/>
      <c r="AH240" s="272"/>
      <c r="AI240" s="272"/>
      <c r="AJ240" s="272"/>
      <c r="AK240" s="272"/>
      <c r="AL240" s="272"/>
      <c r="AM240" s="272"/>
      <c r="AN240" s="272"/>
      <c r="AO240" s="272"/>
      <c r="AP240" s="272"/>
      <c r="AQ240" s="272"/>
      <c r="AR240" s="272"/>
      <c r="AS240" s="272"/>
      <c r="AT240" s="272"/>
      <c r="AU240" s="286"/>
    </row>
    <row r="241" spans="1:47" ht="60" customHeight="1" x14ac:dyDescent="0.35">
      <c r="A241" s="282" t="s">
        <v>7111</v>
      </c>
      <c r="B241" s="260" t="s">
        <v>3345</v>
      </c>
      <c r="C241" s="261" t="s">
        <v>7196</v>
      </c>
      <c r="D241" s="264" t="s">
        <v>7197</v>
      </c>
      <c r="E241" s="265" t="s">
        <v>6712</v>
      </c>
      <c r="F241" s="268" t="s">
        <v>7191</v>
      </c>
      <c r="G241" s="271" t="str">
        <f>IF(COUNTIF(H241:AU241,"&lt;&gt;")=0,"",SUMPRODUCT(((Recommendations[ImplStatus]="Implemented")+(Recommendations[ImplStatus]="Compensated"))*ISNUMBER(MATCH(Recommendations[Id],H241:AU241,0)))/COUNTIF(H241:AU241,"&lt;&gt;"))</f>
        <v/>
      </c>
      <c r="H241" s="272"/>
      <c r="I241" s="272"/>
      <c r="J241" s="272"/>
      <c r="K241" s="272"/>
      <c r="L241" s="272"/>
      <c r="M241" s="272"/>
      <c r="N241" s="272"/>
      <c r="O241" s="272"/>
      <c r="P241" s="272"/>
      <c r="Q241" s="272"/>
      <c r="R241" s="272"/>
      <c r="S241" s="272"/>
      <c r="T241" s="272"/>
      <c r="U241" s="272"/>
      <c r="V241" s="272"/>
      <c r="W241" s="272"/>
      <c r="X241" s="272"/>
      <c r="Y241" s="272"/>
      <c r="Z241" s="272"/>
      <c r="AA241" s="272"/>
      <c r="AB241" s="272"/>
      <c r="AC241" s="272"/>
      <c r="AD241" s="272"/>
      <c r="AE241" s="272"/>
      <c r="AF241" s="272"/>
      <c r="AG241" s="272"/>
      <c r="AH241" s="272"/>
      <c r="AI241" s="272"/>
      <c r="AJ241" s="272"/>
      <c r="AK241" s="272"/>
      <c r="AL241" s="272"/>
      <c r="AM241" s="272"/>
      <c r="AN241" s="272"/>
      <c r="AO241" s="272"/>
      <c r="AP241" s="272"/>
      <c r="AQ241" s="272"/>
      <c r="AR241" s="272"/>
      <c r="AS241" s="272"/>
      <c r="AT241" s="272"/>
      <c r="AU241" s="286"/>
    </row>
    <row r="242" spans="1:47" ht="60" customHeight="1" x14ac:dyDescent="0.35">
      <c r="A242" s="282" t="s">
        <v>7111</v>
      </c>
      <c r="B242" s="260" t="s">
        <v>3345</v>
      </c>
      <c r="C242" s="261" t="s">
        <v>7198</v>
      </c>
      <c r="D242" s="264" t="s">
        <v>7199</v>
      </c>
      <c r="E242" s="265" t="s">
        <v>6712</v>
      </c>
      <c r="F242" s="268" t="s">
        <v>7191</v>
      </c>
      <c r="G242" s="271" t="str">
        <f>IF(COUNTIF(H242:AU242,"&lt;&gt;")=0,"",SUMPRODUCT(((Recommendations[ImplStatus]="Implemented")+(Recommendations[ImplStatus]="Compensated"))*ISNUMBER(MATCH(Recommendations[Id],H242:AU242,0)))/COUNTIF(H242:AU242,"&lt;&gt;"))</f>
        <v/>
      </c>
      <c r="H242" s="272"/>
      <c r="I242" s="272"/>
      <c r="J242" s="272"/>
      <c r="K242" s="272"/>
      <c r="L242" s="272"/>
      <c r="M242" s="272"/>
      <c r="N242" s="272"/>
      <c r="O242" s="272"/>
      <c r="P242" s="272"/>
      <c r="Q242" s="272"/>
      <c r="R242" s="272"/>
      <c r="S242" s="272"/>
      <c r="T242" s="272"/>
      <c r="U242" s="272"/>
      <c r="V242" s="272"/>
      <c r="W242" s="272"/>
      <c r="X242" s="272"/>
      <c r="Y242" s="272"/>
      <c r="Z242" s="272"/>
      <c r="AA242" s="272"/>
      <c r="AB242" s="272"/>
      <c r="AC242" s="272"/>
      <c r="AD242" s="272"/>
      <c r="AE242" s="272"/>
      <c r="AF242" s="272"/>
      <c r="AG242" s="272"/>
      <c r="AH242" s="272"/>
      <c r="AI242" s="272"/>
      <c r="AJ242" s="272"/>
      <c r="AK242" s="272"/>
      <c r="AL242" s="272"/>
      <c r="AM242" s="272"/>
      <c r="AN242" s="272"/>
      <c r="AO242" s="272"/>
      <c r="AP242" s="272"/>
      <c r="AQ242" s="272"/>
      <c r="AR242" s="272"/>
      <c r="AS242" s="272"/>
      <c r="AT242" s="272"/>
      <c r="AU242" s="286"/>
    </row>
    <row r="243" spans="1:47" ht="60" customHeight="1" x14ac:dyDescent="0.35">
      <c r="A243" s="282" t="s">
        <v>7111</v>
      </c>
      <c r="B243" s="260" t="s">
        <v>3345</v>
      </c>
      <c r="C243" s="261" t="s">
        <v>7200</v>
      </c>
      <c r="D243" s="264" t="s">
        <v>7201</v>
      </c>
      <c r="E243" s="265" t="s">
        <v>6712</v>
      </c>
      <c r="F243" s="268" t="s">
        <v>7191</v>
      </c>
      <c r="G243" s="271" t="str">
        <f>IF(COUNTIF(H243:AU243,"&lt;&gt;")=0,"",SUMPRODUCT(((Recommendations[ImplStatus]="Implemented")+(Recommendations[ImplStatus]="Compensated"))*ISNUMBER(MATCH(Recommendations[Id],H243:AU243,0)))/COUNTIF(H243:AU243,"&lt;&gt;"))</f>
        <v/>
      </c>
      <c r="H243" s="272"/>
      <c r="I243" s="272"/>
      <c r="J243" s="272"/>
      <c r="K243" s="272"/>
      <c r="L243" s="272"/>
      <c r="M243" s="272"/>
      <c r="N243" s="272"/>
      <c r="O243" s="272"/>
      <c r="P243" s="272"/>
      <c r="Q243" s="272"/>
      <c r="R243" s="272"/>
      <c r="S243" s="272"/>
      <c r="T243" s="272"/>
      <c r="U243" s="272"/>
      <c r="V243" s="272"/>
      <c r="W243" s="272"/>
      <c r="X243" s="272"/>
      <c r="Y243" s="272"/>
      <c r="Z243" s="272"/>
      <c r="AA243" s="272"/>
      <c r="AB243" s="272"/>
      <c r="AC243" s="272"/>
      <c r="AD243" s="272"/>
      <c r="AE243" s="272"/>
      <c r="AF243" s="272"/>
      <c r="AG243" s="272"/>
      <c r="AH243" s="272"/>
      <c r="AI243" s="272"/>
      <c r="AJ243" s="272"/>
      <c r="AK243" s="272"/>
      <c r="AL243" s="272"/>
      <c r="AM243" s="272"/>
      <c r="AN243" s="272"/>
      <c r="AO243" s="272"/>
      <c r="AP243" s="272"/>
      <c r="AQ243" s="272"/>
      <c r="AR243" s="272"/>
      <c r="AS243" s="272"/>
      <c r="AT243" s="272"/>
      <c r="AU243" s="286"/>
    </row>
    <row r="244" spans="1:47" ht="60" customHeight="1" x14ac:dyDescent="0.35">
      <c r="A244" s="282" t="s">
        <v>7111</v>
      </c>
      <c r="B244" s="260" t="s">
        <v>3345</v>
      </c>
      <c r="C244" s="261" t="s">
        <v>7202</v>
      </c>
      <c r="D244" s="264" t="s">
        <v>7203</v>
      </c>
      <c r="E244" s="265" t="s">
        <v>6712</v>
      </c>
      <c r="F244" s="268" t="s">
        <v>7191</v>
      </c>
      <c r="G244" s="271" t="str">
        <f>IF(COUNTIF(H244:AU244,"&lt;&gt;")=0,"",SUMPRODUCT(((Recommendations[ImplStatus]="Implemented")+(Recommendations[ImplStatus]="Compensated"))*ISNUMBER(MATCH(Recommendations[Id],H244:AU244,0)))/COUNTIF(H244:AU244,"&lt;&gt;"))</f>
        <v/>
      </c>
      <c r="H244" s="272"/>
      <c r="I244" s="272"/>
      <c r="J244" s="272"/>
      <c r="K244" s="272"/>
      <c r="L244" s="272"/>
      <c r="M244" s="272"/>
      <c r="N244" s="272"/>
      <c r="O244" s="272"/>
      <c r="P244" s="272"/>
      <c r="Q244" s="272"/>
      <c r="R244" s="272"/>
      <c r="S244" s="272"/>
      <c r="T244" s="272"/>
      <c r="U244" s="272"/>
      <c r="V244" s="272"/>
      <c r="W244" s="272"/>
      <c r="X244" s="272"/>
      <c r="Y244" s="272"/>
      <c r="Z244" s="272"/>
      <c r="AA244" s="272"/>
      <c r="AB244" s="272"/>
      <c r="AC244" s="272"/>
      <c r="AD244" s="272"/>
      <c r="AE244" s="272"/>
      <c r="AF244" s="272"/>
      <c r="AG244" s="272"/>
      <c r="AH244" s="272"/>
      <c r="AI244" s="272"/>
      <c r="AJ244" s="272"/>
      <c r="AK244" s="272"/>
      <c r="AL244" s="272"/>
      <c r="AM244" s="272"/>
      <c r="AN244" s="272"/>
      <c r="AO244" s="272"/>
      <c r="AP244" s="272"/>
      <c r="AQ244" s="272"/>
      <c r="AR244" s="272"/>
      <c r="AS244" s="272"/>
      <c r="AT244" s="272"/>
      <c r="AU244" s="286"/>
    </row>
    <row r="245" spans="1:47" ht="60" customHeight="1" x14ac:dyDescent="0.35">
      <c r="A245" s="282" t="s">
        <v>7111</v>
      </c>
      <c r="B245" s="260" t="s">
        <v>3345</v>
      </c>
      <c r="C245" s="261" t="s">
        <v>7204</v>
      </c>
      <c r="D245" s="264" t="s">
        <v>7205</v>
      </c>
      <c r="E245" s="265" t="s">
        <v>6712</v>
      </c>
      <c r="F245" s="268" t="s">
        <v>7191</v>
      </c>
      <c r="G245" s="271" t="str">
        <f>IF(COUNTIF(H245:AU245,"&lt;&gt;")=0,"",SUMPRODUCT(((Recommendations[ImplStatus]="Implemented")+(Recommendations[ImplStatus]="Compensated"))*ISNUMBER(MATCH(Recommendations[Id],H245:AU245,0)))/COUNTIF(H245:AU245,"&lt;&gt;"))</f>
        <v/>
      </c>
      <c r="H245" s="272"/>
      <c r="I245" s="272"/>
      <c r="J245" s="272"/>
      <c r="K245" s="272"/>
      <c r="L245" s="272"/>
      <c r="M245" s="272"/>
      <c r="N245" s="272"/>
      <c r="O245" s="272"/>
      <c r="P245" s="272"/>
      <c r="Q245" s="272"/>
      <c r="R245" s="272"/>
      <c r="S245" s="272"/>
      <c r="T245" s="272"/>
      <c r="U245" s="272"/>
      <c r="V245" s="272"/>
      <c r="W245" s="272"/>
      <c r="X245" s="272"/>
      <c r="Y245" s="272"/>
      <c r="Z245" s="272"/>
      <c r="AA245" s="272"/>
      <c r="AB245" s="272"/>
      <c r="AC245" s="272"/>
      <c r="AD245" s="272"/>
      <c r="AE245" s="272"/>
      <c r="AF245" s="272"/>
      <c r="AG245" s="272"/>
      <c r="AH245" s="272"/>
      <c r="AI245" s="272"/>
      <c r="AJ245" s="272"/>
      <c r="AK245" s="272"/>
      <c r="AL245" s="272"/>
      <c r="AM245" s="272"/>
      <c r="AN245" s="272"/>
      <c r="AO245" s="272"/>
      <c r="AP245" s="272"/>
      <c r="AQ245" s="272"/>
      <c r="AR245" s="272"/>
      <c r="AS245" s="272"/>
      <c r="AT245" s="272"/>
      <c r="AU245" s="286"/>
    </row>
    <row r="246" spans="1:47" ht="60" customHeight="1" x14ac:dyDescent="0.35">
      <c r="A246" s="282" t="s">
        <v>7111</v>
      </c>
      <c r="B246" s="260" t="s">
        <v>3345</v>
      </c>
      <c r="C246" s="261" t="s">
        <v>7206</v>
      </c>
      <c r="D246" s="264" t="s">
        <v>7207</v>
      </c>
      <c r="E246" s="265" t="s">
        <v>6712</v>
      </c>
      <c r="F246" s="268" t="s">
        <v>7191</v>
      </c>
      <c r="G246" s="271" t="str">
        <f>IF(COUNTIF(H246:AU246,"&lt;&gt;")=0,"",SUMPRODUCT(((Recommendations[ImplStatus]="Implemented")+(Recommendations[ImplStatus]="Compensated"))*ISNUMBER(MATCH(Recommendations[Id],H246:AU246,0)))/COUNTIF(H246:AU246,"&lt;&gt;"))</f>
        <v/>
      </c>
      <c r="H246" s="272"/>
      <c r="I246" s="272"/>
      <c r="J246" s="272"/>
      <c r="K246" s="272"/>
      <c r="L246" s="272"/>
      <c r="M246" s="272"/>
      <c r="N246" s="272"/>
      <c r="O246" s="272"/>
      <c r="P246" s="272"/>
      <c r="Q246" s="272"/>
      <c r="R246" s="272"/>
      <c r="S246" s="272"/>
      <c r="T246" s="272"/>
      <c r="U246" s="272"/>
      <c r="V246" s="272"/>
      <c r="W246" s="272"/>
      <c r="X246" s="272"/>
      <c r="Y246" s="272"/>
      <c r="Z246" s="272"/>
      <c r="AA246" s="272"/>
      <c r="AB246" s="272"/>
      <c r="AC246" s="272"/>
      <c r="AD246" s="272"/>
      <c r="AE246" s="272"/>
      <c r="AF246" s="272"/>
      <c r="AG246" s="272"/>
      <c r="AH246" s="272"/>
      <c r="AI246" s="272"/>
      <c r="AJ246" s="272"/>
      <c r="AK246" s="272"/>
      <c r="AL246" s="272"/>
      <c r="AM246" s="272"/>
      <c r="AN246" s="272"/>
      <c r="AO246" s="272"/>
      <c r="AP246" s="272"/>
      <c r="AQ246" s="272"/>
      <c r="AR246" s="272"/>
      <c r="AS246" s="272"/>
      <c r="AT246" s="272"/>
      <c r="AU246" s="286"/>
    </row>
    <row r="247" spans="1:47" ht="60" customHeight="1" x14ac:dyDescent="0.35">
      <c r="A247" s="282" t="s">
        <v>7111</v>
      </c>
      <c r="B247" s="260" t="s">
        <v>3345</v>
      </c>
      <c r="C247" s="261" t="s">
        <v>7208</v>
      </c>
      <c r="D247" s="264" t="s">
        <v>7209</v>
      </c>
      <c r="E247" s="265" t="s">
        <v>6712</v>
      </c>
      <c r="F247" s="268" t="s">
        <v>7191</v>
      </c>
      <c r="G247" s="271" t="str">
        <f>IF(COUNTIF(H247:AU247,"&lt;&gt;")=0,"",SUMPRODUCT(((Recommendations[ImplStatus]="Implemented")+(Recommendations[ImplStatus]="Compensated"))*ISNUMBER(MATCH(Recommendations[Id],H247:AU247,0)))/COUNTIF(H247:AU247,"&lt;&gt;"))</f>
        <v/>
      </c>
      <c r="H247" s="272"/>
      <c r="I247" s="272"/>
      <c r="J247" s="272"/>
      <c r="K247" s="272"/>
      <c r="L247" s="272"/>
      <c r="M247" s="272"/>
      <c r="N247" s="272"/>
      <c r="O247" s="272"/>
      <c r="P247" s="272"/>
      <c r="Q247" s="272"/>
      <c r="R247" s="272"/>
      <c r="S247" s="272"/>
      <c r="T247" s="272"/>
      <c r="U247" s="272"/>
      <c r="V247" s="272"/>
      <c r="W247" s="272"/>
      <c r="X247" s="272"/>
      <c r="Y247" s="272"/>
      <c r="Z247" s="272"/>
      <c r="AA247" s="272"/>
      <c r="AB247" s="272"/>
      <c r="AC247" s="272"/>
      <c r="AD247" s="272"/>
      <c r="AE247" s="272"/>
      <c r="AF247" s="272"/>
      <c r="AG247" s="272"/>
      <c r="AH247" s="272"/>
      <c r="AI247" s="272"/>
      <c r="AJ247" s="272"/>
      <c r="AK247" s="272"/>
      <c r="AL247" s="272"/>
      <c r="AM247" s="272"/>
      <c r="AN247" s="272"/>
      <c r="AO247" s="272"/>
      <c r="AP247" s="272"/>
      <c r="AQ247" s="272"/>
      <c r="AR247" s="272"/>
      <c r="AS247" s="272"/>
      <c r="AT247" s="272"/>
      <c r="AU247" s="286"/>
    </row>
    <row r="248" spans="1:47" ht="60" customHeight="1" x14ac:dyDescent="0.35">
      <c r="A248" s="282" t="s">
        <v>7111</v>
      </c>
      <c r="B248" s="260" t="s">
        <v>3345</v>
      </c>
      <c r="C248" s="261" t="s">
        <v>7210</v>
      </c>
      <c r="D248" s="264" t="s">
        <v>7211</v>
      </c>
      <c r="E248" s="265" t="s">
        <v>6741</v>
      </c>
      <c r="F248" s="268" t="s">
        <v>7191</v>
      </c>
      <c r="G248" s="271" t="str">
        <f>IF(COUNTIF(H248:AU248,"&lt;&gt;")=0,"",SUMPRODUCT(((Recommendations[ImplStatus]="Implemented")+(Recommendations[ImplStatus]="Compensated"))*ISNUMBER(MATCH(Recommendations[Id],H248:AU248,0)))/COUNTIF(H248:AU248,"&lt;&gt;"))</f>
        <v/>
      </c>
      <c r="H248" s="272"/>
      <c r="I248" s="272"/>
      <c r="J248" s="272"/>
      <c r="K248" s="272"/>
      <c r="L248" s="272"/>
      <c r="M248" s="272"/>
      <c r="N248" s="272"/>
      <c r="O248" s="272"/>
      <c r="P248" s="272"/>
      <c r="Q248" s="272"/>
      <c r="R248" s="272"/>
      <c r="S248" s="272"/>
      <c r="T248" s="272"/>
      <c r="U248" s="272"/>
      <c r="V248" s="272"/>
      <c r="W248" s="272"/>
      <c r="X248" s="272"/>
      <c r="Y248" s="272"/>
      <c r="Z248" s="272"/>
      <c r="AA248" s="272"/>
      <c r="AB248" s="272"/>
      <c r="AC248" s="272"/>
      <c r="AD248" s="272"/>
      <c r="AE248" s="272"/>
      <c r="AF248" s="272"/>
      <c r="AG248" s="272"/>
      <c r="AH248" s="272"/>
      <c r="AI248" s="272"/>
      <c r="AJ248" s="272"/>
      <c r="AK248" s="272"/>
      <c r="AL248" s="272"/>
      <c r="AM248" s="272"/>
      <c r="AN248" s="272"/>
      <c r="AO248" s="272"/>
      <c r="AP248" s="272"/>
      <c r="AQ248" s="272"/>
      <c r="AR248" s="272"/>
      <c r="AS248" s="272"/>
      <c r="AT248" s="272"/>
      <c r="AU248" s="286"/>
    </row>
    <row r="249" spans="1:47" ht="60" customHeight="1" x14ac:dyDescent="0.35">
      <c r="A249" s="282" t="s">
        <v>7111</v>
      </c>
      <c r="B249" s="260" t="s">
        <v>3345</v>
      </c>
      <c r="C249" s="261" t="s">
        <v>7212</v>
      </c>
      <c r="D249" s="264" t="s">
        <v>7213</v>
      </c>
      <c r="E249" s="265" t="s">
        <v>6741</v>
      </c>
      <c r="F249" s="268" t="s">
        <v>7214</v>
      </c>
      <c r="G249" s="271" t="str">
        <f>IF(COUNTIF(H249:AU249,"&lt;&gt;")=0,"",SUMPRODUCT(((Recommendations[ImplStatus]="Implemented")+(Recommendations[ImplStatus]="Compensated"))*ISNUMBER(MATCH(Recommendations[Id],H249:AU249,0)))/COUNTIF(H249:AU249,"&lt;&gt;"))</f>
        <v/>
      </c>
      <c r="H249" s="272"/>
      <c r="I249" s="272"/>
      <c r="J249" s="272"/>
      <c r="K249" s="272"/>
      <c r="L249" s="272"/>
      <c r="M249" s="272"/>
      <c r="N249" s="272"/>
      <c r="O249" s="272"/>
      <c r="P249" s="272"/>
      <c r="Q249" s="272"/>
      <c r="R249" s="272"/>
      <c r="S249" s="272"/>
      <c r="T249" s="272"/>
      <c r="U249" s="272"/>
      <c r="V249" s="272"/>
      <c r="W249" s="272"/>
      <c r="X249" s="272"/>
      <c r="Y249" s="272"/>
      <c r="Z249" s="272"/>
      <c r="AA249" s="272"/>
      <c r="AB249" s="272"/>
      <c r="AC249" s="272"/>
      <c r="AD249" s="272"/>
      <c r="AE249" s="272"/>
      <c r="AF249" s="272"/>
      <c r="AG249" s="272"/>
      <c r="AH249" s="272"/>
      <c r="AI249" s="272"/>
      <c r="AJ249" s="272"/>
      <c r="AK249" s="272"/>
      <c r="AL249" s="272"/>
      <c r="AM249" s="272"/>
      <c r="AN249" s="272"/>
      <c r="AO249" s="272"/>
      <c r="AP249" s="272"/>
      <c r="AQ249" s="272"/>
      <c r="AR249" s="272"/>
      <c r="AS249" s="272"/>
      <c r="AT249" s="272"/>
      <c r="AU249" s="286"/>
    </row>
    <row r="250" spans="1:47" ht="60" customHeight="1" x14ac:dyDescent="0.35">
      <c r="A250" s="282" t="s">
        <v>7111</v>
      </c>
      <c r="B250" s="260" t="s">
        <v>3345</v>
      </c>
      <c r="C250" s="261" t="s">
        <v>7215</v>
      </c>
      <c r="D250" s="264" t="s">
        <v>7216</v>
      </c>
      <c r="E250" s="265" t="s">
        <v>6741</v>
      </c>
      <c r="F250" s="268" t="s">
        <v>7214</v>
      </c>
      <c r="G250" s="271" t="str">
        <f>IF(COUNTIF(H250:AU250,"&lt;&gt;")=0,"",SUMPRODUCT(((Recommendations[ImplStatus]="Implemented")+(Recommendations[ImplStatus]="Compensated"))*ISNUMBER(MATCH(Recommendations[Id],H250:AU250,0)))/COUNTIF(H250:AU250,"&lt;&gt;"))</f>
        <v/>
      </c>
      <c r="H250" s="272"/>
      <c r="I250" s="272"/>
      <c r="J250" s="272"/>
      <c r="K250" s="272"/>
      <c r="L250" s="272"/>
      <c r="M250" s="272"/>
      <c r="N250" s="272"/>
      <c r="O250" s="272"/>
      <c r="P250" s="272"/>
      <c r="Q250" s="272"/>
      <c r="R250" s="272"/>
      <c r="S250" s="272"/>
      <c r="T250" s="272"/>
      <c r="U250" s="272"/>
      <c r="V250" s="272"/>
      <c r="W250" s="272"/>
      <c r="X250" s="272"/>
      <c r="Y250" s="272"/>
      <c r="Z250" s="272"/>
      <c r="AA250" s="272"/>
      <c r="AB250" s="272"/>
      <c r="AC250" s="272"/>
      <c r="AD250" s="272"/>
      <c r="AE250" s="272"/>
      <c r="AF250" s="272"/>
      <c r="AG250" s="272"/>
      <c r="AH250" s="272"/>
      <c r="AI250" s="272"/>
      <c r="AJ250" s="272"/>
      <c r="AK250" s="272"/>
      <c r="AL250" s="272"/>
      <c r="AM250" s="272"/>
      <c r="AN250" s="272"/>
      <c r="AO250" s="272"/>
      <c r="AP250" s="272"/>
      <c r="AQ250" s="272"/>
      <c r="AR250" s="272"/>
      <c r="AS250" s="272"/>
      <c r="AT250" s="272"/>
      <c r="AU250" s="286"/>
    </row>
    <row r="251" spans="1:47" ht="60" customHeight="1" outlineLevel="2" x14ac:dyDescent="0.35">
      <c r="A251" s="281" t="s">
        <v>7111</v>
      </c>
      <c r="B251" s="259" t="s">
        <v>7217</v>
      </c>
      <c r="C251" s="259"/>
      <c r="D251" s="263"/>
      <c r="E251" s="259"/>
      <c r="F251" s="267"/>
      <c r="G251" s="270" t="str">
        <f>IF(COUNTIF(H251:AU251,"&lt;&gt;")=0,"",SUMPRODUCT(((Recommendations[ImplStatus]="Implemented")+(Recommendations[ImplStatus]="Compensated"))*ISNUMBER(MATCH(Recommendations[Id],H251:AU251,0)))/COUNTIF(H251:AU251,"&lt;&gt;"))</f>
        <v/>
      </c>
      <c r="H251" s="267"/>
      <c r="I251" s="267"/>
      <c r="J251" s="267"/>
      <c r="K251" s="267"/>
      <c r="L251" s="267"/>
      <c r="M251" s="267"/>
      <c r="N251" s="267"/>
      <c r="O251" s="267"/>
      <c r="P251" s="267"/>
      <c r="Q251" s="267"/>
      <c r="R251" s="267"/>
      <c r="S251" s="267"/>
      <c r="T251" s="267"/>
      <c r="U251" s="267"/>
      <c r="V251" s="267"/>
      <c r="W251" s="267"/>
      <c r="X251" s="267"/>
      <c r="Y251" s="267"/>
      <c r="Z251" s="267"/>
      <c r="AA251" s="267"/>
      <c r="AB251" s="267"/>
      <c r="AC251" s="267"/>
      <c r="AD251" s="267"/>
      <c r="AE251" s="267"/>
      <c r="AF251" s="267"/>
      <c r="AG251" s="267"/>
      <c r="AH251" s="267"/>
      <c r="AI251" s="267"/>
      <c r="AJ251" s="267"/>
      <c r="AK251" s="267"/>
      <c r="AL251" s="267"/>
      <c r="AM251" s="267"/>
      <c r="AN251" s="267"/>
      <c r="AO251" s="267"/>
      <c r="AP251" s="267"/>
      <c r="AQ251" s="267"/>
      <c r="AR251" s="267"/>
      <c r="AS251" s="267"/>
      <c r="AT251" s="267"/>
      <c r="AU251" s="285"/>
    </row>
    <row r="252" spans="1:47" ht="60" customHeight="1" x14ac:dyDescent="0.35">
      <c r="A252" s="282" t="s">
        <v>7111</v>
      </c>
      <c r="B252" s="260" t="s">
        <v>7217</v>
      </c>
      <c r="C252" s="261" t="s">
        <v>7218</v>
      </c>
      <c r="D252" s="264" t="s">
        <v>7219</v>
      </c>
      <c r="E252" s="265" t="s">
        <v>6808</v>
      </c>
      <c r="F252" s="268" t="s">
        <v>7220</v>
      </c>
      <c r="G252" s="271">
        <f>IF(COUNTIF(H252:AU252,"&lt;&gt;")=0,"",SUMPRODUCT(((Recommendations[ImplStatus]="Implemented")+(Recommendations[ImplStatus]="Compensated"))*ISNUMBER(MATCH(Recommendations[Id],H252:AU252,0)))/COUNTIF(H252:AU252,"&lt;&gt;"))</f>
        <v>0</v>
      </c>
      <c r="H252" s="272" t="s">
        <v>223</v>
      </c>
      <c r="I252" s="272" t="s">
        <v>1962</v>
      </c>
      <c r="J252" s="272"/>
      <c r="K252" s="272"/>
      <c r="L252" s="272"/>
      <c r="M252" s="272"/>
      <c r="N252" s="272"/>
      <c r="O252" s="272"/>
      <c r="P252" s="272"/>
      <c r="Q252" s="272"/>
      <c r="R252" s="272"/>
      <c r="S252" s="272"/>
      <c r="T252" s="272"/>
      <c r="U252" s="272"/>
      <c r="V252" s="272"/>
      <c r="W252" s="272"/>
      <c r="X252" s="272"/>
      <c r="Y252" s="272"/>
      <c r="Z252" s="272"/>
      <c r="AA252" s="272"/>
      <c r="AB252" s="272"/>
      <c r="AC252" s="272"/>
      <c r="AD252" s="272"/>
      <c r="AE252" s="272"/>
      <c r="AF252" s="272"/>
      <c r="AG252" s="272"/>
      <c r="AH252" s="272"/>
      <c r="AI252" s="272"/>
      <c r="AJ252" s="272"/>
      <c r="AK252" s="272"/>
      <c r="AL252" s="272"/>
      <c r="AM252" s="272"/>
      <c r="AN252" s="272"/>
      <c r="AO252" s="272"/>
      <c r="AP252" s="272"/>
      <c r="AQ252" s="272"/>
      <c r="AR252" s="272"/>
      <c r="AS252" s="272"/>
      <c r="AT252" s="272"/>
      <c r="AU252" s="286"/>
    </row>
    <row r="253" spans="1:47" ht="60" customHeight="1" x14ac:dyDescent="0.35">
      <c r="A253" s="282" t="s">
        <v>7111</v>
      </c>
      <c r="B253" s="260" t="s">
        <v>7217</v>
      </c>
      <c r="C253" s="261" t="s">
        <v>7221</v>
      </c>
      <c r="D253" s="264" t="s">
        <v>7222</v>
      </c>
      <c r="E253" s="265" t="s">
        <v>6808</v>
      </c>
      <c r="F253" s="268" t="s">
        <v>7220</v>
      </c>
      <c r="G253" s="271" t="str">
        <f>IF(COUNTIF(H253:AU253,"&lt;&gt;")=0,"",SUMPRODUCT(((Recommendations[ImplStatus]="Implemented")+(Recommendations[ImplStatus]="Compensated"))*ISNUMBER(MATCH(Recommendations[Id],H253:AU253,0)))/COUNTIF(H253:AU253,"&lt;&gt;"))</f>
        <v/>
      </c>
      <c r="H253" s="272"/>
      <c r="I253" s="272"/>
      <c r="J253" s="272"/>
      <c r="K253" s="272"/>
      <c r="L253" s="272"/>
      <c r="M253" s="272"/>
      <c r="N253" s="272"/>
      <c r="O253" s="272"/>
      <c r="P253" s="272"/>
      <c r="Q253" s="272"/>
      <c r="R253" s="272"/>
      <c r="S253" s="272"/>
      <c r="T253" s="272"/>
      <c r="U253" s="272"/>
      <c r="V253" s="272"/>
      <c r="W253" s="272"/>
      <c r="X253" s="272"/>
      <c r="Y253" s="272"/>
      <c r="Z253" s="272"/>
      <c r="AA253" s="272"/>
      <c r="AB253" s="272"/>
      <c r="AC253" s="272"/>
      <c r="AD253" s="272"/>
      <c r="AE253" s="272"/>
      <c r="AF253" s="272"/>
      <c r="AG253" s="272"/>
      <c r="AH253" s="272"/>
      <c r="AI253" s="272"/>
      <c r="AJ253" s="272"/>
      <c r="AK253" s="272"/>
      <c r="AL253" s="272"/>
      <c r="AM253" s="272"/>
      <c r="AN253" s="272"/>
      <c r="AO253" s="272"/>
      <c r="AP253" s="272"/>
      <c r="AQ253" s="272"/>
      <c r="AR253" s="272"/>
      <c r="AS253" s="272"/>
      <c r="AT253" s="272"/>
      <c r="AU253" s="286"/>
    </row>
    <row r="254" spans="1:47" ht="60" customHeight="1" x14ac:dyDescent="0.35">
      <c r="A254" s="282" t="s">
        <v>7111</v>
      </c>
      <c r="B254" s="260" t="s">
        <v>7217</v>
      </c>
      <c r="C254" s="261" t="s">
        <v>7223</v>
      </c>
      <c r="D254" s="264" t="s">
        <v>7224</v>
      </c>
      <c r="E254" s="265" t="s">
        <v>6808</v>
      </c>
      <c r="F254" s="268" t="s">
        <v>7220</v>
      </c>
      <c r="G254" s="271" t="str">
        <f>IF(COUNTIF(H254:AU254,"&lt;&gt;")=0,"",SUMPRODUCT(((Recommendations[ImplStatus]="Implemented")+(Recommendations[ImplStatus]="Compensated"))*ISNUMBER(MATCH(Recommendations[Id],H254:AU254,0)))/COUNTIF(H254:AU254,"&lt;&gt;"))</f>
        <v/>
      </c>
      <c r="H254" s="272"/>
      <c r="I254" s="272"/>
      <c r="J254" s="272"/>
      <c r="K254" s="272"/>
      <c r="L254" s="272"/>
      <c r="M254" s="272"/>
      <c r="N254" s="272"/>
      <c r="O254" s="272"/>
      <c r="P254" s="272"/>
      <c r="Q254" s="272"/>
      <c r="R254" s="272"/>
      <c r="S254" s="272"/>
      <c r="T254" s="272"/>
      <c r="U254" s="272"/>
      <c r="V254" s="272"/>
      <c r="W254" s="272"/>
      <c r="X254" s="272"/>
      <c r="Y254" s="272"/>
      <c r="Z254" s="272"/>
      <c r="AA254" s="272"/>
      <c r="AB254" s="272"/>
      <c r="AC254" s="272"/>
      <c r="AD254" s="272"/>
      <c r="AE254" s="272"/>
      <c r="AF254" s="272"/>
      <c r="AG254" s="272"/>
      <c r="AH254" s="272"/>
      <c r="AI254" s="272"/>
      <c r="AJ254" s="272"/>
      <c r="AK254" s="272"/>
      <c r="AL254" s="272"/>
      <c r="AM254" s="272"/>
      <c r="AN254" s="272"/>
      <c r="AO254" s="272"/>
      <c r="AP254" s="272"/>
      <c r="AQ254" s="272"/>
      <c r="AR254" s="272"/>
      <c r="AS254" s="272"/>
      <c r="AT254" s="272"/>
      <c r="AU254" s="286"/>
    </row>
    <row r="255" spans="1:47" ht="60" customHeight="1" x14ac:dyDescent="0.35">
      <c r="A255" s="282" t="s">
        <v>7111</v>
      </c>
      <c r="B255" s="260" t="s">
        <v>7217</v>
      </c>
      <c r="C255" s="261" t="s">
        <v>7225</v>
      </c>
      <c r="D255" s="264" t="s">
        <v>7226</v>
      </c>
      <c r="E255" s="265" t="s">
        <v>6808</v>
      </c>
      <c r="F255" s="268" t="s">
        <v>7220</v>
      </c>
      <c r="G255" s="271" t="str">
        <f>IF(COUNTIF(H255:AU255,"&lt;&gt;")=0,"",SUMPRODUCT(((Recommendations[ImplStatus]="Implemented")+(Recommendations[ImplStatus]="Compensated"))*ISNUMBER(MATCH(Recommendations[Id],H255:AU255,0)))/COUNTIF(H255:AU255,"&lt;&gt;"))</f>
        <v/>
      </c>
      <c r="H255" s="272"/>
      <c r="I255" s="272"/>
      <c r="J255" s="272"/>
      <c r="K255" s="272"/>
      <c r="L255" s="272"/>
      <c r="M255" s="272"/>
      <c r="N255" s="272"/>
      <c r="O255" s="272"/>
      <c r="P255" s="272"/>
      <c r="Q255" s="272"/>
      <c r="R255" s="272"/>
      <c r="S255" s="272"/>
      <c r="T255" s="272"/>
      <c r="U255" s="272"/>
      <c r="V255" s="272"/>
      <c r="W255" s="272"/>
      <c r="X255" s="272"/>
      <c r="Y255" s="272"/>
      <c r="Z255" s="272"/>
      <c r="AA255" s="272"/>
      <c r="AB255" s="272"/>
      <c r="AC255" s="272"/>
      <c r="AD255" s="272"/>
      <c r="AE255" s="272"/>
      <c r="AF255" s="272"/>
      <c r="AG255" s="272"/>
      <c r="AH255" s="272"/>
      <c r="AI255" s="272"/>
      <c r="AJ255" s="272"/>
      <c r="AK255" s="272"/>
      <c r="AL255" s="272"/>
      <c r="AM255" s="272"/>
      <c r="AN255" s="272"/>
      <c r="AO255" s="272"/>
      <c r="AP255" s="272"/>
      <c r="AQ255" s="272"/>
      <c r="AR255" s="272"/>
      <c r="AS255" s="272"/>
      <c r="AT255" s="272"/>
      <c r="AU255" s="286"/>
    </row>
    <row r="256" spans="1:47" ht="60" customHeight="1" x14ac:dyDescent="0.35">
      <c r="A256" s="282" t="s">
        <v>7111</v>
      </c>
      <c r="B256" s="260" t="s">
        <v>7217</v>
      </c>
      <c r="C256" s="261" t="s">
        <v>7227</v>
      </c>
      <c r="D256" s="264" t="s">
        <v>7228</v>
      </c>
      <c r="E256" s="265" t="s">
        <v>6808</v>
      </c>
      <c r="F256" s="268" t="s">
        <v>7220</v>
      </c>
      <c r="G256" s="271" t="str">
        <f>IF(COUNTIF(H256:AU256,"&lt;&gt;")=0,"",SUMPRODUCT(((Recommendations[ImplStatus]="Implemented")+(Recommendations[ImplStatus]="Compensated"))*ISNUMBER(MATCH(Recommendations[Id],H256:AU256,0)))/COUNTIF(H256:AU256,"&lt;&gt;"))</f>
        <v/>
      </c>
      <c r="H256" s="272"/>
      <c r="I256" s="272"/>
      <c r="J256" s="272"/>
      <c r="K256" s="272"/>
      <c r="L256" s="272"/>
      <c r="M256" s="272"/>
      <c r="N256" s="272"/>
      <c r="O256" s="272"/>
      <c r="P256" s="272"/>
      <c r="Q256" s="272"/>
      <c r="R256" s="272"/>
      <c r="S256" s="272"/>
      <c r="T256" s="272"/>
      <c r="U256" s="272"/>
      <c r="V256" s="272"/>
      <c r="W256" s="272"/>
      <c r="X256" s="272"/>
      <c r="Y256" s="272"/>
      <c r="Z256" s="272"/>
      <c r="AA256" s="272"/>
      <c r="AB256" s="272"/>
      <c r="AC256" s="272"/>
      <c r="AD256" s="272"/>
      <c r="AE256" s="272"/>
      <c r="AF256" s="272"/>
      <c r="AG256" s="272"/>
      <c r="AH256" s="272"/>
      <c r="AI256" s="272"/>
      <c r="AJ256" s="272"/>
      <c r="AK256" s="272"/>
      <c r="AL256" s="272"/>
      <c r="AM256" s="272"/>
      <c r="AN256" s="272"/>
      <c r="AO256" s="272"/>
      <c r="AP256" s="272"/>
      <c r="AQ256" s="272"/>
      <c r="AR256" s="272"/>
      <c r="AS256" s="272"/>
      <c r="AT256" s="272"/>
      <c r="AU256" s="286"/>
    </row>
    <row r="257" spans="1:47" ht="60" customHeight="1" x14ac:dyDescent="0.35">
      <c r="A257" s="282" t="s">
        <v>7111</v>
      </c>
      <c r="B257" s="260" t="s">
        <v>7217</v>
      </c>
      <c r="C257" s="261" t="s">
        <v>7229</v>
      </c>
      <c r="D257" s="264" t="s">
        <v>7230</v>
      </c>
      <c r="E257" s="265" t="s">
        <v>6712</v>
      </c>
      <c r="F257" s="268" t="s">
        <v>7220</v>
      </c>
      <c r="G257" s="271" t="str">
        <f>IF(COUNTIF(H257:AU257,"&lt;&gt;")=0,"",SUMPRODUCT(((Recommendations[ImplStatus]="Implemented")+(Recommendations[ImplStatus]="Compensated"))*ISNUMBER(MATCH(Recommendations[Id],H257:AU257,0)))/COUNTIF(H257:AU257,"&lt;&gt;"))</f>
        <v/>
      </c>
      <c r="H257" s="272"/>
      <c r="I257" s="272"/>
      <c r="J257" s="272"/>
      <c r="K257" s="272"/>
      <c r="L257" s="272"/>
      <c r="M257" s="272"/>
      <c r="N257" s="272"/>
      <c r="O257" s="272"/>
      <c r="P257" s="272"/>
      <c r="Q257" s="272"/>
      <c r="R257" s="272"/>
      <c r="S257" s="272"/>
      <c r="T257" s="272"/>
      <c r="U257" s="272"/>
      <c r="V257" s="272"/>
      <c r="W257" s="272"/>
      <c r="X257" s="272"/>
      <c r="Y257" s="272"/>
      <c r="Z257" s="272"/>
      <c r="AA257" s="272"/>
      <c r="AB257" s="272"/>
      <c r="AC257" s="272"/>
      <c r="AD257" s="272"/>
      <c r="AE257" s="272"/>
      <c r="AF257" s="272"/>
      <c r="AG257" s="272"/>
      <c r="AH257" s="272"/>
      <c r="AI257" s="272"/>
      <c r="AJ257" s="272"/>
      <c r="AK257" s="272"/>
      <c r="AL257" s="272"/>
      <c r="AM257" s="272"/>
      <c r="AN257" s="272"/>
      <c r="AO257" s="272"/>
      <c r="AP257" s="272"/>
      <c r="AQ257" s="272"/>
      <c r="AR257" s="272"/>
      <c r="AS257" s="272"/>
      <c r="AT257" s="272"/>
      <c r="AU257" s="286"/>
    </row>
    <row r="258" spans="1:47" ht="60" customHeight="1" x14ac:dyDescent="0.35">
      <c r="A258" s="282" t="s">
        <v>7111</v>
      </c>
      <c r="B258" s="260" t="s">
        <v>7217</v>
      </c>
      <c r="C258" s="261" t="s">
        <v>7231</v>
      </c>
      <c r="D258" s="264" t="s">
        <v>7232</v>
      </c>
      <c r="E258" s="265" t="s">
        <v>6712</v>
      </c>
      <c r="F258" s="268" t="s">
        <v>7220</v>
      </c>
      <c r="G258" s="271" t="str">
        <f>IF(COUNTIF(H258:AU258,"&lt;&gt;")=0,"",SUMPRODUCT(((Recommendations[ImplStatus]="Implemented")+(Recommendations[ImplStatus]="Compensated"))*ISNUMBER(MATCH(Recommendations[Id],H258:AU258,0)))/COUNTIF(H258:AU258,"&lt;&gt;"))</f>
        <v/>
      </c>
      <c r="H258" s="272"/>
      <c r="I258" s="272"/>
      <c r="J258" s="272"/>
      <c r="K258" s="272"/>
      <c r="L258" s="272"/>
      <c r="M258" s="272"/>
      <c r="N258" s="272"/>
      <c r="O258" s="272"/>
      <c r="P258" s="272"/>
      <c r="Q258" s="272"/>
      <c r="R258" s="272"/>
      <c r="S258" s="272"/>
      <c r="T258" s="272"/>
      <c r="U258" s="272"/>
      <c r="V258" s="272"/>
      <c r="W258" s="272"/>
      <c r="X258" s="272"/>
      <c r="Y258" s="272"/>
      <c r="Z258" s="272"/>
      <c r="AA258" s="272"/>
      <c r="AB258" s="272"/>
      <c r="AC258" s="272"/>
      <c r="AD258" s="272"/>
      <c r="AE258" s="272"/>
      <c r="AF258" s="272"/>
      <c r="AG258" s="272"/>
      <c r="AH258" s="272"/>
      <c r="AI258" s="272"/>
      <c r="AJ258" s="272"/>
      <c r="AK258" s="272"/>
      <c r="AL258" s="272"/>
      <c r="AM258" s="272"/>
      <c r="AN258" s="272"/>
      <c r="AO258" s="272"/>
      <c r="AP258" s="272"/>
      <c r="AQ258" s="272"/>
      <c r="AR258" s="272"/>
      <c r="AS258" s="272"/>
      <c r="AT258" s="272"/>
      <c r="AU258" s="286"/>
    </row>
    <row r="259" spans="1:47" ht="60" customHeight="1" x14ac:dyDescent="0.35">
      <c r="A259" s="282" t="s">
        <v>7111</v>
      </c>
      <c r="B259" s="260" t="s">
        <v>7217</v>
      </c>
      <c r="C259" s="261" t="s">
        <v>7233</v>
      </c>
      <c r="D259" s="264" t="s">
        <v>7234</v>
      </c>
      <c r="E259" s="265" t="s">
        <v>6712</v>
      </c>
      <c r="F259" s="268" t="s">
        <v>7220</v>
      </c>
      <c r="G259" s="271" t="str">
        <f>IF(COUNTIF(H259:AU259,"&lt;&gt;")=0,"",SUMPRODUCT(((Recommendations[ImplStatus]="Implemented")+(Recommendations[ImplStatus]="Compensated"))*ISNUMBER(MATCH(Recommendations[Id],H259:AU259,0)))/COUNTIF(H259:AU259,"&lt;&gt;"))</f>
        <v/>
      </c>
      <c r="H259" s="272"/>
      <c r="I259" s="272"/>
      <c r="J259" s="272"/>
      <c r="K259" s="272"/>
      <c r="L259" s="272"/>
      <c r="M259" s="272"/>
      <c r="N259" s="272"/>
      <c r="O259" s="272"/>
      <c r="P259" s="272"/>
      <c r="Q259" s="272"/>
      <c r="R259" s="272"/>
      <c r="S259" s="272"/>
      <c r="T259" s="272"/>
      <c r="U259" s="272"/>
      <c r="V259" s="272"/>
      <c r="W259" s="272"/>
      <c r="X259" s="272"/>
      <c r="Y259" s="272"/>
      <c r="Z259" s="272"/>
      <c r="AA259" s="272"/>
      <c r="AB259" s="272"/>
      <c r="AC259" s="272"/>
      <c r="AD259" s="272"/>
      <c r="AE259" s="272"/>
      <c r="AF259" s="272"/>
      <c r="AG259" s="272"/>
      <c r="AH259" s="272"/>
      <c r="AI259" s="272"/>
      <c r="AJ259" s="272"/>
      <c r="AK259" s="272"/>
      <c r="AL259" s="272"/>
      <c r="AM259" s="272"/>
      <c r="AN259" s="272"/>
      <c r="AO259" s="272"/>
      <c r="AP259" s="272"/>
      <c r="AQ259" s="272"/>
      <c r="AR259" s="272"/>
      <c r="AS259" s="272"/>
      <c r="AT259" s="272"/>
      <c r="AU259" s="286"/>
    </row>
    <row r="260" spans="1:47" ht="60" customHeight="1" x14ac:dyDescent="0.35">
      <c r="A260" s="282" t="s">
        <v>7111</v>
      </c>
      <c r="B260" s="260" t="s">
        <v>7217</v>
      </c>
      <c r="C260" s="261" t="s">
        <v>7235</v>
      </c>
      <c r="D260" s="264" t="s">
        <v>7236</v>
      </c>
      <c r="E260" s="265" t="s">
        <v>6712</v>
      </c>
      <c r="F260" s="268" t="s">
        <v>7220</v>
      </c>
      <c r="G260" s="271" t="str">
        <f>IF(COUNTIF(H260:AU260,"&lt;&gt;")=0,"",SUMPRODUCT(((Recommendations[ImplStatus]="Implemented")+(Recommendations[ImplStatus]="Compensated"))*ISNUMBER(MATCH(Recommendations[Id],H260:AU260,0)))/COUNTIF(H260:AU260,"&lt;&gt;"))</f>
        <v/>
      </c>
      <c r="H260" s="272"/>
      <c r="I260" s="272"/>
      <c r="J260" s="272"/>
      <c r="K260" s="272"/>
      <c r="L260" s="272"/>
      <c r="M260" s="272"/>
      <c r="N260" s="272"/>
      <c r="O260" s="272"/>
      <c r="P260" s="272"/>
      <c r="Q260" s="272"/>
      <c r="R260" s="272"/>
      <c r="S260" s="272"/>
      <c r="T260" s="272"/>
      <c r="U260" s="272"/>
      <c r="V260" s="272"/>
      <c r="W260" s="272"/>
      <c r="X260" s="272"/>
      <c r="Y260" s="272"/>
      <c r="Z260" s="272"/>
      <c r="AA260" s="272"/>
      <c r="AB260" s="272"/>
      <c r="AC260" s="272"/>
      <c r="AD260" s="272"/>
      <c r="AE260" s="272"/>
      <c r="AF260" s="272"/>
      <c r="AG260" s="272"/>
      <c r="AH260" s="272"/>
      <c r="AI260" s="272"/>
      <c r="AJ260" s="272"/>
      <c r="AK260" s="272"/>
      <c r="AL260" s="272"/>
      <c r="AM260" s="272"/>
      <c r="AN260" s="272"/>
      <c r="AO260" s="272"/>
      <c r="AP260" s="272"/>
      <c r="AQ260" s="272"/>
      <c r="AR260" s="272"/>
      <c r="AS260" s="272"/>
      <c r="AT260" s="272"/>
      <c r="AU260" s="286"/>
    </row>
    <row r="261" spans="1:47" ht="60" customHeight="1" x14ac:dyDescent="0.35">
      <c r="A261" s="282" t="s">
        <v>7111</v>
      </c>
      <c r="B261" s="260" t="s">
        <v>7217</v>
      </c>
      <c r="C261" s="261" t="s">
        <v>7237</v>
      </c>
      <c r="D261" s="264" t="s">
        <v>7238</v>
      </c>
      <c r="E261" s="265" t="s">
        <v>6856</v>
      </c>
      <c r="F261" s="268" t="s">
        <v>7220</v>
      </c>
      <c r="G261" s="271" t="str">
        <f>IF(COUNTIF(H261:AU261,"&lt;&gt;")=0,"",SUMPRODUCT(((Recommendations[ImplStatus]="Implemented")+(Recommendations[ImplStatus]="Compensated"))*ISNUMBER(MATCH(Recommendations[Id],H261:AU261,0)))/COUNTIF(H261:AU261,"&lt;&gt;"))</f>
        <v/>
      </c>
      <c r="H261" s="272"/>
      <c r="I261" s="272"/>
      <c r="J261" s="272"/>
      <c r="K261" s="272"/>
      <c r="L261" s="272"/>
      <c r="M261" s="272"/>
      <c r="N261" s="272"/>
      <c r="O261" s="272"/>
      <c r="P261" s="272"/>
      <c r="Q261" s="272"/>
      <c r="R261" s="272"/>
      <c r="S261" s="272"/>
      <c r="T261" s="272"/>
      <c r="U261" s="272"/>
      <c r="V261" s="272"/>
      <c r="W261" s="272"/>
      <c r="X261" s="272"/>
      <c r="Y261" s="272"/>
      <c r="Z261" s="272"/>
      <c r="AA261" s="272"/>
      <c r="AB261" s="272"/>
      <c r="AC261" s="272"/>
      <c r="AD261" s="272"/>
      <c r="AE261" s="272"/>
      <c r="AF261" s="272"/>
      <c r="AG261" s="272"/>
      <c r="AH261" s="272"/>
      <c r="AI261" s="272"/>
      <c r="AJ261" s="272"/>
      <c r="AK261" s="272"/>
      <c r="AL261" s="272"/>
      <c r="AM261" s="272"/>
      <c r="AN261" s="272"/>
      <c r="AO261" s="272"/>
      <c r="AP261" s="272"/>
      <c r="AQ261" s="272"/>
      <c r="AR261" s="272"/>
      <c r="AS261" s="272"/>
      <c r="AT261" s="272"/>
      <c r="AU261" s="286"/>
    </row>
    <row r="262" spans="1:47" ht="60" customHeight="1" x14ac:dyDescent="0.35">
      <c r="A262" s="282" t="s">
        <v>7111</v>
      </c>
      <c r="B262" s="260" t="s">
        <v>7217</v>
      </c>
      <c r="C262" s="261" t="s">
        <v>7239</v>
      </c>
      <c r="D262" s="264" t="s">
        <v>7240</v>
      </c>
      <c r="E262" s="265" t="s">
        <v>6856</v>
      </c>
      <c r="F262" s="268" t="s">
        <v>7220</v>
      </c>
      <c r="G262" s="271" t="str">
        <f>IF(COUNTIF(H262:AU262,"&lt;&gt;")=0,"",SUMPRODUCT(((Recommendations[ImplStatus]="Implemented")+(Recommendations[ImplStatus]="Compensated"))*ISNUMBER(MATCH(Recommendations[Id],H262:AU262,0)))/COUNTIF(H262:AU262,"&lt;&gt;"))</f>
        <v/>
      </c>
      <c r="H262" s="272"/>
      <c r="I262" s="272"/>
      <c r="J262" s="272"/>
      <c r="K262" s="272"/>
      <c r="L262" s="272"/>
      <c r="M262" s="272"/>
      <c r="N262" s="272"/>
      <c r="O262" s="272"/>
      <c r="P262" s="272"/>
      <c r="Q262" s="272"/>
      <c r="R262" s="272"/>
      <c r="S262" s="272"/>
      <c r="T262" s="272"/>
      <c r="U262" s="272"/>
      <c r="V262" s="272"/>
      <c r="W262" s="272"/>
      <c r="X262" s="272"/>
      <c r="Y262" s="272"/>
      <c r="Z262" s="272"/>
      <c r="AA262" s="272"/>
      <c r="AB262" s="272"/>
      <c r="AC262" s="272"/>
      <c r="AD262" s="272"/>
      <c r="AE262" s="272"/>
      <c r="AF262" s="272"/>
      <c r="AG262" s="272"/>
      <c r="AH262" s="272"/>
      <c r="AI262" s="272"/>
      <c r="AJ262" s="272"/>
      <c r="AK262" s="272"/>
      <c r="AL262" s="272"/>
      <c r="AM262" s="272"/>
      <c r="AN262" s="272"/>
      <c r="AO262" s="272"/>
      <c r="AP262" s="272"/>
      <c r="AQ262" s="272"/>
      <c r="AR262" s="272"/>
      <c r="AS262" s="272"/>
      <c r="AT262" s="272"/>
      <c r="AU262" s="286"/>
    </row>
    <row r="263" spans="1:47" ht="60" customHeight="1" x14ac:dyDescent="0.35">
      <c r="A263" s="282" t="s">
        <v>7111</v>
      </c>
      <c r="B263" s="260" t="s">
        <v>7217</v>
      </c>
      <c r="C263" s="261" t="s">
        <v>7241</v>
      </c>
      <c r="D263" s="264" t="s">
        <v>7242</v>
      </c>
      <c r="E263" s="265" t="s">
        <v>6856</v>
      </c>
      <c r="F263" s="268" t="s">
        <v>7220</v>
      </c>
      <c r="G263" s="271" t="str">
        <f>IF(COUNTIF(H263:AU263,"&lt;&gt;")=0,"",SUMPRODUCT(((Recommendations[ImplStatus]="Implemented")+(Recommendations[ImplStatus]="Compensated"))*ISNUMBER(MATCH(Recommendations[Id],H263:AU263,0)))/COUNTIF(H263:AU263,"&lt;&gt;"))</f>
        <v/>
      </c>
      <c r="H263" s="272"/>
      <c r="I263" s="272"/>
      <c r="J263" s="272"/>
      <c r="K263" s="272"/>
      <c r="L263" s="272"/>
      <c r="M263" s="272"/>
      <c r="N263" s="272"/>
      <c r="O263" s="272"/>
      <c r="P263" s="272"/>
      <c r="Q263" s="272"/>
      <c r="R263" s="272"/>
      <c r="S263" s="272"/>
      <c r="T263" s="272"/>
      <c r="U263" s="272"/>
      <c r="V263" s="272"/>
      <c r="W263" s="272"/>
      <c r="X263" s="272"/>
      <c r="Y263" s="272"/>
      <c r="Z263" s="272"/>
      <c r="AA263" s="272"/>
      <c r="AB263" s="272"/>
      <c r="AC263" s="272"/>
      <c r="AD263" s="272"/>
      <c r="AE263" s="272"/>
      <c r="AF263" s="272"/>
      <c r="AG263" s="272"/>
      <c r="AH263" s="272"/>
      <c r="AI263" s="272"/>
      <c r="AJ263" s="272"/>
      <c r="AK263" s="272"/>
      <c r="AL263" s="272"/>
      <c r="AM263" s="272"/>
      <c r="AN263" s="272"/>
      <c r="AO263" s="272"/>
      <c r="AP263" s="272"/>
      <c r="AQ263" s="272"/>
      <c r="AR263" s="272"/>
      <c r="AS263" s="272"/>
      <c r="AT263" s="272"/>
      <c r="AU263" s="286"/>
    </row>
    <row r="264" spans="1:47" ht="60" customHeight="1" outlineLevel="2" x14ac:dyDescent="0.35">
      <c r="A264" s="281" t="s">
        <v>7111</v>
      </c>
      <c r="B264" s="259" t="s">
        <v>7243</v>
      </c>
      <c r="C264" s="259"/>
      <c r="D264" s="263"/>
      <c r="E264" s="259"/>
      <c r="F264" s="267"/>
      <c r="G264" s="270" t="str">
        <f>IF(COUNTIF(H264:AU264,"&lt;&gt;")=0,"",SUMPRODUCT(((Recommendations[ImplStatus]="Implemented")+(Recommendations[ImplStatus]="Compensated"))*ISNUMBER(MATCH(Recommendations[Id],H264:AU264,0)))/COUNTIF(H264:AU264,"&lt;&gt;"))</f>
        <v/>
      </c>
      <c r="H264" s="267"/>
      <c r="I264" s="267"/>
      <c r="J264" s="267"/>
      <c r="K264" s="267"/>
      <c r="L264" s="267"/>
      <c r="M264" s="267"/>
      <c r="N264" s="267"/>
      <c r="O264" s="267"/>
      <c r="P264" s="267"/>
      <c r="Q264" s="267"/>
      <c r="R264" s="267"/>
      <c r="S264" s="267"/>
      <c r="T264" s="267"/>
      <c r="U264" s="267"/>
      <c r="V264" s="267"/>
      <c r="W264" s="267"/>
      <c r="X264" s="267"/>
      <c r="Y264" s="267"/>
      <c r="Z264" s="267"/>
      <c r="AA264" s="267"/>
      <c r="AB264" s="267"/>
      <c r="AC264" s="267"/>
      <c r="AD264" s="267"/>
      <c r="AE264" s="267"/>
      <c r="AF264" s="267"/>
      <c r="AG264" s="267"/>
      <c r="AH264" s="267"/>
      <c r="AI264" s="267"/>
      <c r="AJ264" s="267"/>
      <c r="AK264" s="267"/>
      <c r="AL264" s="267"/>
      <c r="AM264" s="267"/>
      <c r="AN264" s="267"/>
      <c r="AO264" s="267"/>
      <c r="AP264" s="267"/>
      <c r="AQ264" s="267"/>
      <c r="AR264" s="267"/>
      <c r="AS264" s="267"/>
      <c r="AT264" s="267"/>
      <c r="AU264" s="285"/>
    </row>
    <row r="265" spans="1:47" ht="60" customHeight="1" x14ac:dyDescent="0.35">
      <c r="A265" s="282" t="s">
        <v>7111</v>
      </c>
      <c r="B265" s="260" t="s">
        <v>7243</v>
      </c>
      <c r="C265" s="261" t="s">
        <v>7244</v>
      </c>
      <c r="D265" s="264" t="s">
        <v>7245</v>
      </c>
      <c r="E265" s="265" t="s">
        <v>6741</v>
      </c>
      <c r="F265" s="268" t="s">
        <v>7246</v>
      </c>
      <c r="G265" s="271" t="str">
        <f>IF(COUNTIF(H265:AU265,"&lt;&gt;")=0,"",SUMPRODUCT(((Recommendations[ImplStatus]="Implemented")+(Recommendations[ImplStatus]="Compensated"))*ISNUMBER(MATCH(Recommendations[Id],H265:AU265,0)))/COUNTIF(H265:AU265,"&lt;&gt;"))</f>
        <v/>
      </c>
      <c r="H265" s="272"/>
      <c r="I265" s="272"/>
      <c r="J265" s="272"/>
      <c r="K265" s="272"/>
      <c r="L265" s="272"/>
      <c r="M265" s="272"/>
      <c r="N265" s="272"/>
      <c r="O265" s="272"/>
      <c r="P265" s="272"/>
      <c r="Q265" s="272"/>
      <c r="R265" s="272"/>
      <c r="S265" s="272"/>
      <c r="T265" s="272"/>
      <c r="U265" s="272"/>
      <c r="V265" s="272"/>
      <c r="W265" s="272"/>
      <c r="X265" s="272"/>
      <c r="Y265" s="272"/>
      <c r="Z265" s="272"/>
      <c r="AA265" s="272"/>
      <c r="AB265" s="272"/>
      <c r="AC265" s="272"/>
      <c r="AD265" s="272"/>
      <c r="AE265" s="272"/>
      <c r="AF265" s="272"/>
      <c r="AG265" s="272"/>
      <c r="AH265" s="272"/>
      <c r="AI265" s="272"/>
      <c r="AJ265" s="272"/>
      <c r="AK265" s="272"/>
      <c r="AL265" s="272"/>
      <c r="AM265" s="272"/>
      <c r="AN265" s="272"/>
      <c r="AO265" s="272"/>
      <c r="AP265" s="272"/>
      <c r="AQ265" s="272"/>
      <c r="AR265" s="272"/>
      <c r="AS265" s="272"/>
      <c r="AT265" s="272"/>
      <c r="AU265" s="286"/>
    </row>
    <row r="266" spans="1:47" ht="60" customHeight="1" x14ac:dyDescent="0.35">
      <c r="A266" s="282" t="s">
        <v>7111</v>
      </c>
      <c r="B266" s="260" t="s">
        <v>7243</v>
      </c>
      <c r="C266" s="261" t="s">
        <v>7247</v>
      </c>
      <c r="D266" s="264" t="s">
        <v>7248</v>
      </c>
      <c r="E266" s="265" t="s">
        <v>6741</v>
      </c>
      <c r="F266" s="268" t="s">
        <v>7246</v>
      </c>
      <c r="G266" s="271" t="str">
        <f>IF(COUNTIF(H266:AU266,"&lt;&gt;")=0,"",SUMPRODUCT(((Recommendations[ImplStatus]="Implemented")+(Recommendations[ImplStatus]="Compensated"))*ISNUMBER(MATCH(Recommendations[Id],H266:AU266,0)))/COUNTIF(H266:AU266,"&lt;&gt;"))</f>
        <v/>
      </c>
      <c r="H266" s="272"/>
      <c r="I266" s="272"/>
      <c r="J266" s="272"/>
      <c r="K266" s="272"/>
      <c r="L266" s="272"/>
      <c r="M266" s="272"/>
      <c r="N266" s="272"/>
      <c r="O266" s="272"/>
      <c r="P266" s="272"/>
      <c r="Q266" s="272"/>
      <c r="R266" s="272"/>
      <c r="S266" s="272"/>
      <c r="T266" s="272"/>
      <c r="U266" s="272"/>
      <c r="V266" s="272"/>
      <c r="W266" s="272"/>
      <c r="X266" s="272"/>
      <c r="Y266" s="272"/>
      <c r="Z266" s="272"/>
      <c r="AA266" s="272"/>
      <c r="AB266" s="272"/>
      <c r="AC266" s="272"/>
      <c r="AD266" s="272"/>
      <c r="AE266" s="272"/>
      <c r="AF266" s="272"/>
      <c r="AG266" s="272"/>
      <c r="AH266" s="272"/>
      <c r="AI266" s="272"/>
      <c r="AJ266" s="272"/>
      <c r="AK266" s="272"/>
      <c r="AL266" s="272"/>
      <c r="AM266" s="272"/>
      <c r="AN266" s="272"/>
      <c r="AO266" s="272"/>
      <c r="AP266" s="272"/>
      <c r="AQ266" s="272"/>
      <c r="AR266" s="272"/>
      <c r="AS266" s="272"/>
      <c r="AT266" s="272"/>
      <c r="AU266" s="286"/>
    </row>
    <row r="267" spans="1:47" ht="60" customHeight="1" x14ac:dyDescent="0.35">
      <c r="A267" s="282" t="s">
        <v>7111</v>
      </c>
      <c r="B267" s="260" t="s">
        <v>7243</v>
      </c>
      <c r="C267" s="261" t="s">
        <v>7249</v>
      </c>
      <c r="D267" s="264" t="s">
        <v>7250</v>
      </c>
      <c r="E267" s="265" t="s">
        <v>6741</v>
      </c>
      <c r="F267" s="268" t="s">
        <v>7246</v>
      </c>
      <c r="G267" s="271" t="str">
        <f>IF(COUNTIF(H267:AU267,"&lt;&gt;")=0,"",SUMPRODUCT(((Recommendations[ImplStatus]="Implemented")+(Recommendations[ImplStatus]="Compensated"))*ISNUMBER(MATCH(Recommendations[Id],H267:AU267,0)))/COUNTIF(H267:AU267,"&lt;&gt;"))</f>
        <v/>
      </c>
      <c r="H267" s="272"/>
      <c r="I267" s="272"/>
      <c r="J267" s="272"/>
      <c r="K267" s="272"/>
      <c r="L267" s="272"/>
      <c r="M267" s="272"/>
      <c r="N267" s="272"/>
      <c r="O267" s="272"/>
      <c r="P267" s="272"/>
      <c r="Q267" s="272"/>
      <c r="R267" s="272"/>
      <c r="S267" s="272"/>
      <c r="T267" s="272"/>
      <c r="U267" s="272"/>
      <c r="V267" s="272"/>
      <c r="W267" s="272"/>
      <c r="X267" s="272"/>
      <c r="Y267" s="272"/>
      <c r="Z267" s="272"/>
      <c r="AA267" s="272"/>
      <c r="AB267" s="272"/>
      <c r="AC267" s="272"/>
      <c r="AD267" s="272"/>
      <c r="AE267" s="272"/>
      <c r="AF267" s="272"/>
      <c r="AG267" s="272"/>
      <c r="AH267" s="272"/>
      <c r="AI267" s="272"/>
      <c r="AJ267" s="272"/>
      <c r="AK267" s="272"/>
      <c r="AL267" s="272"/>
      <c r="AM267" s="272"/>
      <c r="AN267" s="272"/>
      <c r="AO267" s="272"/>
      <c r="AP267" s="272"/>
      <c r="AQ267" s="272"/>
      <c r="AR267" s="272"/>
      <c r="AS267" s="272"/>
      <c r="AT267" s="272"/>
      <c r="AU267" s="286"/>
    </row>
    <row r="268" spans="1:47" ht="60" customHeight="1" x14ac:dyDescent="0.35">
      <c r="A268" s="282" t="s">
        <v>7111</v>
      </c>
      <c r="B268" s="260" t="s">
        <v>7243</v>
      </c>
      <c r="C268" s="261" t="s">
        <v>7251</v>
      </c>
      <c r="D268" s="264" t="s">
        <v>7252</v>
      </c>
      <c r="E268" s="265" t="s">
        <v>6741</v>
      </c>
      <c r="F268" s="268" t="s">
        <v>7246</v>
      </c>
      <c r="G268" s="271" t="str">
        <f>IF(COUNTIF(H268:AU268,"&lt;&gt;")=0,"",SUMPRODUCT(((Recommendations[ImplStatus]="Implemented")+(Recommendations[ImplStatus]="Compensated"))*ISNUMBER(MATCH(Recommendations[Id],H268:AU268,0)))/COUNTIF(H268:AU268,"&lt;&gt;"))</f>
        <v/>
      </c>
      <c r="H268" s="272"/>
      <c r="I268" s="272"/>
      <c r="J268" s="272"/>
      <c r="K268" s="272"/>
      <c r="L268" s="272"/>
      <c r="M268" s="272"/>
      <c r="N268" s="272"/>
      <c r="O268" s="272"/>
      <c r="P268" s="272"/>
      <c r="Q268" s="272"/>
      <c r="R268" s="272"/>
      <c r="S268" s="272"/>
      <c r="T268" s="272"/>
      <c r="U268" s="272"/>
      <c r="V268" s="272"/>
      <c r="W268" s="272"/>
      <c r="X268" s="272"/>
      <c r="Y268" s="272"/>
      <c r="Z268" s="272"/>
      <c r="AA268" s="272"/>
      <c r="AB268" s="272"/>
      <c r="AC268" s="272"/>
      <c r="AD268" s="272"/>
      <c r="AE268" s="272"/>
      <c r="AF268" s="272"/>
      <c r="AG268" s="272"/>
      <c r="AH268" s="272"/>
      <c r="AI268" s="272"/>
      <c r="AJ268" s="272"/>
      <c r="AK268" s="272"/>
      <c r="AL268" s="272"/>
      <c r="AM268" s="272"/>
      <c r="AN268" s="272"/>
      <c r="AO268" s="272"/>
      <c r="AP268" s="272"/>
      <c r="AQ268" s="272"/>
      <c r="AR268" s="272"/>
      <c r="AS268" s="272"/>
      <c r="AT268" s="272"/>
      <c r="AU268" s="286"/>
    </row>
    <row r="269" spans="1:47" ht="60" customHeight="1" x14ac:dyDescent="0.35">
      <c r="A269" s="282" t="s">
        <v>7111</v>
      </c>
      <c r="B269" s="260" t="s">
        <v>7243</v>
      </c>
      <c r="C269" s="261" t="s">
        <v>7253</v>
      </c>
      <c r="D269" s="264" t="s">
        <v>7254</v>
      </c>
      <c r="E269" s="265" t="s">
        <v>6741</v>
      </c>
      <c r="F269" s="268" t="s">
        <v>7246</v>
      </c>
      <c r="G269" s="271" t="str">
        <f>IF(COUNTIF(H269:AU269,"&lt;&gt;")=0,"",SUMPRODUCT(((Recommendations[ImplStatus]="Implemented")+(Recommendations[ImplStatus]="Compensated"))*ISNUMBER(MATCH(Recommendations[Id],H269:AU269,0)))/COUNTIF(H269:AU269,"&lt;&gt;"))</f>
        <v/>
      </c>
      <c r="H269" s="272"/>
      <c r="I269" s="272"/>
      <c r="J269" s="272"/>
      <c r="K269" s="272"/>
      <c r="L269" s="272"/>
      <c r="M269" s="272"/>
      <c r="N269" s="272"/>
      <c r="O269" s="272"/>
      <c r="P269" s="272"/>
      <c r="Q269" s="272"/>
      <c r="R269" s="272"/>
      <c r="S269" s="272"/>
      <c r="T269" s="272"/>
      <c r="U269" s="272"/>
      <c r="V269" s="272"/>
      <c r="W269" s="272"/>
      <c r="X269" s="272"/>
      <c r="Y269" s="272"/>
      <c r="Z269" s="272"/>
      <c r="AA269" s="272"/>
      <c r="AB269" s="272"/>
      <c r="AC269" s="272"/>
      <c r="AD269" s="272"/>
      <c r="AE269" s="272"/>
      <c r="AF269" s="272"/>
      <c r="AG269" s="272"/>
      <c r="AH269" s="272"/>
      <c r="AI269" s="272"/>
      <c r="AJ269" s="272"/>
      <c r="AK269" s="272"/>
      <c r="AL269" s="272"/>
      <c r="AM269" s="272"/>
      <c r="AN269" s="272"/>
      <c r="AO269" s="272"/>
      <c r="AP269" s="272"/>
      <c r="AQ269" s="272"/>
      <c r="AR269" s="272"/>
      <c r="AS269" s="272"/>
      <c r="AT269" s="272"/>
      <c r="AU269" s="286"/>
    </row>
    <row r="270" spans="1:47" ht="60" customHeight="1" x14ac:dyDescent="0.35">
      <c r="A270" s="282" t="s">
        <v>7111</v>
      </c>
      <c r="B270" s="260" t="s">
        <v>7243</v>
      </c>
      <c r="C270" s="261" t="s">
        <v>7255</v>
      </c>
      <c r="D270" s="264" t="s">
        <v>7256</v>
      </c>
      <c r="E270" s="265" t="s">
        <v>6741</v>
      </c>
      <c r="F270" s="268" t="s">
        <v>7246</v>
      </c>
      <c r="G270" s="271" t="str">
        <f>IF(COUNTIF(H270:AU270,"&lt;&gt;")=0,"",SUMPRODUCT(((Recommendations[ImplStatus]="Implemented")+(Recommendations[ImplStatus]="Compensated"))*ISNUMBER(MATCH(Recommendations[Id],H270:AU270,0)))/COUNTIF(H270:AU270,"&lt;&gt;"))</f>
        <v/>
      </c>
      <c r="H270" s="272"/>
      <c r="I270" s="272"/>
      <c r="J270" s="272"/>
      <c r="K270" s="272"/>
      <c r="L270" s="272"/>
      <c r="M270" s="272"/>
      <c r="N270" s="272"/>
      <c r="O270" s="272"/>
      <c r="P270" s="272"/>
      <c r="Q270" s="272"/>
      <c r="R270" s="272"/>
      <c r="S270" s="272"/>
      <c r="T270" s="272"/>
      <c r="U270" s="272"/>
      <c r="V270" s="272"/>
      <c r="W270" s="272"/>
      <c r="X270" s="272"/>
      <c r="Y270" s="272"/>
      <c r="Z270" s="272"/>
      <c r="AA270" s="272"/>
      <c r="AB270" s="272"/>
      <c r="AC270" s="272"/>
      <c r="AD270" s="272"/>
      <c r="AE270" s="272"/>
      <c r="AF270" s="272"/>
      <c r="AG270" s="272"/>
      <c r="AH270" s="272"/>
      <c r="AI270" s="272"/>
      <c r="AJ270" s="272"/>
      <c r="AK270" s="272"/>
      <c r="AL270" s="272"/>
      <c r="AM270" s="272"/>
      <c r="AN270" s="272"/>
      <c r="AO270" s="272"/>
      <c r="AP270" s="272"/>
      <c r="AQ270" s="272"/>
      <c r="AR270" s="272"/>
      <c r="AS270" s="272"/>
      <c r="AT270" s="272"/>
      <c r="AU270" s="286"/>
    </row>
    <row r="271" spans="1:47" ht="60" customHeight="1" x14ac:dyDescent="0.35">
      <c r="A271" s="282" t="s">
        <v>7111</v>
      </c>
      <c r="B271" s="260" t="s">
        <v>7243</v>
      </c>
      <c r="C271" s="261" t="s">
        <v>7257</v>
      </c>
      <c r="D271" s="264" t="s">
        <v>7258</v>
      </c>
      <c r="E271" s="265" t="s">
        <v>6741</v>
      </c>
      <c r="F271" s="268" t="s">
        <v>7246</v>
      </c>
      <c r="G271" s="271" t="str">
        <f>IF(COUNTIF(H271:AU271,"&lt;&gt;")=0,"",SUMPRODUCT(((Recommendations[ImplStatus]="Implemented")+(Recommendations[ImplStatus]="Compensated"))*ISNUMBER(MATCH(Recommendations[Id],H271:AU271,0)))/COUNTIF(H271:AU271,"&lt;&gt;"))</f>
        <v/>
      </c>
      <c r="H271" s="272"/>
      <c r="I271" s="272"/>
      <c r="J271" s="272"/>
      <c r="K271" s="272"/>
      <c r="L271" s="272"/>
      <c r="M271" s="272"/>
      <c r="N271" s="272"/>
      <c r="O271" s="272"/>
      <c r="P271" s="272"/>
      <c r="Q271" s="272"/>
      <c r="R271" s="272"/>
      <c r="S271" s="272"/>
      <c r="T271" s="272"/>
      <c r="U271" s="272"/>
      <c r="V271" s="272"/>
      <c r="W271" s="272"/>
      <c r="X271" s="272"/>
      <c r="Y271" s="272"/>
      <c r="Z271" s="272"/>
      <c r="AA271" s="272"/>
      <c r="AB271" s="272"/>
      <c r="AC271" s="272"/>
      <c r="AD271" s="272"/>
      <c r="AE271" s="272"/>
      <c r="AF271" s="272"/>
      <c r="AG271" s="272"/>
      <c r="AH271" s="272"/>
      <c r="AI271" s="272"/>
      <c r="AJ271" s="272"/>
      <c r="AK271" s="272"/>
      <c r="AL271" s="272"/>
      <c r="AM271" s="272"/>
      <c r="AN271" s="272"/>
      <c r="AO271" s="272"/>
      <c r="AP271" s="272"/>
      <c r="AQ271" s="272"/>
      <c r="AR271" s="272"/>
      <c r="AS271" s="272"/>
      <c r="AT271" s="272"/>
      <c r="AU271" s="286"/>
    </row>
    <row r="272" spans="1:47" ht="60" customHeight="1" x14ac:dyDescent="0.35">
      <c r="A272" s="282" t="s">
        <v>7111</v>
      </c>
      <c r="B272" s="260" t="s">
        <v>7243</v>
      </c>
      <c r="C272" s="261" t="s">
        <v>7259</v>
      </c>
      <c r="D272" s="264" t="s">
        <v>7260</v>
      </c>
      <c r="E272" s="265" t="s">
        <v>6741</v>
      </c>
      <c r="F272" s="268" t="s">
        <v>7246</v>
      </c>
      <c r="G272" s="271" t="str">
        <f>IF(COUNTIF(H272:AU272,"&lt;&gt;")=0,"",SUMPRODUCT(((Recommendations[ImplStatus]="Implemented")+(Recommendations[ImplStatus]="Compensated"))*ISNUMBER(MATCH(Recommendations[Id],H272:AU272,0)))/COUNTIF(H272:AU272,"&lt;&gt;"))</f>
        <v/>
      </c>
      <c r="H272" s="272"/>
      <c r="I272" s="272"/>
      <c r="J272" s="272"/>
      <c r="K272" s="272"/>
      <c r="L272" s="272"/>
      <c r="M272" s="272"/>
      <c r="N272" s="272"/>
      <c r="O272" s="272"/>
      <c r="P272" s="272"/>
      <c r="Q272" s="272"/>
      <c r="R272" s="272"/>
      <c r="S272" s="272"/>
      <c r="T272" s="272"/>
      <c r="U272" s="272"/>
      <c r="V272" s="272"/>
      <c r="W272" s="272"/>
      <c r="X272" s="272"/>
      <c r="Y272" s="272"/>
      <c r="Z272" s="272"/>
      <c r="AA272" s="272"/>
      <c r="AB272" s="272"/>
      <c r="AC272" s="272"/>
      <c r="AD272" s="272"/>
      <c r="AE272" s="272"/>
      <c r="AF272" s="272"/>
      <c r="AG272" s="272"/>
      <c r="AH272" s="272"/>
      <c r="AI272" s="272"/>
      <c r="AJ272" s="272"/>
      <c r="AK272" s="272"/>
      <c r="AL272" s="272"/>
      <c r="AM272" s="272"/>
      <c r="AN272" s="272"/>
      <c r="AO272" s="272"/>
      <c r="AP272" s="272"/>
      <c r="AQ272" s="272"/>
      <c r="AR272" s="272"/>
      <c r="AS272" s="272"/>
      <c r="AT272" s="272"/>
      <c r="AU272" s="286"/>
    </row>
    <row r="273" spans="1:47" ht="60" customHeight="1" x14ac:dyDescent="0.35">
      <c r="A273" s="282" t="s">
        <v>7111</v>
      </c>
      <c r="B273" s="260" t="s">
        <v>7243</v>
      </c>
      <c r="C273" s="261" t="s">
        <v>7261</v>
      </c>
      <c r="D273" s="264" t="s">
        <v>7262</v>
      </c>
      <c r="E273" s="265" t="s">
        <v>6741</v>
      </c>
      <c r="F273" s="268" t="s">
        <v>7246</v>
      </c>
      <c r="G273" s="271" t="str">
        <f>IF(COUNTIF(H273:AU273,"&lt;&gt;")=0,"",SUMPRODUCT(((Recommendations[ImplStatus]="Implemented")+(Recommendations[ImplStatus]="Compensated"))*ISNUMBER(MATCH(Recommendations[Id],H273:AU273,0)))/COUNTIF(H273:AU273,"&lt;&gt;"))</f>
        <v/>
      </c>
      <c r="H273" s="272"/>
      <c r="I273" s="272"/>
      <c r="J273" s="272"/>
      <c r="K273" s="272"/>
      <c r="L273" s="272"/>
      <c r="M273" s="272"/>
      <c r="N273" s="272"/>
      <c r="O273" s="272"/>
      <c r="P273" s="272"/>
      <c r="Q273" s="272"/>
      <c r="R273" s="272"/>
      <c r="S273" s="272"/>
      <c r="T273" s="272"/>
      <c r="U273" s="272"/>
      <c r="V273" s="272"/>
      <c r="W273" s="272"/>
      <c r="X273" s="272"/>
      <c r="Y273" s="272"/>
      <c r="Z273" s="272"/>
      <c r="AA273" s="272"/>
      <c r="AB273" s="272"/>
      <c r="AC273" s="272"/>
      <c r="AD273" s="272"/>
      <c r="AE273" s="272"/>
      <c r="AF273" s="272"/>
      <c r="AG273" s="272"/>
      <c r="AH273" s="272"/>
      <c r="AI273" s="272"/>
      <c r="AJ273" s="272"/>
      <c r="AK273" s="272"/>
      <c r="AL273" s="272"/>
      <c r="AM273" s="272"/>
      <c r="AN273" s="272"/>
      <c r="AO273" s="272"/>
      <c r="AP273" s="272"/>
      <c r="AQ273" s="272"/>
      <c r="AR273" s="272"/>
      <c r="AS273" s="272"/>
      <c r="AT273" s="272"/>
      <c r="AU273" s="286"/>
    </row>
    <row r="274" spans="1:47" ht="60" customHeight="1" outlineLevel="1" x14ac:dyDescent="0.35">
      <c r="A274" s="280" t="s">
        <v>7263</v>
      </c>
      <c r="B274" s="258"/>
      <c r="C274" s="258"/>
      <c r="D274" s="262"/>
      <c r="E274" s="258"/>
      <c r="F274" s="266"/>
      <c r="G274" s="269" t="str">
        <f>IF(COUNTIF(H274:AU274,"&lt;&gt;")=0,"",SUMPRODUCT(((Recommendations[ImplStatus]="Implemented")+(Recommendations[ImplStatus]="Compensated"))*ISNUMBER(MATCH(Recommendations[Id],H274:AU274,0)))/COUNTIF(H274:AU274,"&lt;&gt;"))</f>
        <v/>
      </c>
      <c r="H274" s="266"/>
      <c r="I274" s="266"/>
      <c r="J274" s="266"/>
      <c r="K274" s="266"/>
      <c r="L274" s="266"/>
      <c r="M274" s="266"/>
      <c r="N274" s="266"/>
      <c r="O274" s="266"/>
      <c r="P274" s="266"/>
      <c r="Q274" s="266"/>
      <c r="R274" s="266"/>
      <c r="S274" s="266"/>
      <c r="T274" s="266"/>
      <c r="U274" s="266"/>
      <c r="V274" s="266"/>
      <c r="W274" s="266"/>
      <c r="X274" s="266"/>
      <c r="Y274" s="266"/>
      <c r="Z274" s="266"/>
      <c r="AA274" s="266"/>
      <c r="AB274" s="266"/>
      <c r="AC274" s="266"/>
      <c r="AD274" s="266"/>
      <c r="AE274" s="266"/>
      <c r="AF274" s="266"/>
      <c r="AG274" s="266"/>
      <c r="AH274" s="266"/>
      <c r="AI274" s="266"/>
      <c r="AJ274" s="266"/>
      <c r="AK274" s="266"/>
      <c r="AL274" s="266"/>
      <c r="AM274" s="266"/>
      <c r="AN274" s="266"/>
      <c r="AO274" s="266"/>
      <c r="AP274" s="266"/>
      <c r="AQ274" s="266"/>
      <c r="AR274" s="266"/>
      <c r="AS274" s="266"/>
      <c r="AT274" s="266"/>
      <c r="AU274" s="284"/>
    </row>
    <row r="275" spans="1:47" ht="60" customHeight="1" outlineLevel="2" x14ac:dyDescent="0.35">
      <c r="A275" s="281" t="s">
        <v>7263</v>
      </c>
      <c r="B275" s="259" t="s">
        <v>7264</v>
      </c>
      <c r="C275" s="259"/>
      <c r="D275" s="263"/>
      <c r="E275" s="259"/>
      <c r="F275" s="267"/>
      <c r="G275" s="270" t="str">
        <f>IF(COUNTIF(H275:AU275,"&lt;&gt;")=0,"",SUMPRODUCT(((Recommendations[ImplStatus]="Implemented")+(Recommendations[ImplStatus]="Compensated"))*ISNUMBER(MATCH(Recommendations[Id],H275:AU275,0)))/COUNTIF(H275:AU275,"&lt;&gt;"))</f>
        <v/>
      </c>
      <c r="H275" s="267"/>
      <c r="I275" s="267"/>
      <c r="J275" s="267"/>
      <c r="K275" s="267"/>
      <c r="L275" s="267"/>
      <c r="M275" s="267"/>
      <c r="N275" s="267"/>
      <c r="O275" s="267"/>
      <c r="P275" s="267"/>
      <c r="Q275" s="267"/>
      <c r="R275" s="267"/>
      <c r="S275" s="267"/>
      <c r="T275" s="267"/>
      <c r="U275" s="267"/>
      <c r="V275" s="267"/>
      <c r="W275" s="267"/>
      <c r="X275" s="267"/>
      <c r="Y275" s="267"/>
      <c r="Z275" s="267"/>
      <c r="AA275" s="267"/>
      <c r="AB275" s="267"/>
      <c r="AC275" s="267"/>
      <c r="AD275" s="267"/>
      <c r="AE275" s="267"/>
      <c r="AF275" s="267"/>
      <c r="AG275" s="267"/>
      <c r="AH275" s="267"/>
      <c r="AI275" s="267"/>
      <c r="AJ275" s="267"/>
      <c r="AK275" s="267"/>
      <c r="AL275" s="267"/>
      <c r="AM275" s="267"/>
      <c r="AN275" s="267"/>
      <c r="AO275" s="267"/>
      <c r="AP275" s="267"/>
      <c r="AQ275" s="267"/>
      <c r="AR275" s="267"/>
      <c r="AS275" s="267"/>
      <c r="AT275" s="267"/>
      <c r="AU275" s="285"/>
    </row>
    <row r="276" spans="1:47" ht="60" customHeight="1" x14ac:dyDescent="0.35">
      <c r="A276" s="282" t="s">
        <v>7263</v>
      </c>
      <c r="B276" s="260" t="s">
        <v>7264</v>
      </c>
      <c r="C276" s="261" t="s">
        <v>7265</v>
      </c>
      <c r="D276" s="264" t="s">
        <v>7266</v>
      </c>
      <c r="E276" s="265" t="s">
        <v>6712</v>
      </c>
      <c r="F276" s="268" t="s">
        <v>7267</v>
      </c>
      <c r="G276" s="271" t="str">
        <f>IF(COUNTIF(H276:AU276,"&lt;&gt;")=0,"",SUMPRODUCT(((Recommendations[ImplStatus]="Implemented")+(Recommendations[ImplStatus]="Compensated"))*ISNUMBER(MATCH(Recommendations[Id],H276:AU276,0)))/COUNTIF(H276:AU276,"&lt;&gt;"))</f>
        <v/>
      </c>
      <c r="H276" s="272"/>
      <c r="I276" s="272"/>
      <c r="J276" s="272"/>
      <c r="K276" s="272"/>
      <c r="L276" s="272"/>
      <c r="M276" s="272"/>
      <c r="N276" s="272"/>
      <c r="O276" s="272"/>
      <c r="P276" s="272"/>
      <c r="Q276" s="272"/>
      <c r="R276" s="272"/>
      <c r="S276" s="272"/>
      <c r="T276" s="272"/>
      <c r="U276" s="272"/>
      <c r="V276" s="272"/>
      <c r="W276" s="272"/>
      <c r="X276" s="272"/>
      <c r="Y276" s="272"/>
      <c r="Z276" s="272"/>
      <c r="AA276" s="272"/>
      <c r="AB276" s="272"/>
      <c r="AC276" s="272"/>
      <c r="AD276" s="272"/>
      <c r="AE276" s="272"/>
      <c r="AF276" s="272"/>
      <c r="AG276" s="272"/>
      <c r="AH276" s="272"/>
      <c r="AI276" s="272"/>
      <c r="AJ276" s="272"/>
      <c r="AK276" s="272"/>
      <c r="AL276" s="272"/>
      <c r="AM276" s="272"/>
      <c r="AN276" s="272"/>
      <c r="AO276" s="272"/>
      <c r="AP276" s="272"/>
      <c r="AQ276" s="272"/>
      <c r="AR276" s="272"/>
      <c r="AS276" s="272"/>
      <c r="AT276" s="272"/>
      <c r="AU276" s="286"/>
    </row>
    <row r="277" spans="1:47" ht="60" customHeight="1" x14ac:dyDescent="0.35">
      <c r="A277" s="282" t="s">
        <v>7263</v>
      </c>
      <c r="B277" s="260" t="s">
        <v>7264</v>
      </c>
      <c r="C277" s="261" t="s">
        <v>7268</v>
      </c>
      <c r="D277" s="264" t="s">
        <v>7269</v>
      </c>
      <c r="E277" s="265" t="s">
        <v>6712</v>
      </c>
      <c r="F277" s="268" t="s">
        <v>7267</v>
      </c>
      <c r="G277" s="271" t="str">
        <f>IF(COUNTIF(H277:AU277,"&lt;&gt;")=0,"",SUMPRODUCT(((Recommendations[ImplStatus]="Implemented")+(Recommendations[ImplStatus]="Compensated"))*ISNUMBER(MATCH(Recommendations[Id],H277:AU277,0)))/COUNTIF(H277:AU277,"&lt;&gt;"))</f>
        <v/>
      </c>
      <c r="H277" s="272"/>
      <c r="I277" s="272"/>
      <c r="J277" s="272"/>
      <c r="K277" s="272"/>
      <c r="L277" s="272"/>
      <c r="M277" s="272"/>
      <c r="N277" s="272"/>
      <c r="O277" s="272"/>
      <c r="P277" s="272"/>
      <c r="Q277" s="272"/>
      <c r="R277" s="272"/>
      <c r="S277" s="272"/>
      <c r="T277" s="272"/>
      <c r="U277" s="272"/>
      <c r="V277" s="272"/>
      <c r="W277" s="272"/>
      <c r="X277" s="272"/>
      <c r="Y277" s="272"/>
      <c r="Z277" s="272"/>
      <c r="AA277" s="272"/>
      <c r="AB277" s="272"/>
      <c r="AC277" s="272"/>
      <c r="AD277" s="272"/>
      <c r="AE277" s="272"/>
      <c r="AF277" s="272"/>
      <c r="AG277" s="272"/>
      <c r="AH277" s="272"/>
      <c r="AI277" s="272"/>
      <c r="AJ277" s="272"/>
      <c r="AK277" s="272"/>
      <c r="AL277" s="272"/>
      <c r="AM277" s="272"/>
      <c r="AN277" s="272"/>
      <c r="AO277" s="272"/>
      <c r="AP277" s="272"/>
      <c r="AQ277" s="272"/>
      <c r="AR277" s="272"/>
      <c r="AS277" s="272"/>
      <c r="AT277" s="272"/>
      <c r="AU277" s="286"/>
    </row>
    <row r="278" spans="1:47" ht="60" customHeight="1" x14ac:dyDescent="0.35">
      <c r="A278" s="282" t="s">
        <v>7263</v>
      </c>
      <c r="B278" s="260" t="s">
        <v>7264</v>
      </c>
      <c r="C278" s="261" t="s">
        <v>7270</v>
      </c>
      <c r="D278" s="264" t="s">
        <v>7271</v>
      </c>
      <c r="E278" s="265" t="s">
        <v>6712</v>
      </c>
      <c r="F278" s="268" t="s">
        <v>7267</v>
      </c>
      <c r="G278" s="271" t="str">
        <f>IF(COUNTIF(H278:AU278,"&lt;&gt;")=0,"",SUMPRODUCT(((Recommendations[ImplStatus]="Implemented")+(Recommendations[ImplStatus]="Compensated"))*ISNUMBER(MATCH(Recommendations[Id],H278:AU278,0)))/COUNTIF(H278:AU278,"&lt;&gt;"))</f>
        <v/>
      </c>
      <c r="H278" s="272"/>
      <c r="I278" s="272"/>
      <c r="J278" s="272"/>
      <c r="K278" s="272"/>
      <c r="L278" s="272"/>
      <c r="M278" s="272"/>
      <c r="N278" s="272"/>
      <c r="O278" s="272"/>
      <c r="P278" s="272"/>
      <c r="Q278" s="272"/>
      <c r="R278" s="272"/>
      <c r="S278" s="272"/>
      <c r="T278" s="272"/>
      <c r="U278" s="272"/>
      <c r="V278" s="272"/>
      <c r="W278" s="272"/>
      <c r="X278" s="272"/>
      <c r="Y278" s="272"/>
      <c r="Z278" s="272"/>
      <c r="AA278" s="272"/>
      <c r="AB278" s="272"/>
      <c r="AC278" s="272"/>
      <c r="AD278" s="272"/>
      <c r="AE278" s="272"/>
      <c r="AF278" s="272"/>
      <c r="AG278" s="272"/>
      <c r="AH278" s="272"/>
      <c r="AI278" s="272"/>
      <c r="AJ278" s="272"/>
      <c r="AK278" s="272"/>
      <c r="AL278" s="272"/>
      <c r="AM278" s="272"/>
      <c r="AN278" s="272"/>
      <c r="AO278" s="272"/>
      <c r="AP278" s="272"/>
      <c r="AQ278" s="272"/>
      <c r="AR278" s="272"/>
      <c r="AS278" s="272"/>
      <c r="AT278" s="272"/>
      <c r="AU278" s="286"/>
    </row>
    <row r="279" spans="1:47" ht="60" customHeight="1" x14ac:dyDescent="0.35">
      <c r="A279" s="282" t="s">
        <v>7263</v>
      </c>
      <c r="B279" s="260" t="s">
        <v>7264</v>
      </c>
      <c r="C279" s="261" t="s">
        <v>7272</v>
      </c>
      <c r="D279" s="264" t="s">
        <v>7273</v>
      </c>
      <c r="E279" s="265" t="s">
        <v>6712</v>
      </c>
      <c r="F279" s="268" t="s">
        <v>7267</v>
      </c>
      <c r="G279" s="271" t="str">
        <f>IF(COUNTIF(H279:AU279,"&lt;&gt;")=0,"",SUMPRODUCT(((Recommendations[ImplStatus]="Implemented")+(Recommendations[ImplStatus]="Compensated"))*ISNUMBER(MATCH(Recommendations[Id],H279:AU279,0)))/COUNTIF(H279:AU279,"&lt;&gt;"))</f>
        <v/>
      </c>
      <c r="H279" s="272"/>
      <c r="I279" s="272"/>
      <c r="J279" s="272"/>
      <c r="K279" s="272"/>
      <c r="L279" s="272"/>
      <c r="M279" s="272"/>
      <c r="N279" s="272"/>
      <c r="O279" s="272"/>
      <c r="P279" s="272"/>
      <c r="Q279" s="272"/>
      <c r="R279" s="272"/>
      <c r="S279" s="272"/>
      <c r="T279" s="272"/>
      <c r="U279" s="272"/>
      <c r="V279" s="272"/>
      <c r="W279" s="272"/>
      <c r="X279" s="272"/>
      <c r="Y279" s="272"/>
      <c r="Z279" s="272"/>
      <c r="AA279" s="272"/>
      <c r="AB279" s="272"/>
      <c r="AC279" s="272"/>
      <c r="AD279" s="272"/>
      <c r="AE279" s="272"/>
      <c r="AF279" s="272"/>
      <c r="AG279" s="272"/>
      <c r="AH279" s="272"/>
      <c r="AI279" s="272"/>
      <c r="AJ279" s="272"/>
      <c r="AK279" s="272"/>
      <c r="AL279" s="272"/>
      <c r="AM279" s="272"/>
      <c r="AN279" s="272"/>
      <c r="AO279" s="272"/>
      <c r="AP279" s="272"/>
      <c r="AQ279" s="272"/>
      <c r="AR279" s="272"/>
      <c r="AS279" s="272"/>
      <c r="AT279" s="272"/>
      <c r="AU279" s="286"/>
    </row>
    <row r="280" spans="1:47" ht="60" customHeight="1" x14ac:dyDescent="0.35">
      <c r="A280" s="282" t="s">
        <v>7263</v>
      </c>
      <c r="B280" s="260" t="s">
        <v>7264</v>
      </c>
      <c r="C280" s="261" t="s">
        <v>7274</v>
      </c>
      <c r="D280" s="264" t="s">
        <v>7275</v>
      </c>
      <c r="E280" s="265" t="s">
        <v>6712</v>
      </c>
      <c r="F280" s="268" t="s">
        <v>7267</v>
      </c>
      <c r="G280" s="271" t="str">
        <f>IF(COUNTIF(H280:AU280,"&lt;&gt;")=0,"",SUMPRODUCT(((Recommendations[ImplStatus]="Implemented")+(Recommendations[ImplStatus]="Compensated"))*ISNUMBER(MATCH(Recommendations[Id],H280:AU280,0)))/COUNTIF(H280:AU280,"&lt;&gt;"))</f>
        <v/>
      </c>
      <c r="H280" s="272"/>
      <c r="I280" s="272"/>
      <c r="J280" s="272"/>
      <c r="K280" s="272"/>
      <c r="L280" s="272"/>
      <c r="M280" s="272"/>
      <c r="N280" s="272"/>
      <c r="O280" s="272"/>
      <c r="P280" s="272"/>
      <c r="Q280" s="272"/>
      <c r="R280" s="272"/>
      <c r="S280" s="272"/>
      <c r="T280" s="272"/>
      <c r="U280" s="272"/>
      <c r="V280" s="272"/>
      <c r="W280" s="272"/>
      <c r="X280" s="272"/>
      <c r="Y280" s="272"/>
      <c r="Z280" s="272"/>
      <c r="AA280" s="272"/>
      <c r="AB280" s="272"/>
      <c r="AC280" s="272"/>
      <c r="AD280" s="272"/>
      <c r="AE280" s="272"/>
      <c r="AF280" s="272"/>
      <c r="AG280" s="272"/>
      <c r="AH280" s="272"/>
      <c r="AI280" s="272"/>
      <c r="AJ280" s="272"/>
      <c r="AK280" s="272"/>
      <c r="AL280" s="272"/>
      <c r="AM280" s="272"/>
      <c r="AN280" s="272"/>
      <c r="AO280" s="272"/>
      <c r="AP280" s="272"/>
      <c r="AQ280" s="272"/>
      <c r="AR280" s="272"/>
      <c r="AS280" s="272"/>
      <c r="AT280" s="272"/>
      <c r="AU280" s="286"/>
    </row>
    <row r="281" spans="1:47" ht="60" customHeight="1" x14ac:dyDescent="0.35">
      <c r="A281" s="282" t="s">
        <v>7263</v>
      </c>
      <c r="B281" s="260" t="s">
        <v>7264</v>
      </c>
      <c r="C281" s="261" t="s">
        <v>7276</v>
      </c>
      <c r="D281" s="264" t="s">
        <v>7277</v>
      </c>
      <c r="E281" s="265" t="s">
        <v>6712</v>
      </c>
      <c r="F281" s="268" t="s">
        <v>7267</v>
      </c>
      <c r="G281" s="271" t="str">
        <f>IF(COUNTIF(H281:AU281,"&lt;&gt;")=0,"",SUMPRODUCT(((Recommendations[ImplStatus]="Implemented")+(Recommendations[ImplStatus]="Compensated"))*ISNUMBER(MATCH(Recommendations[Id],H281:AU281,0)))/COUNTIF(H281:AU281,"&lt;&gt;"))</f>
        <v/>
      </c>
      <c r="H281" s="272"/>
      <c r="I281" s="272"/>
      <c r="J281" s="272"/>
      <c r="K281" s="272"/>
      <c r="L281" s="272"/>
      <c r="M281" s="272"/>
      <c r="N281" s="272"/>
      <c r="O281" s="272"/>
      <c r="P281" s="272"/>
      <c r="Q281" s="272"/>
      <c r="R281" s="272"/>
      <c r="S281" s="272"/>
      <c r="T281" s="272"/>
      <c r="U281" s="272"/>
      <c r="V281" s="272"/>
      <c r="W281" s="272"/>
      <c r="X281" s="272"/>
      <c r="Y281" s="272"/>
      <c r="Z281" s="272"/>
      <c r="AA281" s="272"/>
      <c r="AB281" s="272"/>
      <c r="AC281" s="272"/>
      <c r="AD281" s="272"/>
      <c r="AE281" s="272"/>
      <c r="AF281" s="272"/>
      <c r="AG281" s="272"/>
      <c r="AH281" s="272"/>
      <c r="AI281" s="272"/>
      <c r="AJ281" s="272"/>
      <c r="AK281" s="272"/>
      <c r="AL281" s="272"/>
      <c r="AM281" s="272"/>
      <c r="AN281" s="272"/>
      <c r="AO281" s="272"/>
      <c r="AP281" s="272"/>
      <c r="AQ281" s="272"/>
      <c r="AR281" s="272"/>
      <c r="AS281" s="272"/>
      <c r="AT281" s="272"/>
      <c r="AU281" s="286"/>
    </row>
    <row r="282" spans="1:47" ht="60" customHeight="1" x14ac:dyDescent="0.35">
      <c r="A282" s="282" t="s">
        <v>7263</v>
      </c>
      <c r="B282" s="260" t="s">
        <v>7264</v>
      </c>
      <c r="C282" s="261" t="s">
        <v>7278</v>
      </c>
      <c r="D282" s="264" t="s">
        <v>7279</v>
      </c>
      <c r="E282" s="265" t="s">
        <v>6712</v>
      </c>
      <c r="F282" s="268" t="s">
        <v>7267</v>
      </c>
      <c r="G282" s="271" t="str">
        <f>IF(COUNTIF(H282:AU282,"&lt;&gt;")=0,"",SUMPRODUCT(((Recommendations[ImplStatus]="Implemented")+(Recommendations[ImplStatus]="Compensated"))*ISNUMBER(MATCH(Recommendations[Id],H282:AU282,0)))/COUNTIF(H282:AU282,"&lt;&gt;"))</f>
        <v/>
      </c>
      <c r="H282" s="272"/>
      <c r="I282" s="272"/>
      <c r="J282" s="272"/>
      <c r="K282" s="272"/>
      <c r="L282" s="272"/>
      <c r="M282" s="272"/>
      <c r="N282" s="272"/>
      <c r="O282" s="272"/>
      <c r="P282" s="272"/>
      <c r="Q282" s="272"/>
      <c r="R282" s="272"/>
      <c r="S282" s="272"/>
      <c r="T282" s="272"/>
      <c r="U282" s="272"/>
      <c r="V282" s="272"/>
      <c r="W282" s="272"/>
      <c r="X282" s="272"/>
      <c r="Y282" s="272"/>
      <c r="Z282" s="272"/>
      <c r="AA282" s="272"/>
      <c r="AB282" s="272"/>
      <c r="AC282" s="272"/>
      <c r="AD282" s="272"/>
      <c r="AE282" s="272"/>
      <c r="AF282" s="272"/>
      <c r="AG282" s="272"/>
      <c r="AH282" s="272"/>
      <c r="AI282" s="272"/>
      <c r="AJ282" s="272"/>
      <c r="AK282" s="272"/>
      <c r="AL282" s="272"/>
      <c r="AM282" s="272"/>
      <c r="AN282" s="272"/>
      <c r="AO282" s="272"/>
      <c r="AP282" s="272"/>
      <c r="AQ282" s="272"/>
      <c r="AR282" s="272"/>
      <c r="AS282" s="272"/>
      <c r="AT282" s="272"/>
      <c r="AU282" s="286"/>
    </row>
    <row r="283" spans="1:47" ht="60" customHeight="1" x14ac:dyDescent="0.35">
      <c r="A283" s="282" t="s">
        <v>7263</v>
      </c>
      <c r="B283" s="260" t="s">
        <v>7264</v>
      </c>
      <c r="C283" s="261" t="s">
        <v>7280</v>
      </c>
      <c r="D283" s="264" t="s">
        <v>7281</v>
      </c>
      <c r="E283" s="265" t="s">
        <v>6808</v>
      </c>
      <c r="F283" s="268" t="s">
        <v>7282</v>
      </c>
      <c r="G283" s="271" t="str">
        <f>IF(COUNTIF(H283:AU283,"&lt;&gt;")=0,"",SUMPRODUCT(((Recommendations[ImplStatus]="Implemented")+(Recommendations[ImplStatus]="Compensated"))*ISNUMBER(MATCH(Recommendations[Id],H283:AU283,0)))/COUNTIF(H283:AU283,"&lt;&gt;"))</f>
        <v/>
      </c>
      <c r="H283" s="272"/>
      <c r="I283" s="272"/>
      <c r="J283" s="272"/>
      <c r="K283" s="272"/>
      <c r="L283" s="272"/>
      <c r="M283" s="272"/>
      <c r="N283" s="272"/>
      <c r="O283" s="272"/>
      <c r="P283" s="272"/>
      <c r="Q283" s="272"/>
      <c r="R283" s="272"/>
      <c r="S283" s="272"/>
      <c r="T283" s="272"/>
      <c r="U283" s="272"/>
      <c r="V283" s="272"/>
      <c r="W283" s="272"/>
      <c r="X283" s="272"/>
      <c r="Y283" s="272"/>
      <c r="Z283" s="272"/>
      <c r="AA283" s="272"/>
      <c r="AB283" s="272"/>
      <c r="AC283" s="272"/>
      <c r="AD283" s="272"/>
      <c r="AE283" s="272"/>
      <c r="AF283" s="272"/>
      <c r="AG283" s="272"/>
      <c r="AH283" s="272"/>
      <c r="AI283" s="272"/>
      <c r="AJ283" s="272"/>
      <c r="AK283" s="272"/>
      <c r="AL283" s="272"/>
      <c r="AM283" s="272"/>
      <c r="AN283" s="272"/>
      <c r="AO283" s="272"/>
      <c r="AP283" s="272"/>
      <c r="AQ283" s="272"/>
      <c r="AR283" s="272"/>
      <c r="AS283" s="272"/>
      <c r="AT283" s="272"/>
      <c r="AU283" s="286"/>
    </row>
    <row r="284" spans="1:47" ht="60" customHeight="1" x14ac:dyDescent="0.35">
      <c r="A284" s="282" t="s">
        <v>7263</v>
      </c>
      <c r="B284" s="260" t="s">
        <v>7264</v>
      </c>
      <c r="C284" s="261" t="s">
        <v>7283</v>
      </c>
      <c r="D284" s="264" t="s">
        <v>7284</v>
      </c>
      <c r="E284" s="265" t="s">
        <v>6808</v>
      </c>
      <c r="F284" s="268" t="s">
        <v>7282</v>
      </c>
      <c r="G284" s="271" t="str">
        <f>IF(COUNTIF(H284:AU284,"&lt;&gt;")=0,"",SUMPRODUCT(((Recommendations[ImplStatus]="Implemented")+(Recommendations[ImplStatus]="Compensated"))*ISNUMBER(MATCH(Recommendations[Id],H284:AU284,0)))/COUNTIF(H284:AU284,"&lt;&gt;"))</f>
        <v/>
      </c>
      <c r="H284" s="272"/>
      <c r="I284" s="272"/>
      <c r="J284" s="272"/>
      <c r="K284" s="272"/>
      <c r="L284" s="272"/>
      <c r="M284" s="272"/>
      <c r="N284" s="272"/>
      <c r="O284" s="272"/>
      <c r="P284" s="272"/>
      <c r="Q284" s="272"/>
      <c r="R284" s="272"/>
      <c r="S284" s="272"/>
      <c r="T284" s="272"/>
      <c r="U284" s="272"/>
      <c r="V284" s="272"/>
      <c r="W284" s="272"/>
      <c r="X284" s="272"/>
      <c r="Y284" s="272"/>
      <c r="Z284" s="272"/>
      <c r="AA284" s="272"/>
      <c r="AB284" s="272"/>
      <c r="AC284" s="272"/>
      <c r="AD284" s="272"/>
      <c r="AE284" s="272"/>
      <c r="AF284" s="272"/>
      <c r="AG284" s="272"/>
      <c r="AH284" s="272"/>
      <c r="AI284" s="272"/>
      <c r="AJ284" s="272"/>
      <c r="AK284" s="272"/>
      <c r="AL284" s="272"/>
      <c r="AM284" s="272"/>
      <c r="AN284" s="272"/>
      <c r="AO284" s="272"/>
      <c r="AP284" s="272"/>
      <c r="AQ284" s="272"/>
      <c r="AR284" s="272"/>
      <c r="AS284" s="272"/>
      <c r="AT284" s="272"/>
      <c r="AU284" s="286"/>
    </row>
    <row r="285" spans="1:47" ht="60" customHeight="1" x14ac:dyDescent="0.35">
      <c r="A285" s="282" t="s">
        <v>7263</v>
      </c>
      <c r="B285" s="260" t="s">
        <v>7264</v>
      </c>
      <c r="C285" s="261" t="s">
        <v>7285</v>
      </c>
      <c r="D285" s="264" t="s">
        <v>7286</v>
      </c>
      <c r="E285" s="265" t="s">
        <v>6712</v>
      </c>
      <c r="F285" s="268" t="s">
        <v>7282</v>
      </c>
      <c r="G285" s="271" t="str">
        <f>IF(COUNTIF(H285:AU285,"&lt;&gt;")=0,"",SUMPRODUCT(((Recommendations[ImplStatus]="Implemented")+(Recommendations[ImplStatus]="Compensated"))*ISNUMBER(MATCH(Recommendations[Id],H285:AU285,0)))/COUNTIF(H285:AU285,"&lt;&gt;"))</f>
        <v/>
      </c>
      <c r="H285" s="272"/>
      <c r="I285" s="272"/>
      <c r="J285" s="272"/>
      <c r="K285" s="272"/>
      <c r="L285" s="272"/>
      <c r="M285" s="272"/>
      <c r="N285" s="272"/>
      <c r="O285" s="272"/>
      <c r="P285" s="272"/>
      <c r="Q285" s="272"/>
      <c r="R285" s="272"/>
      <c r="S285" s="272"/>
      <c r="T285" s="272"/>
      <c r="U285" s="272"/>
      <c r="V285" s="272"/>
      <c r="W285" s="272"/>
      <c r="X285" s="272"/>
      <c r="Y285" s="272"/>
      <c r="Z285" s="272"/>
      <c r="AA285" s="272"/>
      <c r="AB285" s="272"/>
      <c r="AC285" s="272"/>
      <c r="AD285" s="272"/>
      <c r="AE285" s="272"/>
      <c r="AF285" s="272"/>
      <c r="AG285" s="272"/>
      <c r="AH285" s="272"/>
      <c r="AI285" s="272"/>
      <c r="AJ285" s="272"/>
      <c r="AK285" s="272"/>
      <c r="AL285" s="272"/>
      <c r="AM285" s="272"/>
      <c r="AN285" s="272"/>
      <c r="AO285" s="272"/>
      <c r="AP285" s="272"/>
      <c r="AQ285" s="272"/>
      <c r="AR285" s="272"/>
      <c r="AS285" s="272"/>
      <c r="AT285" s="272"/>
      <c r="AU285" s="286"/>
    </row>
    <row r="286" spans="1:47" ht="60" customHeight="1" x14ac:dyDescent="0.35">
      <c r="A286" s="282" t="s">
        <v>7263</v>
      </c>
      <c r="B286" s="260" t="s">
        <v>7264</v>
      </c>
      <c r="C286" s="261" t="s">
        <v>7287</v>
      </c>
      <c r="D286" s="264" t="s">
        <v>7288</v>
      </c>
      <c r="E286" s="265" t="s">
        <v>6741</v>
      </c>
      <c r="F286" s="268" t="s">
        <v>7282</v>
      </c>
      <c r="G286" s="271" t="str">
        <f>IF(COUNTIF(H286:AU286,"&lt;&gt;")=0,"",SUMPRODUCT(((Recommendations[ImplStatus]="Implemented")+(Recommendations[ImplStatus]="Compensated"))*ISNUMBER(MATCH(Recommendations[Id],H286:AU286,0)))/COUNTIF(H286:AU286,"&lt;&gt;"))</f>
        <v/>
      </c>
      <c r="H286" s="272"/>
      <c r="I286" s="272"/>
      <c r="J286" s="272"/>
      <c r="K286" s="272"/>
      <c r="L286" s="272"/>
      <c r="M286" s="272"/>
      <c r="N286" s="272"/>
      <c r="O286" s="272"/>
      <c r="P286" s="272"/>
      <c r="Q286" s="272"/>
      <c r="R286" s="272"/>
      <c r="S286" s="272"/>
      <c r="T286" s="272"/>
      <c r="U286" s="272"/>
      <c r="V286" s="272"/>
      <c r="W286" s="272"/>
      <c r="X286" s="272"/>
      <c r="Y286" s="272"/>
      <c r="Z286" s="272"/>
      <c r="AA286" s="272"/>
      <c r="AB286" s="272"/>
      <c r="AC286" s="272"/>
      <c r="AD286" s="272"/>
      <c r="AE286" s="272"/>
      <c r="AF286" s="272"/>
      <c r="AG286" s="272"/>
      <c r="AH286" s="272"/>
      <c r="AI286" s="272"/>
      <c r="AJ286" s="272"/>
      <c r="AK286" s="272"/>
      <c r="AL286" s="272"/>
      <c r="AM286" s="272"/>
      <c r="AN286" s="272"/>
      <c r="AO286" s="272"/>
      <c r="AP286" s="272"/>
      <c r="AQ286" s="272"/>
      <c r="AR286" s="272"/>
      <c r="AS286" s="272"/>
      <c r="AT286" s="272"/>
      <c r="AU286" s="286"/>
    </row>
    <row r="287" spans="1:47" ht="60" customHeight="1" x14ac:dyDescent="0.35">
      <c r="A287" s="282" t="s">
        <v>7263</v>
      </c>
      <c r="B287" s="260" t="s">
        <v>7264</v>
      </c>
      <c r="C287" s="261" t="s">
        <v>7289</v>
      </c>
      <c r="D287" s="264" t="s">
        <v>7290</v>
      </c>
      <c r="E287" s="265" t="s">
        <v>6741</v>
      </c>
      <c r="F287" s="268" t="s">
        <v>7282</v>
      </c>
      <c r="G287" s="271" t="str">
        <f>IF(COUNTIF(H287:AU287,"&lt;&gt;")=0,"",SUMPRODUCT(((Recommendations[ImplStatus]="Implemented")+(Recommendations[ImplStatus]="Compensated"))*ISNUMBER(MATCH(Recommendations[Id],H287:AU287,0)))/COUNTIF(H287:AU287,"&lt;&gt;"))</f>
        <v/>
      </c>
      <c r="H287" s="272"/>
      <c r="I287" s="272"/>
      <c r="J287" s="272"/>
      <c r="K287" s="272"/>
      <c r="L287" s="272"/>
      <c r="M287" s="272"/>
      <c r="N287" s="272"/>
      <c r="O287" s="272"/>
      <c r="P287" s="272"/>
      <c r="Q287" s="272"/>
      <c r="R287" s="272"/>
      <c r="S287" s="272"/>
      <c r="T287" s="272"/>
      <c r="U287" s="272"/>
      <c r="V287" s="272"/>
      <c r="W287" s="272"/>
      <c r="X287" s="272"/>
      <c r="Y287" s="272"/>
      <c r="Z287" s="272"/>
      <c r="AA287" s="272"/>
      <c r="AB287" s="272"/>
      <c r="AC287" s="272"/>
      <c r="AD287" s="272"/>
      <c r="AE287" s="272"/>
      <c r="AF287" s="272"/>
      <c r="AG287" s="272"/>
      <c r="AH287" s="272"/>
      <c r="AI287" s="272"/>
      <c r="AJ287" s="272"/>
      <c r="AK287" s="272"/>
      <c r="AL287" s="272"/>
      <c r="AM287" s="272"/>
      <c r="AN287" s="272"/>
      <c r="AO287" s="272"/>
      <c r="AP287" s="272"/>
      <c r="AQ287" s="272"/>
      <c r="AR287" s="272"/>
      <c r="AS287" s="272"/>
      <c r="AT287" s="272"/>
      <c r="AU287" s="286"/>
    </row>
    <row r="288" spans="1:47" ht="60" customHeight="1" x14ac:dyDescent="0.35">
      <c r="A288" s="282" t="s">
        <v>7263</v>
      </c>
      <c r="B288" s="260" t="s">
        <v>7264</v>
      </c>
      <c r="C288" s="261" t="s">
        <v>7291</v>
      </c>
      <c r="D288" s="264" t="s">
        <v>7292</v>
      </c>
      <c r="E288" s="265" t="s">
        <v>6741</v>
      </c>
      <c r="F288" s="268" t="s">
        <v>7282</v>
      </c>
      <c r="G288" s="271" t="str">
        <f>IF(COUNTIF(H288:AU288,"&lt;&gt;")=0,"",SUMPRODUCT(((Recommendations[ImplStatus]="Implemented")+(Recommendations[ImplStatus]="Compensated"))*ISNUMBER(MATCH(Recommendations[Id],H288:AU288,0)))/COUNTIF(H288:AU288,"&lt;&gt;"))</f>
        <v/>
      </c>
      <c r="H288" s="272"/>
      <c r="I288" s="272"/>
      <c r="J288" s="272"/>
      <c r="K288" s="272"/>
      <c r="L288" s="272"/>
      <c r="M288" s="272"/>
      <c r="N288" s="272"/>
      <c r="O288" s="272"/>
      <c r="P288" s="272"/>
      <c r="Q288" s="272"/>
      <c r="R288" s="272"/>
      <c r="S288" s="272"/>
      <c r="T288" s="272"/>
      <c r="U288" s="272"/>
      <c r="V288" s="272"/>
      <c r="W288" s="272"/>
      <c r="X288" s="272"/>
      <c r="Y288" s="272"/>
      <c r="Z288" s="272"/>
      <c r="AA288" s="272"/>
      <c r="AB288" s="272"/>
      <c r="AC288" s="272"/>
      <c r="AD288" s="272"/>
      <c r="AE288" s="272"/>
      <c r="AF288" s="272"/>
      <c r="AG288" s="272"/>
      <c r="AH288" s="272"/>
      <c r="AI288" s="272"/>
      <c r="AJ288" s="272"/>
      <c r="AK288" s="272"/>
      <c r="AL288" s="272"/>
      <c r="AM288" s="272"/>
      <c r="AN288" s="272"/>
      <c r="AO288" s="272"/>
      <c r="AP288" s="272"/>
      <c r="AQ288" s="272"/>
      <c r="AR288" s="272"/>
      <c r="AS288" s="272"/>
      <c r="AT288" s="272"/>
      <c r="AU288" s="286"/>
    </row>
    <row r="289" spans="1:47" ht="60" customHeight="1" x14ac:dyDescent="0.35">
      <c r="A289" s="282" t="s">
        <v>7263</v>
      </c>
      <c r="B289" s="260" t="s">
        <v>7264</v>
      </c>
      <c r="C289" s="261" t="s">
        <v>7293</v>
      </c>
      <c r="D289" s="264" t="s">
        <v>7294</v>
      </c>
      <c r="E289" s="265" t="s">
        <v>6741</v>
      </c>
      <c r="F289" s="268" t="s">
        <v>7282</v>
      </c>
      <c r="G289" s="271" t="str">
        <f>IF(COUNTIF(H289:AU289,"&lt;&gt;")=0,"",SUMPRODUCT(((Recommendations[ImplStatus]="Implemented")+(Recommendations[ImplStatus]="Compensated"))*ISNUMBER(MATCH(Recommendations[Id],H289:AU289,0)))/COUNTIF(H289:AU289,"&lt;&gt;"))</f>
        <v/>
      </c>
      <c r="H289" s="272"/>
      <c r="I289" s="272"/>
      <c r="J289" s="272"/>
      <c r="K289" s="272"/>
      <c r="L289" s="272"/>
      <c r="M289" s="272"/>
      <c r="N289" s="272"/>
      <c r="O289" s="272"/>
      <c r="P289" s="272"/>
      <c r="Q289" s="272"/>
      <c r="R289" s="272"/>
      <c r="S289" s="272"/>
      <c r="T289" s="272"/>
      <c r="U289" s="272"/>
      <c r="V289" s="272"/>
      <c r="W289" s="272"/>
      <c r="X289" s="272"/>
      <c r="Y289" s="272"/>
      <c r="Z289" s="272"/>
      <c r="AA289" s="272"/>
      <c r="AB289" s="272"/>
      <c r="AC289" s="272"/>
      <c r="AD289" s="272"/>
      <c r="AE289" s="272"/>
      <c r="AF289" s="272"/>
      <c r="AG289" s="272"/>
      <c r="AH289" s="272"/>
      <c r="AI289" s="272"/>
      <c r="AJ289" s="272"/>
      <c r="AK289" s="272"/>
      <c r="AL289" s="272"/>
      <c r="AM289" s="272"/>
      <c r="AN289" s="272"/>
      <c r="AO289" s="272"/>
      <c r="AP289" s="272"/>
      <c r="AQ289" s="272"/>
      <c r="AR289" s="272"/>
      <c r="AS289" s="272"/>
      <c r="AT289" s="272"/>
      <c r="AU289" s="286"/>
    </row>
    <row r="290" spans="1:47" ht="60" customHeight="1" x14ac:dyDescent="0.35">
      <c r="A290" s="282" t="s">
        <v>7263</v>
      </c>
      <c r="B290" s="260" t="s">
        <v>7264</v>
      </c>
      <c r="C290" s="261" t="s">
        <v>7295</v>
      </c>
      <c r="D290" s="264" t="s">
        <v>7296</v>
      </c>
      <c r="E290" s="265" t="s">
        <v>6712</v>
      </c>
      <c r="F290" s="268" t="s">
        <v>7282</v>
      </c>
      <c r="G290" s="271" t="str">
        <f>IF(COUNTIF(H290:AU290,"&lt;&gt;")=0,"",SUMPRODUCT(((Recommendations[ImplStatus]="Implemented")+(Recommendations[ImplStatus]="Compensated"))*ISNUMBER(MATCH(Recommendations[Id],H290:AU290,0)))/COUNTIF(H290:AU290,"&lt;&gt;"))</f>
        <v/>
      </c>
      <c r="H290" s="272"/>
      <c r="I290" s="272"/>
      <c r="J290" s="272"/>
      <c r="K290" s="272"/>
      <c r="L290" s="272"/>
      <c r="M290" s="272"/>
      <c r="N290" s="272"/>
      <c r="O290" s="272"/>
      <c r="P290" s="272"/>
      <c r="Q290" s="272"/>
      <c r="R290" s="272"/>
      <c r="S290" s="272"/>
      <c r="T290" s="272"/>
      <c r="U290" s="272"/>
      <c r="V290" s="272"/>
      <c r="W290" s="272"/>
      <c r="X290" s="272"/>
      <c r="Y290" s="272"/>
      <c r="Z290" s="272"/>
      <c r="AA290" s="272"/>
      <c r="AB290" s="272"/>
      <c r="AC290" s="272"/>
      <c r="AD290" s="272"/>
      <c r="AE290" s="272"/>
      <c r="AF290" s="272"/>
      <c r="AG290" s="272"/>
      <c r="AH290" s="272"/>
      <c r="AI290" s="272"/>
      <c r="AJ290" s="272"/>
      <c r="AK290" s="272"/>
      <c r="AL290" s="272"/>
      <c r="AM290" s="272"/>
      <c r="AN290" s="272"/>
      <c r="AO290" s="272"/>
      <c r="AP290" s="272"/>
      <c r="AQ290" s="272"/>
      <c r="AR290" s="272"/>
      <c r="AS290" s="272"/>
      <c r="AT290" s="272"/>
      <c r="AU290" s="286"/>
    </row>
    <row r="291" spans="1:47" ht="60" customHeight="1" x14ac:dyDescent="0.35">
      <c r="A291" s="282" t="s">
        <v>7263</v>
      </c>
      <c r="B291" s="260" t="s">
        <v>7264</v>
      </c>
      <c r="C291" s="261" t="s">
        <v>7297</v>
      </c>
      <c r="D291" s="264" t="s">
        <v>7298</v>
      </c>
      <c r="E291" s="265" t="s">
        <v>6741</v>
      </c>
      <c r="F291" s="268" t="s">
        <v>7299</v>
      </c>
      <c r="G291" s="271" t="str">
        <f>IF(COUNTIF(H291:AU291,"&lt;&gt;")=0,"",SUMPRODUCT(((Recommendations[ImplStatus]="Implemented")+(Recommendations[ImplStatus]="Compensated"))*ISNUMBER(MATCH(Recommendations[Id],H291:AU291,0)))/COUNTIF(H291:AU291,"&lt;&gt;"))</f>
        <v/>
      </c>
      <c r="H291" s="272"/>
      <c r="I291" s="272"/>
      <c r="J291" s="272"/>
      <c r="K291" s="272"/>
      <c r="L291" s="272"/>
      <c r="M291" s="272"/>
      <c r="N291" s="272"/>
      <c r="O291" s="272"/>
      <c r="P291" s="272"/>
      <c r="Q291" s="272"/>
      <c r="R291" s="272"/>
      <c r="S291" s="272"/>
      <c r="T291" s="272"/>
      <c r="U291" s="272"/>
      <c r="V291" s="272"/>
      <c r="W291" s="272"/>
      <c r="X291" s="272"/>
      <c r="Y291" s="272"/>
      <c r="Z291" s="272"/>
      <c r="AA291" s="272"/>
      <c r="AB291" s="272"/>
      <c r="AC291" s="272"/>
      <c r="AD291" s="272"/>
      <c r="AE291" s="272"/>
      <c r="AF291" s="272"/>
      <c r="AG291" s="272"/>
      <c r="AH291" s="272"/>
      <c r="AI291" s="272"/>
      <c r="AJ291" s="272"/>
      <c r="AK291" s="272"/>
      <c r="AL291" s="272"/>
      <c r="AM291" s="272"/>
      <c r="AN291" s="272"/>
      <c r="AO291" s="272"/>
      <c r="AP291" s="272"/>
      <c r="AQ291" s="272"/>
      <c r="AR291" s="272"/>
      <c r="AS291" s="272"/>
      <c r="AT291" s="272"/>
      <c r="AU291" s="286"/>
    </row>
    <row r="292" spans="1:47" ht="60" customHeight="1" x14ac:dyDescent="0.35">
      <c r="A292" s="282" t="s">
        <v>7263</v>
      </c>
      <c r="B292" s="260" t="s">
        <v>7264</v>
      </c>
      <c r="C292" s="261" t="s">
        <v>7300</v>
      </c>
      <c r="D292" s="264" t="s">
        <v>7301</v>
      </c>
      <c r="E292" s="265" t="s">
        <v>6741</v>
      </c>
      <c r="F292" s="268" t="s">
        <v>7299</v>
      </c>
      <c r="G292" s="271" t="str">
        <f>IF(COUNTIF(H292:AU292,"&lt;&gt;")=0,"",SUMPRODUCT(((Recommendations[ImplStatus]="Implemented")+(Recommendations[ImplStatus]="Compensated"))*ISNUMBER(MATCH(Recommendations[Id],H292:AU292,0)))/COUNTIF(H292:AU292,"&lt;&gt;"))</f>
        <v/>
      </c>
      <c r="H292" s="272"/>
      <c r="I292" s="272"/>
      <c r="J292" s="272"/>
      <c r="K292" s="272"/>
      <c r="L292" s="272"/>
      <c r="M292" s="272"/>
      <c r="N292" s="272"/>
      <c r="O292" s="272"/>
      <c r="P292" s="272"/>
      <c r="Q292" s="272"/>
      <c r="R292" s="272"/>
      <c r="S292" s="272"/>
      <c r="T292" s="272"/>
      <c r="U292" s="272"/>
      <c r="V292" s="272"/>
      <c r="W292" s="272"/>
      <c r="X292" s="272"/>
      <c r="Y292" s="272"/>
      <c r="Z292" s="272"/>
      <c r="AA292" s="272"/>
      <c r="AB292" s="272"/>
      <c r="AC292" s="272"/>
      <c r="AD292" s="272"/>
      <c r="AE292" s="272"/>
      <c r="AF292" s="272"/>
      <c r="AG292" s="272"/>
      <c r="AH292" s="272"/>
      <c r="AI292" s="272"/>
      <c r="AJ292" s="272"/>
      <c r="AK292" s="272"/>
      <c r="AL292" s="272"/>
      <c r="AM292" s="272"/>
      <c r="AN292" s="272"/>
      <c r="AO292" s="272"/>
      <c r="AP292" s="272"/>
      <c r="AQ292" s="272"/>
      <c r="AR292" s="272"/>
      <c r="AS292" s="272"/>
      <c r="AT292" s="272"/>
      <c r="AU292" s="286"/>
    </row>
    <row r="293" spans="1:47" ht="60" customHeight="1" x14ac:dyDescent="0.35">
      <c r="A293" s="282" t="s">
        <v>7263</v>
      </c>
      <c r="B293" s="260" t="s">
        <v>7264</v>
      </c>
      <c r="C293" s="261" t="s">
        <v>7302</v>
      </c>
      <c r="D293" s="264" t="s">
        <v>7303</v>
      </c>
      <c r="E293" s="265" t="s">
        <v>6991</v>
      </c>
      <c r="F293" s="268" t="s">
        <v>7282</v>
      </c>
      <c r="G293" s="271" t="str">
        <f>IF(COUNTIF(H293:AU293,"&lt;&gt;")=0,"",SUMPRODUCT(((Recommendations[ImplStatus]="Implemented")+(Recommendations[ImplStatus]="Compensated"))*ISNUMBER(MATCH(Recommendations[Id],H293:AU293,0)))/COUNTIF(H293:AU293,"&lt;&gt;"))</f>
        <v/>
      </c>
      <c r="H293" s="272"/>
      <c r="I293" s="272"/>
      <c r="J293" s="272"/>
      <c r="K293" s="272"/>
      <c r="L293" s="272"/>
      <c r="M293" s="272"/>
      <c r="N293" s="272"/>
      <c r="O293" s="272"/>
      <c r="P293" s="272"/>
      <c r="Q293" s="272"/>
      <c r="R293" s="272"/>
      <c r="S293" s="272"/>
      <c r="T293" s="272"/>
      <c r="U293" s="272"/>
      <c r="V293" s="272"/>
      <c r="W293" s="272"/>
      <c r="X293" s="272"/>
      <c r="Y293" s="272"/>
      <c r="Z293" s="272"/>
      <c r="AA293" s="272"/>
      <c r="AB293" s="272"/>
      <c r="AC293" s="272"/>
      <c r="AD293" s="272"/>
      <c r="AE293" s="272"/>
      <c r="AF293" s="272"/>
      <c r="AG293" s="272"/>
      <c r="AH293" s="272"/>
      <c r="AI293" s="272"/>
      <c r="AJ293" s="272"/>
      <c r="AK293" s="272"/>
      <c r="AL293" s="272"/>
      <c r="AM293" s="272"/>
      <c r="AN293" s="272"/>
      <c r="AO293" s="272"/>
      <c r="AP293" s="272"/>
      <c r="AQ293" s="272"/>
      <c r="AR293" s="272"/>
      <c r="AS293" s="272"/>
      <c r="AT293" s="272"/>
      <c r="AU293" s="286"/>
    </row>
    <row r="294" spans="1:47" ht="60" customHeight="1" x14ac:dyDescent="0.35">
      <c r="A294" s="282" t="s">
        <v>7263</v>
      </c>
      <c r="B294" s="260" t="s">
        <v>7264</v>
      </c>
      <c r="C294" s="261" t="s">
        <v>7304</v>
      </c>
      <c r="D294" s="264" t="s">
        <v>7305</v>
      </c>
      <c r="E294" s="265" t="s">
        <v>6991</v>
      </c>
      <c r="F294" s="268" t="s">
        <v>7282</v>
      </c>
      <c r="G294" s="271" t="str">
        <f>IF(COUNTIF(H294:AU294,"&lt;&gt;")=0,"",SUMPRODUCT(((Recommendations[ImplStatus]="Implemented")+(Recommendations[ImplStatus]="Compensated"))*ISNUMBER(MATCH(Recommendations[Id],H294:AU294,0)))/COUNTIF(H294:AU294,"&lt;&gt;"))</f>
        <v/>
      </c>
      <c r="H294" s="272"/>
      <c r="I294" s="272"/>
      <c r="J294" s="272"/>
      <c r="K294" s="272"/>
      <c r="L294" s="272"/>
      <c r="M294" s="272"/>
      <c r="N294" s="272"/>
      <c r="O294" s="272"/>
      <c r="P294" s="272"/>
      <c r="Q294" s="272"/>
      <c r="R294" s="272"/>
      <c r="S294" s="272"/>
      <c r="T294" s="272"/>
      <c r="U294" s="272"/>
      <c r="V294" s="272"/>
      <c r="W294" s="272"/>
      <c r="X294" s="272"/>
      <c r="Y294" s="272"/>
      <c r="Z294" s="272"/>
      <c r="AA294" s="272"/>
      <c r="AB294" s="272"/>
      <c r="AC294" s="272"/>
      <c r="AD294" s="272"/>
      <c r="AE294" s="272"/>
      <c r="AF294" s="272"/>
      <c r="AG294" s="272"/>
      <c r="AH294" s="272"/>
      <c r="AI294" s="272"/>
      <c r="AJ294" s="272"/>
      <c r="AK294" s="272"/>
      <c r="AL294" s="272"/>
      <c r="AM294" s="272"/>
      <c r="AN294" s="272"/>
      <c r="AO294" s="272"/>
      <c r="AP294" s="272"/>
      <c r="AQ294" s="272"/>
      <c r="AR294" s="272"/>
      <c r="AS294" s="272"/>
      <c r="AT294" s="272"/>
      <c r="AU294" s="286"/>
    </row>
    <row r="295" spans="1:47" ht="60" customHeight="1" x14ac:dyDescent="0.35">
      <c r="A295" s="282" t="s">
        <v>7263</v>
      </c>
      <c r="B295" s="260" t="s">
        <v>7264</v>
      </c>
      <c r="C295" s="261" t="s">
        <v>7306</v>
      </c>
      <c r="D295" s="264" t="s">
        <v>7307</v>
      </c>
      <c r="E295" s="265" t="s">
        <v>6808</v>
      </c>
      <c r="F295" s="268" t="s">
        <v>7282</v>
      </c>
      <c r="G295" s="271" t="str">
        <f>IF(COUNTIF(H295:AU295,"&lt;&gt;")=0,"",SUMPRODUCT(((Recommendations[ImplStatus]="Implemented")+(Recommendations[ImplStatus]="Compensated"))*ISNUMBER(MATCH(Recommendations[Id],H295:AU295,0)))/COUNTIF(H295:AU295,"&lt;&gt;"))</f>
        <v/>
      </c>
      <c r="H295" s="272"/>
      <c r="I295" s="272"/>
      <c r="J295" s="272"/>
      <c r="K295" s="272"/>
      <c r="L295" s="272"/>
      <c r="M295" s="272"/>
      <c r="N295" s="272"/>
      <c r="O295" s="272"/>
      <c r="P295" s="272"/>
      <c r="Q295" s="272"/>
      <c r="R295" s="272"/>
      <c r="S295" s="272"/>
      <c r="T295" s="272"/>
      <c r="U295" s="272"/>
      <c r="V295" s="272"/>
      <c r="W295" s="272"/>
      <c r="X295" s="272"/>
      <c r="Y295" s="272"/>
      <c r="Z295" s="272"/>
      <c r="AA295" s="272"/>
      <c r="AB295" s="272"/>
      <c r="AC295" s="272"/>
      <c r="AD295" s="272"/>
      <c r="AE295" s="272"/>
      <c r="AF295" s="272"/>
      <c r="AG295" s="272"/>
      <c r="AH295" s="272"/>
      <c r="AI295" s="272"/>
      <c r="AJ295" s="272"/>
      <c r="AK295" s="272"/>
      <c r="AL295" s="272"/>
      <c r="AM295" s="272"/>
      <c r="AN295" s="272"/>
      <c r="AO295" s="272"/>
      <c r="AP295" s="272"/>
      <c r="AQ295" s="272"/>
      <c r="AR295" s="272"/>
      <c r="AS295" s="272"/>
      <c r="AT295" s="272"/>
      <c r="AU295" s="286"/>
    </row>
    <row r="296" spans="1:47" ht="60" customHeight="1" x14ac:dyDescent="0.35">
      <c r="A296" s="282" t="s">
        <v>7263</v>
      </c>
      <c r="B296" s="260" t="s">
        <v>7264</v>
      </c>
      <c r="C296" s="261" t="s">
        <v>7308</v>
      </c>
      <c r="D296" s="264" t="s">
        <v>7309</v>
      </c>
      <c r="E296" s="265" t="s">
        <v>6808</v>
      </c>
      <c r="F296" s="268" t="s">
        <v>7282</v>
      </c>
      <c r="G296" s="271" t="str">
        <f>IF(COUNTIF(H296:AU296,"&lt;&gt;")=0,"",SUMPRODUCT(((Recommendations[ImplStatus]="Implemented")+(Recommendations[ImplStatus]="Compensated"))*ISNUMBER(MATCH(Recommendations[Id],H296:AU296,0)))/COUNTIF(H296:AU296,"&lt;&gt;"))</f>
        <v/>
      </c>
      <c r="H296" s="272"/>
      <c r="I296" s="272"/>
      <c r="J296" s="272"/>
      <c r="K296" s="272"/>
      <c r="L296" s="272"/>
      <c r="M296" s="272"/>
      <c r="N296" s="272"/>
      <c r="O296" s="272"/>
      <c r="P296" s="272"/>
      <c r="Q296" s="272"/>
      <c r="R296" s="272"/>
      <c r="S296" s="272"/>
      <c r="T296" s="272"/>
      <c r="U296" s="272"/>
      <c r="V296" s="272"/>
      <c r="W296" s="272"/>
      <c r="X296" s="272"/>
      <c r="Y296" s="272"/>
      <c r="Z296" s="272"/>
      <c r="AA296" s="272"/>
      <c r="AB296" s="272"/>
      <c r="AC296" s="272"/>
      <c r="AD296" s="272"/>
      <c r="AE296" s="272"/>
      <c r="AF296" s="272"/>
      <c r="AG296" s="272"/>
      <c r="AH296" s="272"/>
      <c r="AI296" s="272"/>
      <c r="AJ296" s="272"/>
      <c r="AK296" s="272"/>
      <c r="AL296" s="272"/>
      <c r="AM296" s="272"/>
      <c r="AN296" s="272"/>
      <c r="AO296" s="272"/>
      <c r="AP296" s="272"/>
      <c r="AQ296" s="272"/>
      <c r="AR296" s="272"/>
      <c r="AS296" s="272"/>
      <c r="AT296" s="272"/>
      <c r="AU296" s="286"/>
    </row>
    <row r="297" spans="1:47" ht="60" customHeight="1" x14ac:dyDescent="0.35">
      <c r="A297" s="282" t="s">
        <v>7263</v>
      </c>
      <c r="B297" s="260" t="s">
        <v>7264</v>
      </c>
      <c r="C297" s="261" t="s">
        <v>7310</v>
      </c>
      <c r="D297" s="264" t="s">
        <v>7311</v>
      </c>
      <c r="E297" s="265" t="s">
        <v>6712</v>
      </c>
      <c r="F297" s="268" t="s">
        <v>7282</v>
      </c>
      <c r="G297" s="271" t="str">
        <f>IF(COUNTIF(H297:AU297,"&lt;&gt;")=0,"",SUMPRODUCT(((Recommendations[ImplStatus]="Implemented")+(Recommendations[ImplStatus]="Compensated"))*ISNUMBER(MATCH(Recommendations[Id],H297:AU297,0)))/COUNTIF(H297:AU297,"&lt;&gt;"))</f>
        <v/>
      </c>
      <c r="H297" s="272"/>
      <c r="I297" s="272"/>
      <c r="J297" s="272"/>
      <c r="K297" s="272"/>
      <c r="L297" s="272"/>
      <c r="M297" s="272"/>
      <c r="N297" s="272"/>
      <c r="O297" s="272"/>
      <c r="P297" s="272"/>
      <c r="Q297" s="272"/>
      <c r="R297" s="272"/>
      <c r="S297" s="272"/>
      <c r="T297" s="272"/>
      <c r="U297" s="272"/>
      <c r="V297" s="272"/>
      <c r="W297" s="272"/>
      <c r="X297" s="272"/>
      <c r="Y297" s="272"/>
      <c r="Z297" s="272"/>
      <c r="AA297" s="272"/>
      <c r="AB297" s="272"/>
      <c r="AC297" s="272"/>
      <c r="AD297" s="272"/>
      <c r="AE297" s="272"/>
      <c r="AF297" s="272"/>
      <c r="AG297" s="272"/>
      <c r="AH297" s="272"/>
      <c r="AI297" s="272"/>
      <c r="AJ297" s="272"/>
      <c r="AK297" s="272"/>
      <c r="AL297" s="272"/>
      <c r="AM297" s="272"/>
      <c r="AN297" s="272"/>
      <c r="AO297" s="272"/>
      <c r="AP297" s="272"/>
      <c r="AQ297" s="272"/>
      <c r="AR297" s="272"/>
      <c r="AS297" s="272"/>
      <c r="AT297" s="272"/>
      <c r="AU297" s="286"/>
    </row>
    <row r="298" spans="1:47" ht="60" customHeight="1" x14ac:dyDescent="0.35">
      <c r="A298" s="282" t="s">
        <v>7263</v>
      </c>
      <c r="B298" s="260" t="s">
        <v>7264</v>
      </c>
      <c r="C298" s="261" t="s">
        <v>7312</v>
      </c>
      <c r="D298" s="264" t="s">
        <v>7313</v>
      </c>
      <c r="E298" s="265" t="s">
        <v>6808</v>
      </c>
      <c r="F298" s="268" t="s">
        <v>7282</v>
      </c>
      <c r="G298" s="271" t="str">
        <f>IF(COUNTIF(H298:AU298,"&lt;&gt;")=0,"",SUMPRODUCT(((Recommendations[ImplStatus]="Implemented")+(Recommendations[ImplStatus]="Compensated"))*ISNUMBER(MATCH(Recommendations[Id],H298:AU298,0)))/COUNTIF(H298:AU298,"&lt;&gt;"))</f>
        <v/>
      </c>
      <c r="H298" s="272"/>
      <c r="I298" s="272"/>
      <c r="J298" s="272"/>
      <c r="K298" s="272"/>
      <c r="L298" s="272"/>
      <c r="M298" s="272"/>
      <c r="N298" s="272"/>
      <c r="O298" s="272"/>
      <c r="P298" s="272"/>
      <c r="Q298" s="272"/>
      <c r="R298" s="272"/>
      <c r="S298" s="272"/>
      <c r="T298" s="272"/>
      <c r="U298" s="272"/>
      <c r="V298" s="272"/>
      <c r="W298" s="272"/>
      <c r="X298" s="272"/>
      <c r="Y298" s="272"/>
      <c r="Z298" s="272"/>
      <c r="AA298" s="272"/>
      <c r="AB298" s="272"/>
      <c r="AC298" s="272"/>
      <c r="AD298" s="272"/>
      <c r="AE298" s="272"/>
      <c r="AF298" s="272"/>
      <c r="AG298" s="272"/>
      <c r="AH298" s="272"/>
      <c r="AI298" s="272"/>
      <c r="AJ298" s="272"/>
      <c r="AK298" s="272"/>
      <c r="AL298" s="272"/>
      <c r="AM298" s="272"/>
      <c r="AN298" s="272"/>
      <c r="AO298" s="272"/>
      <c r="AP298" s="272"/>
      <c r="AQ298" s="272"/>
      <c r="AR298" s="272"/>
      <c r="AS298" s="272"/>
      <c r="AT298" s="272"/>
      <c r="AU298" s="286"/>
    </row>
    <row r="299" spans="1:47" ht="60" customHeight="1" x14ac:dyDescent="0.35">
      <c r="A299" s="282" t="s">
        <v>7263</v>
      </c>
      <c r="B299" s="260" t="s">
        <v>7264</v>
      </c>
      <c r="C299" s="261" t="s">
        <v>7314</v>
      </c>
      <c r="D299" s="264" t="s">
        <v>7315</v>
      </c>
      <c r="E299" s="265" t="s">
        <v>6741</v>
      </c>
      <c r="F299" s="268" t="s">
        <v>7282</v>
      </c>
      <c r="G299" s="271" t="str">
        <f>IF(COUNTIF(H299:AU299,"&lt;&gt;")=0,"",SUMPRODUCT(((Recommendations[ImplStatus]="Implemented")+(Recommendations[ImplStatus]="Compensated"))*ISNUMBER(MATCH(Recommendations[Id],H299:AU299,0)))/COUNTIF(H299:AU299,"&lt;&gt;"))</f>
        <v/>
      </c>
      <c r="H299" s="272"/>
      <c r="I299" s="272"/>
      <c r="J299" s="272"/>
      <c r="K299" s="272"/>
      <c r="L299" s="272"/>
      <c r="M299" s="272"/>
      <c r="N299" s="272"/>
      <c r="O299" s="272"/>
      <c r="P299" s="272"/>
      <c r="Q299" s="272"/>
      <c r="R299" s="272"/>
      <c r="S299" s="272"/>
      <c r="T299" s="272"/>
      <c r="U299" s="272"/>
      <c r="V299" s="272"/>
      <c r="W299" s="272"/>
      <c r="X299" s="272"/>
      <c r="Y299" s="272"/>
      <c r="Z299" s="272"/>
      <c r="AA299" s="272"/>
      <c r="AB299" s="272"/>
      <c r="AC299" s="272"/>
      <c r="AD299" s="272"/>
      <c r="AE299" s="272"/>
      <c r="AF299" s="272"/>
      <c r="AG299" s="272"/>
      <c r="AH299" s="272"/>
      <c r="AI299" s="272"/>
      <c r="AJ299" s="272"/>
      <c r="AK299" s="272"/>
      <c r="AL299" s="272"/>
      <c r="AM299" s="272"/>
      <c r="AN299" s="272"/>
      <c r="AO299" s="272"/>
      <c r="AP299" s="272"/>
      <c r="AQ299" s="272"/>
      <c r="AR299" s="272"/>
      <c r="AS299" s="272"/>
      <c r="AT299" s="272"/>
      <c r="AU299" s="286"/>
    </row>
    <row r="300" spans="1:47" ht="60" customHeight="1" x14ac:dyDescent="0.35">
      <c r="A300" s="282" t="s">
        <v>7263</v>
      </c>
      <c r="B300" s="260" t="s">
        <v>7264</v>
      </c>
      <c r="C300" s="261" t="s">
        <v>7316</v>
      </c>
      <c r="D300" s="264" t="s">
        <v>7317</v>
      </c>
      <c r="E300" s="265" t="s">
        <v>6808</v>
      </c>
      <c r="F300" s="268" t="s">
        <v>7282</v>
      </c>
      <c r="G300" s="271" t="str">
        <f>IF(COUNTIF(H300:AU300,"&lt;&gt;")=0,"",SUMPRODUCT(((Recommendations[ImplStatus]="Implemented")+(Recommendations[ImplStatus]="Compensated"))*ISNUMBER(MATCH(Recommendations[Id],H300:AU300,0)))/COUNTIF(H300:AU300,"&lt;&gt;"))</f>
        <v/>
      </c>
      <c r="H300" s="272"/>
      <c r="I300" s="272"/>
      <c r="J300" s="272"/>
      <c r="K300" s="272"/>
      <c r="L300" s="272"/>
      <c r="M300" s="272"/>
      <c r="N300" s="272"/>
      <c r="O300" s="272"/>
      <c r="P300" s="272"/>
      <c r="Q300" s="272"/>
      <c r="R300" s="272"/>
      <c r="S300" s="272"/>
      <c r="T300" s="272"/>
      <c r="U300" s="272"/>
      <c r="V300" s="272"/>
      <c r="W300" s="272"/>
      <c r="X300" s="272"/>
      <c r="Y300" s="272"/>
      <c r="Z300" s="272"/>
      <c r="AA300" s="272"/>
      <c r="AB300" s="272"/>
      <c r="AC300" s="272"/>
      <c r="AD300" s="272"/>
      <c r="AE300" s="272"/>
      <c r="AF300" s="272"/>
      <c r="AG300" s="272"/>
      <c r="AH300" s="272"/>
      <c r="AI300" s="272"/>
      <c r="AJ300" s="272"/>
      <c r="AK300" s="272"/>
      <c r="AL300" s="272"/>
      <c r="AM300" s="272"/>
      <c r="AN300" s="272"/>
      <c r="AO300" s="272"/>
      <c r="AP300" s="272"/>
      <c r="AQ300" s="272"/>
      <c r="AR300" s="272"/>
      <c r="AS300" s="272"/>
      <c r="AT300" s="272"/>
      <c r="AU300" s="286"/>
    </row>
    <row r="301" spans="1:47" ht="60" customHeight="1" x14ac:dyDescent="0.35">
      <c r="A301" s="282" t="s">
        <v>7263</v>
      </c>
      <c r="B301" s="260" t="s">
        <v>7264</v>
      </c>
      <c r="C301" s="261" t="s">
        <v>7318</v>
      </c>
      <c r="D301" s="264" t="s">
        <v>7319</v>
      </c>
      <c r="E301" s="265" t="s">
        <v>6856</v>
      </c>
      <c r="F301" s="268" t="s">
        <v>7282</v>
      </c>
      <c r="G301" s="271" t="str">
        <f>IF(COUNTIF(H301:AU301,"&lt;&gt;")=0,"",SUMPRODUCT(((Recommendations[ImplStatus]="Implemented")+(Recommendations[ImplStatus]="Compensated"))*ISNUMBER(MATCH(Recommendations[Id],H301:AU301,0)))/COUNTIF(H301:AU301,"&lt;&gt;"))</f>
        <v/>
      </c>
      <c r="H301" s="272"/>
      <c r="I301" s="272"/>
      <c r="J301" s="272"/>
      <c r="K301" s="272"/>
      <c r="L301" s="272"/>
      <c r="M301" s="272"/>
      <c r="N301" s="272"/>
      <c r="O301" s="272"/>
      <c r="P301" s="272"/>
      <c r="Q301" s="272"/>
      <c r="R301" s="272"/>
      <c r="S301" s="272"/>
      <c r="T301" s="272"/>
      <c r="U301" s="272"/>
      <c r="V301" s="272"/>
      <c r="W301" s="272"/>
      <c r="X301" s="272"/>
      <c r="Y301" s="272"/>
      <c r="Z301" s="272"/>
      <c r="AA301" s="272"/>
      <c r="AB301" s="272"/>
      <c r="AC301" s="272"/>
      <c r="AD301" s="272"/>
      <c r="AE301" s="272"/>
      <c r="AF301" s="272"/>
      <c r="AG301" s="272"/>
      <c r="AH301" s="272"/>
      <c r="AI301" s="272"/>
      <c r="AJ301" s="272"/>
      <c r="AK301" s="272"/>
      <c r="AL301" s="272"/>
      <c r="AM301" s="272"/>
      <c r="AN301" s="272"/>
      <c r="AO301" s="272"/>
      <c r="AP301" s="272"/>
      <c r="AQ301" s="272"/>
      <c r="AR301" s="272"/>
      <c r="AS301" s="272"/>
      <c r="AT301" s="272"/>
      <c r="AU301" s="286"/>
    </row>
    <row r="302" spans="1:47" ht="60" customHeight="1" x14ac:dyDescent="0.35">
      <c r="A302" s="282" t="s">
        <v>7263</v>
      </c>
      <c r="B302" s="260" t="s">
        <v>7264</v>
      </c>
      <c r="C302" s="261" t="s">
        <v>7320</v>
      </c>
      <c r="D302" s="264" t="s">
        <v>7321</v>
      </c>
      <c r="E302" s="265" t="s">
        <v>6856</v>
      </c>
      <c r="F302" s="268" t="s">
        <v>7282</v>
      </c>
      <c r="G302" s="271" t="str">
        <f>IF(COUNTIF(H302:AU302,"&lt;&gt;")=0,"",SUMPRODUCT(((Recommendations[ImplStatus]="Implemented")+(Recommendations[ImplStatus]="Compensated"))*ISNUMBER(MATCH(Recommendations[Id],H302:AU302,0)))/COUNTIF(H302:AU302,"&lt;&gt;"))</f>
        <v/>
      </c>
      <c r="H302" s="272"/>
      <c r="I302" s="272"/>
      <c r="J302" s="272"/>
      <c r="K302" s="272"/>
      <c r="L302" s="272"/>
      <c r="M302" s="272"/>
      <c r="N302" s="272"/>
      <c r="O302" s="272"/>
      <c r="P302" s="272"/>
      <c r="Q302" s="272"/>
      <c r="R302" s="272"/>
      <c r="S302" s="272"/>
      <c r="T302" s="272"/>
      <c r="U302" s="272"/>
      <c r="V302" s="272"/>
      <c r="W302" s="272"/>
      <c r="X302" s="272"/>
      <c r="Y302" s="272"/>
      <c r="Z302" s="272"/>
      <c r="AA302" s="272"/>
      <c r="AB302" s="272"/>
      <c r="AC302" s="272"/>
      <c r="AD302" s="272"/>
      <c r="AE302" s="272"/>
      <c r="AF302" s="272"/>
      <c r="AG302" s="272"/>
      <c r="AH302" s="272"/>
      <c r="AI302" s="272"/>
      <c r="AJ302" s="272"/>
      <c r="AK302" s="272"/>
      <c r="AL302" s="272"/>
      <c r="AM302" s="272"/>
      <c r="AN302" s="272"/>
      <c r="AO302" s="272"/>
      <c r="AP302" s="272"/>
      <c r="AQ302" s="272"/>
      <c r="AR302" s="272"/>
      <c r="AS302" s="272"/>
      <c r="AT302" s="272"/>
      <c r="AU302" s="286"/>
    </row>
    <row r="303" spans="1:47" ht="60" customHeight="1" outlineLevel="2" x14ac:dyDescent="0.35">
      <c r="A303" s="281" t="s">
        <v>7263</v>
      </c>
      <c r="B303" s="259" t="s">
        <v>3078</v>
      </c>
      <c r="C303" s="259"/>
      <c r="D303" s="263"/>
      <c r="E303" s="259"/>
      <c r="F303" s="267"/>
      <c r="G303" s="270" t="str">
        <f>IF(COUNTIF(H303:AU303,"&lt;&gt;")=0,"",SUMPRODUCT(((Recommendations[ImplStatus]="Implemented")+(Recommendations[ImplStatus]="Compensated"))*ISNUMBER(MATCH(Recommendations[Id],H303:AU303,0)))/COUNTIF(H303:AU303,"&lt;&gt;"))</f>
        <v/>
      </c>
      <c r="H303" s="267"/>
      <c r="I303" s="267"/>
      <c r="J303" s="267"/>
      <c r="K303" s="267"/>
      <c r="L303" s="267"/>
      <c r="M303" s="267"/>
      <c r="N303" s="267"/>
      <c r="O303" s="267"/>
      <c r="P303" s="267"/>
      <c r="Q303" s="267"/>
      <c r="R303" s="267"/>
      <c r="S303" s="267"/>
      <c r="T303" s="267"/>
      <c r="U303" s="267"/>
      <c r="V303" s="267"/>
      <c r="W303" s="267"/>
      <c r="X303" s="267"/>
      <c r="Y303" s="267"/>
      <c r="Z303" s="267"/>
      <c r="AA303" s="267"/>
      <c r="AB303" s="267"/>
      <c r="AC303" s="267"/>
      <c r="AD303" s="267"/>
      <c r="AE303" s="267"/>
      <c r="AF303" s="267"/>
      <c r="AG303" s="267"/>
      <c r="AH303" s="267"/>
      <c r="AI303" s="267"/>
      <c r="AJ303" s="267"/>
      <c r="AK303" s="267"/>
      <c r="AL303" s="267"/>
      <c r="AM303" s="267"/>
      <c r="AN303" s="267"/>
      <c r="AO303" s="267"/>
      <c r="AP303" s="267"/>
      <c r="AQ303" s="267"/>
      <c r="AR303" s="267"/>
      <c r="AS303" s="267"/>
      <c r="AT303" s="267"/>
      <c r="AU303" s="285"/>
    </row>
    <row r="304" spans="1:47" ht="60" customHeight="1" x14ac:dyDescent="0.35">
      <c r="A304" s="282" t="s">
        <v>7263</v>
      </c>
      <c r="B304" s="260" t="s">
        <v>3078</v>
      </c>
      <c r="C304" s="261" t="s">
        <v>7322</v>
      </c>
      <c r="D304" s="264" t="s">
        <v>7323</v>
      </c>
      <c r="E304" s="265" t="s">
        <v>6712</v>
      </c>
      <c r="F304" s="268" t="s">
        <v>7324</v>
      </c>
      <c r="G304" s="271" t="str">
        <f>IF(COUNTIF(H304:AU304,"&lt;&gt;")=0,"",SUMPRODUCT(((Recommendations[ImplStatus]="Implemented")+(Recommendations[ImplStatus]="Compensated"))*ISNUMBER(MATCH(Recommendations[Id],H304:AU304,0)))/COUNTIF(H304:AU304,"&lt;&gt;"))</f>
        <v/>
      </c>
      <c r="H304" s="272"/>
      <c r="I304" s="272"/>
      <c r="J304" s="272"/>
      <c r="K304" s="272"/>
      <c r="L304" s="272"/>
      <c r="M304" s="272"/>
      <c r="N304" s="272"/>
      <c r="O304" s="272"/>
      <c r="P304" s="272"/>
      <c r="Q304" s="272"/>
      <c r="R304" s="272"/>
      <c r="S304" s="272"/>
      <c r="T304" s="272"/>
      <c r="U304" s="272"/>
      <c r="V304" s="272"/>
      <c r="W304" s="272"/>
      <c r="X304" s="272"/>
      <c r="Y304" s="272"/>
      <c r="Z304" s="272"/>
      <c r="AA304" s="272"/>
      <c r="AB304" s="272"/>
      <c r="AC304" s="272"/>
      <c r="AD304" s="272"/>
      <c r="AE304" s="272"/>
      <c r="AF304" s="272"/>
      <c r="AG304" s="272"/>
      <c r="AH304" s="272"/>
      <c r="AI304" s="272"/>
      <c r="AJ304" s="272"/>
      <c r="AK304" s="272"/>
      <c r="AL304" s="272"/>
      <c r="AM304" s="272"/>
      <c r="AN304" s="272"/>
      <c r="AO304" s="272"/>
      <c r="AP304" s="272"/>
      <c r="AQ304" s="272"/>
      <c r="AR304" s="272"/>
      <c r="AS304" s="272"/>
      <c r="AT304" s="272"/>
      <c r="AU304" s="286"/>
    </row>
    <row r="305" spans="1:47" ht="60" customHeight="1" x14ac:dyDescent="0.35">
      <c r="A305" s="282" t="s">
        <v>7263</v>
      </c>
      <c r="B305" s="260" t="s">
        <v>3078</v>
      </c>
      <c r="C305" s="261" t="s">
        <v>7325</v>
      </c>
      <c r="D305" s="264" t="s">
        <v>7326</v>
      </c>
      <c r="E305" s="265" t="s">
        <v>6712</v>
      </c>
      <c r="F305" s="268" t="s">
        <v>7324</v>
      </c>
      <c r="G305" s="271" t="str">
        <f>IF(COUNTIF(H305:AU305,"&lt;&gt;")=0,"",SUMPRODUCT(((Recommendations[ImplStatus]="Implemented")+(Recommendations[ImplStatus]="Compensated"))*ISNUMBER(MATCH(Recommendations[Id],H305:AU305,0)))/COUNTIF(H305:AU305,"&lt;&gt;"))</f>
        <v/>
      </c>
      <c r="H305" s="272"/>
      <c r="I305" s="272"/>
      <c r="J305" s="272"/>
      <c r="K305" s="272"/>
      <c r="L305" s="272"/>
      <c r="M305" s="272"/>
      <c r="N305" s="272"/>
      <c r="O305" s="272"/>
      <c r="P305" s="272"/>
      <c r="Q305" s="272"/>
      <c r="R305" s="272"/>
      <c r="S305" s="272"/>
      <c r="T305" s="272"/>
      <c r="U305" s="272"/>
      <c r="V305" s="272"/>
      <c r="W305" s="272"/>
      <c r="X305" s="272"/>
      <c r="Y305" s="272"/>
      <c r="Z305" s="272"/>
      <c r="AA305" s="272"/>
      <c r="AB305" s="272"/>
      <c r="AC305" s="272"/>
      <c r="AD305" s="272"/>
      <c r="AE305" s="272"/>
      <c r="AF305" s="272"/>
      <c r="AG305" s="272"/>
      <c r="AH305" s="272"/>
      <c r="AI305" s="272"/>
      <c r="AJ305" s="272"/>
      <c r="AK305" s="272"/>
      <c r="AL305" s="272"/>
      <c r="AM305" s="272"/>
      <c r="AN305" s="272"/>
      <c r="AO305" s="272"/>
      <c r="AP305" s="272"/>
      <c r="AQ305" s="272"/>
      <c r="AR305" s="272"/>
      <c r="AS305" s="272"/>
      <c r="AT305" s="272"/>
      <c r="AU305" s="286"/>
    </row>
    <row r="306" spans="1:47" ht="60" customHeight="1" x14ac:dyDescent="0.35">
      <c r="A306" s="282" t="s">
        <v>7263</v>
      </c>
      <c r="B306" s="260" t="s">
        <v>3078</v>
      </c>
      <c r="C306" s="261" t="s">
        <v>7327</v>
      </c>
      <c r="D306" s="264" t="s">
        <v>7328</v>
      </c>
      <c r="E306" s="265" t="s">
        <v>6712</v>
      </c>
      <c r="F306" s="268" t="s">
        <v>7324</v>
      </c>
      <c r="G306" s="271" t="str">
        <f>IF(COUNTIF(H306:AU306,"&lt;&gt;")=0,"",SUMPRODUCT(((Recommendations[ImplStatus]="Implemented")+(Recommendations[ImplStatus]="Compensated"))*ISNUMBER(MATCH(Recommendations[Id],H306:AU306,0)))/COUNTIF(H306:AU306,"&lt;&gt;"))</f>
        <v/>
      </c>
      <c r="H306" s="272"/>
      <c r="I306" s="272"/>
      <c r="J306" s="272"/>
      <c r="K306" s="272"/>
      <c r="L306" s="272"/>
      <c r="M306" s="272"/>
      <c r="N306" s="272"/>
      <c r="O306" s="272"/>
      <c r="P306" s="272"/>
      <c r="Q306" s="272"/>
      <c r="R306" s="272"/>
      <c r="S306" s="272"/>
      <c r="T306" s="272"/>
      <c r="U306" s="272"/>
      <c r="V306" s="272"/>
      <c r="W306" s="272"/>
      <c r="X306" s="272"/>
      <c r="Y306" s="272"/>
      <c r="Z306" s="272"/>
      <c r="AA306" s="272"/>
      <c r="AB306" s="272"/>
      <c r="AC306" s="272"/>
      <c r="AD306" s="272"/>
      <c r="AE306" s="272"/>
      <c r="AF306" s="272"/>
      <c r="AG306" s="272"/>
      <c r="AH306" s="272"/>
      <c r="AI306" s="272"/>
      <c r="AJ306" s="272"/>
      <c r="AK306" s="272"/>
      <c r="AL306" s="272"/>
      <c r="AM306" s="272"/>
      <c r="AN306" s="272"/>
      <c r="AO306" s="272"/>
      <c r="AP306" s="272"/>
      <c r="AQ306" s="272"/>
      <c r="AR306" s="272"/>
      <c r="AS306" s="272"/>
      <c r="AT306" s="272"/>
      <c r="AU306" s="286"/>
    </row>
    <row r="307" spans="1:47" ht="60" customHeight="1" x14ac:dyDescent="0.35">
      <c r="A307" s="282" t="s">
        <v>7263</v>
      </c>
      <c r="B307" s="260" t="s">
        <v>3078</v>
      </c>
      <c r="C307" s="261" t="s">
        <v>7329</v>
      </c>
      <c r="D307" s="264" t="s">
        <v>7330</v>
      </c>
      <c r="E307" s="265" t="s">
        <v>6712</v>
      </c>
      <c r="F307" s="268" t="s">
        <v>7324</v>
      </c>
      <c r="G307" s="271" t="str">
        <f>IF(COUNTIF(H307:AU307,"&lt;&gt;")=0,"",SUMPRODUCT(((Recommendations[ImplStatus]="Implemented")+(Recommendations[ImplStatus]="Compensated"))*ISNUMBER(MATCH(Recommendations[Id],H307:AU307,0)))/COUNTIF(H307:AU307,"&lt;&gt;"))</f>
        <v/>
      </c>
      <c r="H307" s="272"/>
      <c r="I307" s="272"/>
      <c r="J307" s="272"/>
      <c r="K307" s="272"/>
      <c r="L307" s="272"/>
      <c r="M307" s="272"/>
      <c r="N307" s="272"/>
      <c r="O307" s="272"/>
      <c r="P307" s="272"/>
      <c r="Q307" s="272"/>
      <c r="R307" s="272"/>
      <c r="S307" s="272"/>
      <c r="T307" s="272"/>
      <c r="U307" s="272"/>
      <c r="V307" s="272"/>
      <c r="W307" s="272"/>
      <c r="X307" s="272"/>
      <c r="Y307" s="272"/>
      <c r="Z307" s="272"/>
      <c r="AA307" s="272"/>
      <c r="AB307" s="272"/>
      <c r="AC307" s="272"/>
      <c r="AD307" s="272"/>
      <c r="AE307" s="272"/>
      <c r="AF307" s="272"/>
      <c r="AG307" s="272"/>
      <c r="AH307" s="272"/>
      <c r="AI307" s="272"/>
      <c r="AJ307" s="272"/>
      <c r="AK307" s="272"/>
      <c r="AL307" s="272"/>
      <c r="AM307" s="272"/>
      <c r="AN307" s="272"/>
      <c r="AO307" s="272"/>
      <c r="AP307" s="272"/>
      <c r="AQ307" s="272"/>
      <c r="AR307" s="272"/>
      <c r="AS307" s="272"/>
      <c r="AT307" s="272"/>
      <c r="AU307" s="286"/>
    </row>
    <row r="308" spans="1:47" ht="60" customHeight="1" x14ac:dyDescent="0.35">
      <c r="A308" s="282" t="s">
        <v>7263</v>
      </c>
      <c r="B308" s="260" t="s">
        <v>3078</v>
      </c>
      <c r="C308" s="261" t="s">
        <v>7331</v>
      </c>
      <c r="D308" s="264" t="s">
        <v>7332</v>
      </c>
      <c r="E308" s="265" t="s">
        <v>6808</v>
      </c>
      <c r="F308" s="268" t="s">
        <v>7324</v>
      </c>
      <c r="G308" s="271" t="str">
        <f>IF(COUNTIF(H308:AU308,"&lt;&gt;")=0,"",SUMPRODUCT(((Recommendations[ImplStatus]="Implemented")+(Recommendations[ImplStatus]="Compensated"))*ISNUMBER(MATCH(Recommendations[Id],H308:AU308,0)))/COUNTIF(H308:AU308,"&lt;&gt;"))</f>
        <v/>
      </c>
      <c r="H308" s="272"/>
      <c r="I308" s="272"/>
      <c r="J308" s="272"/>
      <c r="K308" s="272"/>
      <c r="L308" s="272"/>
      <c r="M308" s="272"/>
      <c r="N308" s="272"/>
      <c r="O308" s="272"/>
      <c r="P308" s="272"/>
      <c r="Q308" s="272"/>
      <c r="R308" s="272"/>
      <c r="S308" s="272"/>
      <c r="T308" s="272"/>
      <c r="U308" s="272"/>
      <c r="V308" s="272"/>
      <c r="W308" s="272"/>
      <c r="X308" s="272"/>
      <c r="Y308" s="272"/>
      <c r="Z308" s="272"/>
      <c r="AA308" s="272"/>
      <c r="AB308" s="272"/>
      <c r="AC308" s="272"/>
      <c r="AD308" s="272"/>
      <c r="AE308" s="272"/>
      <c r="AF308" s="272"/>
      <c r="AG308" s="272"/>
      <c r="AH308" s="272"/>
      <c r="AI308" s="272"/>
      <c r="AJ308" s="272"/>
      <c r="AK308" s="272"/>
      <c r="AL308" s="272"/>
      <c r="AM308" s="272"/>
      <c r="AN308" s="272"/>
      <c r="AO308" s="272"/>
      <c r="AP308" s="272"/>
      <c r="AQ308" s="272"/>
      <c r="AR308" s="272"/>
      <c r="AS308" s="272"/>
      <c r="AT308" s="272"/>
      <c r="AU308" s="286"/>
    </row>
    <row r="309" spans="1:47" ht="60" customHeight="1" x14ac:dyDescent="0.35">
      <c r="A309" s="282" t="s">
        <v>7263</v>
      </c>
      <c r="B309" s="260" t="s">
        <v>3078</v>
      </c>
      <c r="C309" s="261" t="s">
        <v>7333</v>
      </c>
      <c r="D309" s="264" t="s">
        <v>7334</v>
      </c>
      <c r="E309" s="265" t="s">
        <v>6808</v>
      </c>
      <c r="F309" s="268" t="s">
        <v>7324</v>
      </c>
      <c r="G309" s="271">
        <f>IF(COUNTIF(H309:AU309,"&lt;&gt;")=0,"",SUMPRODUCT(((Recommendations[ImplStatus]="Implemented")+(Recommendations[ImplStatus]="Compensated"))*ISNUMBER(MATCH(Recommendations[Id],H309:AU309,0)))/COUNTIF(H309:AU309,"&lt;&gt;"))</f>
        <v>0</v>
      </c>
      <c r="H309" s="272" t="s">
        <v>835</v>
      </c>
      <c r="I309" s="272" t="s">
        <v>1600</v>
      </c>
      <c r="J309" s="272" t="s">
        <v>1605</v>
      </c>
      <c r="K309" s="272" t="s">
        <v>1618</v>
      </c>
      <c r="L309" s="272" t="s">
        <v>1623</v>
      </c>
      <c r="M309" s="272" t="s">
        <v>1626</v>
      </c>
      <c r="N309" s="272"/>
      <c r="O309" s="272"/>
      <c r="P309" s="272"/>
      <c r="Q309" s="272"/>
      <c r="R309" s="272"/>
      <c r="S309" s="272"/>
      <c r="T309" s="272"/>
      <c r="U309" s="272"/>
      <c r="V309" s="272"/>
      <c r="W309" s="272"/>
      <c r="X309" s="272"/>
      <c r="Y309" s="272"/>
      <c r="Z309" s="272"/>
      <c r="AA309" s="272"/>
      <c r="AB309" s="272"/>
      <c r="AC309" s="272"/>
      <c r="AD309" s="272"/>
      <c r="AE309" s="272"/>
      <c r="AF309" s="272"/>
      <c r="AG309" s="272"/>
      <c r="AH309" s="272"/>
      <c r="AI309" s="272"/>
      <c r="AJ309" s="272"/>
      <c r="AK309" s="272"/>
      <c r="AL309" s="272"/>
      <c r="AM309" s="272"/>
      <c r="AN309" s="272"/>
      <c r="AO309" s="272"/>
      <c r="AP309" s="272"/>
      <c r="AQ309" s="272"/>
      <c r="AR309" s="272"/>
      <c r="AS309" s="272"/>
      <c r="AT309" s="272"/>
      <c r="AU309" s="286"/>
    </row>
    <row r="310" spans="1:47" ht="60" customHeight="1" x14ac:dyDescent="0.35">
      <c r="A310" s="282" t="s">
        <v>7263</v>
      </c>
      <c r="B310" s="260" t="s">
        <v>3078</v>
      </c>
      <c r="C310" s="261" t="s">
        <v>7335</v>
      </c>
      <c r="D310" s="264" t="s">
        <v>7336</v>
      </c>
      <c r="E310" s="265" t="s">
        <v>6808</v>
      </c>
      <c r="F310" s="268" t="s">
        <v>7324</v>
      </c>
      <c r="G310" s="271" t="str">
        <f>IF(COUNTIF(H310:AU310,"&lt;&gt;")=0,"",SUMPRODUCT(((Recommendations[ImplStatus]="Implemented")+(Recommendations[ImplStatus]="Compensated"))*ISNUMBER(MATCH(Recommendations[Id],H310:AU310,0)))/COUNTIF(H310:AU310,"&lt;&gt;"))</f>
        <v/>
      </c>
      <c r="H310" s="272"/>
      <c r="I310" s="272"/>
      <c r="J310" s="272"/>
      <c r="K310" s="272"/>
      <c r="L310" s="272"/>
      <c r="M310" s="272"/>
      <c r="N310" s="272"/>
      <c r="O310" s="272"/>
      <c r="P310" s="272"/>
      <c r="Q310" s="272"/>
      <c r="R310" s="272"/>
      <c r="S310" s="272"/>
      <c r="T310" s="272"/>
      <c r="U310" s="272"/>
      <c r="V310" s="272"/>
      <c r="W310" s="272"/>
      <c r="X310" s="272"/>
      <c r="Y310" s="272"/>
      <c r="Z310" s="272"/>
      <c r="AA310" s="272"/>
      <c r="AB310" s="272"/>
      <c r="AC310" s="272"/>
      <c r="AD310" s="272"/>
      <c r="AE310" s="272"/>
      <c r="AF310" s="272"/>
      <c r="AG310" s="272"/>
      <c r="AH310" s="272"/>
      <c r="AI310" s="272"/>
      <c r="AJ310" s="272"/>
      <c r="AK310" s="272"/>
      <c r="AL310" s="272"/>
      <c r="AM310" s="272"/>
      <c r="AN310" s="272"/>
      <c r="AO310" s="272"/>
      <c r="AP310" s="272"/>
      <c r="AQ310" s="272"/>
      <c r="AR310" s="272"/>
      <c r="AS310" s="272"/>
      <c r="AT310" s="272"/>
      <c r="AU310" s="286"/>
    </row>
    <row r="311" spans="1:47" ht="60" customHeight="1" x14ac:dyDescent="0.35">
      <c r="A311" s="282" t="s">
        <v>7263</v>
      </c>
      <c r="B311" s="260" t="s">
        <v>3078</v>
      </c>
      <c r="C311" s="261" t="s">
        <v>7337</v>
      </c>
      <c r="D311" s="264" t="s">
        <v>7338</v>
      </c>
      <c r="E311" s="265" t="s">
        <v>6808</v>
      </c>
      <c r="F311" s="268" t="s">
        <v>7324</v>
      </c>
      <c r="G311" s="271" t="str">
        <f>IF(COUNTIF(H311:AU311,"&lt;&gt;")=0,"",SUMPRODUCT(((Recommendations[ImplStatus]="Implemented")+(Recommendations[ImplStatus]="Compensated"))*ISNUMBER(MATCH(Recommendations[Id],H311:AU311,0)))/COUNTIF(H311:AU311,"&lt;&gt;"))</f>
        <v/>
      </c>
      <c r="H311" s="272"/>
      <c r="I311" s="272"/>
      <c r="J311" s="272"/>
      <c r="K311" s="272"/>
      <c r="L311" s="272"/>
      <c r="M311" s="272"/>
      <c r="N311" s="272"/>
      <c r="O311" s="272"/>
      <c r="P311" s="272"/>
      <c r="Q311" s="272"/>
      <c r="R311" s="272"/>
      <c r="S311" s="272"/>
      <c r="T311" s="272"/>
      <c r="U311" s="272"/>
      <c r="V311" s="272"/>
      <c r="W311" s="272"/>
      <c r="X311" s="272"/>
      <c r="Y311" s="272"/>
      <c r="Z311" s="272"/>
      <c r="AA311" s="272"/>
      <c r="AB311" s="272"/>
      <c r="AC311" s="272"/>
      <c r="AD311" s="272"/>
      <c r="AE311" s="272"/>
      <c r="AF311" s="272"/>
      <c r="AG311" s="272"/>
      <c r="AH311" s="272"/>
      <c r="AI311" s="272"/>
      <c r="AJ311" s="272"/>
      <c r="AK311" s="272"/>
      <c r="AL311" s="272"/>
      <c r="AM311" s="272"/>
      <c r="AN311" s="272"/>
      <c r="AO311" s="272"/>
      <c r="AP311" s="272"/>
      <c r="AQ311" s="272"/>
      <c r="AR311" s="272"/>
      <c r="AS311" s="272"/>
      <c r="AT311" s="272"/>
      <c r="AU311" s="286"/>
    </row>
    <row r="312" spans="1:47" ht="60" customHeight="1" x14ac:dyDescent="0.35">
      <c r="A312" s="282" t="s">
        <v>7263</v>
      </c>
      <c r="B312" s="260" t="s">
        <v>3078</v>
      </c>
      <c r="C312" s="261" t="s">
        <v>7339</v>
      </c>
      <c r="D312" s="264" t="s">
        <v>7340</v>
      </c>
      <c r="E312" s="265" t="s">
        <v>6808</v>
      </c>
      <c r="F312" s="268" t="s">
        <v>7324</v>
      </c>
      <c r="G312" s="271" t="str">
        <f>IF(COUNTIF(H312:AU312,"&lt;&gt;")=0,"",SUMPRODUCT(((Recommendations[ImplStatus]="Implemented")+(Recommendations[ImplStatus]="Compensated"))*ISNUMBER(MATCH(Recommendations[Id],H312:AU312,0)))/COUNTIF(H312:AU312,"&lt;&gt;"))</f>
        <v/>
      </c>
      <c r="H312" s="272"/>
      <c r="I312" s="272"/>
      <c r="J312" s="272"/>
      <c r="K312" s="272"/>
      <c r="L312" s="272"/>
      <c r="M312" s="272"/>
      <c r="N312" s="272"/>
      <c r="O312" s="272"/>
      <c r="P312" s="272"/>
      <c r="Q312" s="272"/>
      <c r="R312" s="272"/>
      <c r="S312" s="272"/>
      <c r="T312" s="272"/>
      <c r="U312" s="272"/>
      <c r="V312" s="272"/>
      <c r="W312" s="272"/>
      <c r="X312" s="272"/>
      <c r="Y312" s="272"/>
      <c r="Z312" s="272"/>
      <c r="AA312" s="272"/>
      <c r="AB312" s="272"/>
      <c r="AC312" s="272"/>
      <c r="AD312" s="272"/>
      <c r="AE312" s="272"/>
      <c r="AF312" s="272"/>
      <c r="AG312" s="272"/>
      <c r="AH312" s="272"/>
      <c r="AI312" s="272"/>
      <c r="AJ312" s="272"/>
      <c r="AK312" s="272"/>
      <c r="AL312" s="272"/>
      <c r="AM312" s="272"/>
      <c r="AN312" s="272"/>
      <c r="AO312" s="272"/>
      <c r="AP312" s="272"/>
      <c r="AQ312" s="272"/>
      <c r="AR312" s="272"/>
      <c r="AS312" s="272"/>
      <c r="AT312" s="272"/>
      <c r="AU312" s="286"/>
    </row>
    <row r="313" spans="1:47" ht="60" customHeight="1" x14ac:dyDescent="0.35">
      <c r="A313" s="282" t="s">
        <v>7263</v>
      </c>
      <c r="B313" s="260" t="s">
        <v>3078</v>
      </c>
      <c r="C313" s="261" t="s">
        <v>7341</v>
      </c>
      <c r="D313" s="264" t="s">
        <v>7342</v>
      </c>
      <c r="E313" s="265" t="s">
        <v>6741</v>
      </c>
      <c r="F313" s="268" t="s">
        <v>7324</v>
      </c>
      <c r="G313" s="271" t="str">
        <f>IF(COUNTIF(H313:AU313,"&lt;&gt;")=0,"",SUMPRODUCT(((Recommendations[ImplStatus]="Implemented")+(Recommendations[ImplStatus]="Compensated"))*ISNUMBER(MATCH(Recommendations[Id],H313:AU313,0)))/COUNTIF(H313:AU313,"&lt;&gt;"))</f>
        <v/>
      </c>
      <c r="H313" s="272"/>
      <c r="I313" s="272"/>
      <c r="J313" s="272"/>
      <c r="K313" s="272"/>
      <c r="L313" s="272"/>
      <c r="M313" s="272"/>
      <c r="N313" s="272"/>
      <c r="O313" s="272"/>
      <c r="P313" s="272"/>
      <c r="Q313" s="272"/>
      <c r="R313" s="272"/>
      <c r="S313" s="272"/>
      <c r="T313" s="272"/>
      <c r="U313" s="272"/>
      <c r="V313" s="272"/>
      <c r="W313" s="272"/>
      <c r="X313" s="272"/>
      <c r="Y313" s="272"/>
      <c r="Z313" s="272"/>
      <c r="AA313" s="272"/>
      <c r="AB313" s="272"/>
      <c r="AC313" s="272"/>
      <c r="AD313" s="272"/>
      <c r="AE313" s="272"/>
      <c r="AF313" s="272"/>
      <c r="AG313" s="272"/>
      <c r="AH313" s="272"/>
      <c r="AI313" s="272"/>
      <c r="AJ313" s="272"/>
      <c r="AK313" s="272"/>
      <c r="AL313" s="272"/>
      <c r="AM313" s="272"/>
      <c r="AN313" s="272"/>
      <c r="AO313" s="272"/>
      <c r="AP313" s="272"/>
      <c r="AQ313" s="272"/>
      <c r="AR313" s="272"/>
      <c r="AS313" s="272"/>
      <c r="AT313" s="272"/>
      <c r="AU313" s="286"/>
    </row>
    <row r="314" spans="1:47" ht="60" customHeight="1" x14ac:dyDescent="0.35">
      <c r="A314" s="282" t="s">
        <v>7263</v>
      </c>
      <c r="B314" s="260" t="s">
        <v>3078</v>
      </c>
      <c r="C314" s="261" t="s">
        <v>7343</v>
      </c>
      <c r="D314" s="264" t="s">
        <v>7344</v>
      </c>
      <c r="E314" s="265" t="s">
        <v>6741</v>
      </c>
      <c r="F314" s="268" t="s">
        <v>7324</v>
      </c>
      <c r="G314" s="271" t="str">
        <f>IF(COUNTIF(H314:AU314,"&lt;&gt;")=0,"",SUMPRODUCT(((Recommendations[ImplStatus]="Implemented")+(Recommendations[ImplStatus]="Compensated"))*ISNUMBER(MATCH(Recommendations[Id],H314:AU314,0)))/COUNTIF(H314:AU314,"&lt;&gt;"))</f>
        <v/>
      </c>
      <c r="H314" s="272"/>
      <c r="I314" s="272"/>
      <c r="J314" s="272"/>
      <c r="K314" s="272"/>
      <c r="L314" s="272"/>
      <c r="M314" s="272"/>
      <c r="N314" s="272"/>
      <c r="O314" s="272"/>
      <c r="P314" s="272"/>
      <c r="Q314" s="272"/>
      <c r="R314" s="272"/>
      <c r="S314" s="272"/>
      <c r="T314" s="272"/>
      <c r="U314" s="272"/>
      <c r="V314" s="272"/>
      <c r="W314" s="272"/>
      <c r="X314" s="272"/>
      <c r="Y314" s="272"/>
      <c r="Z314" s="272"/>
      <c r="AA314" s="272"/>
      <c r="AB314" s="272"/>
      <c r="AC314" s="272"/>
      <c r="AD314" s="272"/>
      <c r="AE314" s="272"/>
      <c r="AF314" s="272"/>
      <c r="AG314" s="272"/>
      <c r="AH314" s="272"/>
      <c r="AI314" s="272"/>
      <c r="AJ314" s="272"/>
      <c r="AK314" s="272"/>
      <c r="AL314" s="272"/>
      <c r="AM314" s="272"/>
      <c r="AN314" s="272"/>
      <c r="AO314" s="272"/>
      <c r="AP314" s="272"/>
      <c r="AQ314" s="272"/>
      <c r="AR314" s="272"/>
      <c r="AS314" s="272"/>
      <c r="AT314" s="272"/>
      <c r="AU314" s="286"/>
    </row>
    <row r="315" spans="1:47" ht="60" customHeight="1" x14ac:dyDescent="0.35">
      <c r="A315" s="282" t="s">
        <v>7263</v>
      </c>
      <c r="B315" s="260" t="s">
        <v>3078</v>
      </c>
      <c r="C315" s="261" t="s">
        <v>7345</v>
      </c>
      <c r="D315" s="264" t="s">
        <v>7346</v>
      </c>
      <c r="E315" s="265" t="s">
        <v>6741</v>
      </c>
      <c r="F315" s="268" t="s">
        <v>7324</v>
      </c>
      <c r="G315" s="271" t="str">
        <f>IF(COUNTIF(H315:AU315,"&lt;&gt;")=0,"",SUMPRODUCT(((Recommendations[ImplStatus]="Implemented")+(Recommendations[ImplStatus]="Compensated"))*ISNUMBER(MATCH(Recommendations[Id],H315:AU315,0)))/COUNTIF(H315:AU315,"&lt;&gt;"))</f>
        <v/>
      </c>
      <c r="H315" s="272"/>
      <c r="I315" s="272"/>
      <c r="J315" s="272"/>
      <c r="K315" s="272"/>
      <c r="L315" s="272"/>
      <c r="M315" s="272"/>
      <c r="N315" s="272"/>
      <c r="O315" s="272"/>
      <c r="P315" s="272"/>
      <c r="Q315" s="272"/>
      <c r="R315" s="272"/>
      <c r="S315" s="272"/>
      <c r="T315" s="272"/>
      <c r="U315" s="272"/>
      <c r="V315" s="272"/>
      <c r="W315" s="272"/>
      <c r="X315" s="272"/>
      <c r="Y315" s="272"/>
      <c r="Z315" s="272"/>
      <c r="AA315" s="272"/>
      <c r="AB315" s="272"/>
      <c r="AC315" s="272"/>
      <c r="AD315" s="272"/>
      <c r="AE315" s="272"/>
      <c r="AF315" s="272"/>
      <c r="AG315" s="272"/>
      <c r="AH315" s="272"/>
      <c r="AI315" s="272"/>
      <c r="AJ315" s="272"/>
      <c r="AK315" s="272"/>
      <c r="AL315" s="272"/>
      <c r="AM315" s="272"/>
      <c r="AN315" s="272"/>
      <c r="AO315" s="272"/>
      <c r="AP315" s="272"/>
      <c r="AQ315" s="272"/>
      <c r="AR315" s="272"/>
      <c r="AS315" s="272"/>
      <c r="AT315" s="272"/>
      <c r="AU315" s="286"/>
    </row>
    <row r="316" spans="1:47" ht="60" customHeight="1" x14ac:dyDescent="0.35">
      <c r="A316" s="282" t="s">
        <v>7263</v>
      </c>
      <c r="B316" s="260" t="s">
        <v>3078</v>
      </c>
      <c r="C316" s="261" t="s">
        <v>7347</v>
      </c>
      <c r="D316" s="264" t="s">
        <v>7348</v>
      </c>
      <c r="E316" s="265" t="s">
        <v>6741</v>
      </c>
      <c r="F316" s="268" t="s">
        <v>7324</v>
      </c>
      <c r="G316" s="271" t="str">
        <f>IF(COUNTIF(H316:AU316,"&lt;&gt;")=0,"",SUMPRODUCT(((Recommendations[ImplStatus]="Implemented")+(Recommendations[ImplStatus]="Compensated"))*ISNUMBER(MATCH(Recommendations[Id],H316:AU316,0)))/COUNTIF(H316:AU316,"&lt;&gt;"))</f>
        <v/>
      </c>
      <c r="H316" s="272"/>
      <c r="I316" s="272"/>
      <c r="J316" s="272"/>
      <c r="K316" s="272"/>
      <c r="L316" s="272"/>
      <c r="M316" s="272"/>
      <c r="N316" s="272"/>
      <c r="O316" s="272"/>
      <c r="P316" s="272"/>
      <c r="Q316" s="272"/>
      <c r="R316" s="272"/>
      <c r="S316" s="272"/>
      <c r="T316" s="272"/>
      <c r="U316" s="272"/>
      <c r="V316" s="272"/>
      <c r="W316" s="272"/>
      <c r="X316" s="272"/>
      <c r="Y316" s="272"/>
      <c r="Z316" s="272"/>
      <c r="AA316" s="272"/>
      <c r="AB316" s="272"/>
      <c r="AC316" s="272"/>
      <c r="AD316" s="272"/>
      <c r="AE316" s="272"/>
      <c r="AF316" s="272"/>
      <c r="AG316" s="272"/>
      <c r="AH316" s="272"/>
      <c r="AI316" s="272"/>
      <c r="AJ316" s="272"/>
      <c r="AK316" s="272"/>
      <c r="AL316" s="272"/>
      <c r="AM316" s="272"/>
      <c r="AN316" s="272"/>
      <c r="AO316" s="272"/>
      <c r="AP316" s="272"/>
      <c r="AQ316" s="272"/>
      <c r="AR316" s="272"/>
      <c r="AS316" s="272"/>
      <c r="AT316" s="272"/>
      <c r="AU316" s="286"/>
    </row>
    <row r="317" spans="1:47" ht="60" customHeight="1" x14ac:dyDescent="0.35">
      <c r="A317" s="282" t="s">
        <v>7263</v>
      </c>
      <c r="B317" s="260" t="s">
        <v>3078</v>
      </c>
      <c r="C317" s="261" t="s">
        <v>7349</v>
      </c>
      <c r="D317" s="264" t="s">
        <v>7350</v>
      </c>
      <c r="E317" s="265" t="s">
        <v>6808</v>
      </c>
      <c r="F317" s="268" t="s">
        <v>7282</v>
      </c>
      <c r="G317" s="271" t="str">
        <f>IF(COUNTIF(H317:AU317,"&lt;&gt;")=0,"",SUMPRODUCT(((Recommendations[ImplStatus]="Implemented")+(Recommendations[ImplStatus]="Compensated"))*ISNUMBER(MATCH(Recommendations[Id],H317:AU317,0)))/COUNTIF(H317:AU317,"&lt;&gt;"))</f>
        <v/>
      </c>
      <c r="H317" s="272"/>
      <c r="I317" s="272"/>
      <c r="J317" s="272"/>
      <c r="K317" s="272"/>
      <c r="L317" s="272"/>
      <c r="M317" s="272"/>
      <c r="N317" s="272"/>
      <c r="O317" s="272"/>
      <c r="P317" s="272"/>
      <c r="Q317" s="272"/>
      <c r="R317" s="272"/>
      <c r="S317" s="272"/>
      <c r="T317" s="272"/>
      <c r="U317" s="272"/>
      <c r="V317" s="272"/>
      <c r="W317" s="272"/>
      <c r="X317" s="272"/>
      <c r="Y317" s="272"/>
      <c r="Z317" s="272"/>
      <c r="AA317" s="272"/>
      <c r="AB317" s="272"/>
      <c r="AC317" s="272"/>
      <c r="AD317" s="272"/>
      <c r="AE317" s="272"/>
      <c r="AF317" s="272"/>
      <c r="AG317" s="272"/>
      <c r="AH317" s="272"/>
      <c r="AI317" s="272"/>
      <c r="AJ317" s="272"/>
      <c r="AK317" s="272"/>
      <c r="AL317" s="272"/>
      <c r="AM317" s="272"/>
      <c r="AN317" s="272"/>
      <c r="AO317" s="272"/>
      <c r="AP317" s="272"/>
      <c r="AQ317" s="272"/>
      <c r="AR317" s="272"/>
      <c r="AS317" s="272"/>
      <c r="AT317" s="272"/>
      <c r="AU317" s="286"/>
    </row>
    <row r="318" spans="1:47" ht="60" customHeight="1" x14ac:dyDescent="0.35">
      <c r="A318" s="282" t="s">
        <v>7263</v>
      </c>
      <c r="B318" s="260" t="s">
        <v>3078</v>
      </c>
      <c r="C318" s="261" t="s">
        <v>7351</v>
      </c>
      <c r="D318" s="264" t="s">
        <v>7352</v>
      </c>
      <c r="E318" s="265" t="s">
        <v>6856</v>
      </c>
      <c r="F318" s="268" t="s">
        <v>7282</v>
      </c>
      <c r="G318" s="271" t="str">
        <f>IF(COUNTIF(H318:AU318,"&lt;&gt;")=0,"",SUMPRODUCT(((Recommendations[ImplStatus]="Implemented")+(Recommendations[ImplStatus]="Compensated"))*ISNUMBER(MATCH(Recommendations[Id],H318:AU318,0)))/COUNTIF(H318:AU318,"&lt;&gt;"))</f>
        <v/>
      </c>
      <c r="H318" s="272"/>
      <c r="I318" s="272"/>
      <c r="J318" s="272"/>
      <c r="K318" s="272"/>
      <c r="L318" s="272"/>
      <c r="M318" s="272"/>
      <c r="N318" s="272"/>
      <c r="O318" s="272"/>
      <c r="P318" s="272"/>
      <c r="Q318" s="272"/>
      <c r="R318" s="272"/>
      <c r="S318" s="272"/>
      <c r="T318" s="272"/>
      <c r="U318" s="272"/>
      <c r="V318" s="272"/>
      <c r="W318" s="272"/>
      <c r="X318" s="272"/>
      <c r="Y318" s="272"/>
      <c r="Z318" s="272"/>
      <c r="AA318" s="272"/>
      <c r="AB318" s="272"/>
      <c r="AC318" s="272"/>
      <c r="AD318" s="272"/>
      <c r="AE318" s="272"/>
      <c r="AF318" s="272"/>
      <c r="AG318" s="272"/>
      <c r="AH318" s="272"/>
      <c r="AI318" s="272"/>
      <c r="AJ318" s="272"/>
      <c r="AK318" s="272"/>
      <c r="AL318" s="272"/>
      <c r="AM318" s="272"/>
      <c r="AN318" s="272"/>
      <c r="AO318" s="272"/>
      <c r="AP318" s="272"/>
      <c r="AQ318" s="272"/>
      <c r="AR318" s="272"/>
      <c r="AS318" s="272"/>
      <c r="AT318" s="272"/>
      <c r="AU318" s="286"/>
    </row>
    <row r="319" spans="1:47" ht="60" customHeight="1" x14ac:dyDescent="0.35">
      <c r="A319" s="282" t="s">
        <v>7263</v>
      </c>
      <c r="B319" s="260" t="s">
        <v>3078</v>
      </c>
      <c r="C319" s="261" t="s">
        <v>7353</v>
      </c>
      <c r="D319" s="264" t="s">
        <v>7354</v>
      </c>
      <c r="E319" s="265" t="s">
        <v>6856</v>
      </c>
      <c r="F319" s="268" t="s">
        <v>7282</v>
      </c>
      <c r="G319" s="271" t="str">
        <f>IF(COUNTIF(H319:AU319,"&lt;&gt;")=0,"",SUMPRODUCT(((Recommendations[ImplStatus]="Implemented")+(Recommendations[ImplStatus]="Compensated"))*ISNUMBER(MATCH(Recommendations[Id],H319:AU319,0)))/COUNTIF(H319:AU319,"&lt;&gt;"))</f>
        <v/>
      </c>
      <c r="H319" s="272"/>
      <c r="I319" s="272"/>
      <c r="J319" s="272"/>
      <c r="K319" s="272"/>
      <c r="L319" s="272"/>
      <c r="M319" s="272"/>
      <c r="N319" s="272"/>
      <c r="O319" s="272"/>
      <c r="P319" s="272"/>
      <c r="Q319" s="272"/>
      <c r="R319" s="272"/>
      <c r="S319" s="272"/>
      <c r="T319" s="272"/>
      <c r="U319" s="272"/>
      <c r="V319" s="272"/>
      <c r="W319" s="272"/>
      <c r="X319" s="272"/>
      <c r="Y319" s="272"/>
      <c r="Z319" s="272"/>
      <c r="AA319" s="272"/>
      <c r="AB319" s="272"/>
      <c r="AC319" s="272"/>
      <c r="AD319" s="272"/>
      <c r="AE319" s="272"/>
      <c r="AF319" s="272"/>
      <c r="AG319" s="272"/>
      <c r="AH319" s="272"/>
      <c r="AI319" s="272"/>
      <c r="AJ319" s="272"/>
      <c r="AK319" s="272"/>
      <c r="AL319" s="272"/>
      <c r="AM319" s="272"/>
      <c r="AN319" s="272"/>
      <c r="AO319" s="272"/>
      <c r="AP319" s="272"/>
      <c r="AQ319" s="272"/>
      <c r="AR319" s="272"/>
      <c r="AS319" s="272"/>
      <c r="AT319" s="272"/>
      <c r="AU319" s="286"/>
    </row>
    <row r="320" spans="1:47" ht="60" customHeight="1" outlineLevel="2" x14ac:dyDescent="0.35">
      <c r="A320" s="281" t="s">
        <v>7263</v>
      </c>
      <c r="B320" s="259" t="s">
        <v>7355</v>
      </c>
      <c r="C320" s="259"/>
      <c r="D320" s="263"/>
      <c r="E320" s="259"/>
      <c r="F320" s="267"/>
      <c r="G320" s="270" t="str">
        <f>IF(COUNTIF(H320:AU320,"&lt;&gt;")=0,"",SUMPRODUCT(((Recommendations[ImplStatus]="Implemented")+(Recommendations[ImplStatus]="Compensated"))*ISNUMBER(MATCH(Recommendations[Id],H320:AU320,0)))/COUNTIF(H320:AU320,"&lt;&gt;"))</f>
        <v/>
      </c>
      <c r="H320" s="267"/>
      <c r="I320" s="267"/>
      <c r="J320" s="267"/>
      <c r="K320" s="267"/>
      <c r="L320" s="267"/>
      <c r="M320" s="267"/>
      <c r="N320" s="267"/>
      <c r="O320" s="267"/>
      <c r="P320" s="267"/>
      <c r="Q320" s="267"/>
      <c r="R320" s="267"/>
      <c r="S320" s="267"/>
      <c r="T320" s="267"/>
      <c r="U320" s="267"/>
      <c r="V320" s="267"/>
      <c r="W320" s="267"/>
      <c r="X320" s="267"/>
      <c r="Y320" s="267"/>
      <c r="Z320" s="267"/>
      <c r="AA320" s="267"/>
      <c r="AB320" s="267"/>
      <c r="AC320" s="267"/>
      <c r="AD320" s="267"/>
      <c r="AE320" s="267"/>
      <c r="AF320" s="267"/>
      <c r="AG320" s="267"/>
      <c r="AH320" s="267"/>
      <c r="AI320" s="267"/>
      <c r="AJ320" s="267"/>
      <c r="AK320" s="267"/>
      <c r="AL320" s="267"/>
      <c r="AM320" s="267"/>
      <c r="AN320" s="267"/>
      <c r="AO320" s="267"/>
      <c r="AP320" s="267"/>
      <c r="AQ320" s="267"/>
      <c r="AR320" s="267"/>
      <c r="AS320" s="267"/>
      <c r="AT320" s="267"/>
      <c r="AU320" s="285"/>
    </row>
    <row r="321" spans="1:47" ht="60" customHeight="1" x14ac:dyDescent="0.35">
      <c r="A321" s="282" t="s">
        <v>7263</v>
      </c>
      <c r="B321" s="260" t="s">
        <v>7355</v>
      </c>
      <c r="C321" s="261" t="s">
        <v>7356</v>
      </c>
      <c r="D321" s="264" t="s">
        <v>7357</v>
      </c>
      <c r="E321" s="265" t="s">
        <v>6741</v>
      </c>
      <c r="F321" s="268" t="s">
        <v>7358</v>
      </c>
      <c r="G321" s="271" t="str">
        <f>IF(COUNTIF(H321:AU321,"&lt;&gt;")=0,"",SUMPRODUCT(((Recommendations[ImplStatus]="Implemented")+(Recommendations[ImplStatus]="Compensated"))*ISNUMBER(MATCH(Recommendations[Id],H321:AU321,0)))/COUNTIF(H321:AU321,"&lt;&gt;"))</f>
        <v/>
      </c>
      <c r="H321" s="272"/>
      <c r="I321" s="272"/>
      <c r="J321" s="272"/>
      <c r="K321" s="272"/>
      <c r="L321" s="272"/>
      <c r="M321" s="272"/>
      <c r="N321" s="272"/>
      <c r="O321" s="272"/>
      <c r="P321" s="272"/>
      <c r="Q321" s="272"/>
      <c r="R321" s="272"/>
      <c r="S321" s="272"/>
      <c r="T321" s="272"/>
      <c r="U321" s="272"/>
      <c r="V321" s="272"/>
      <c r="W321" s="272"/>
      <c r="X321" s="272"/>
      <c r="Y321" s="272"/>
      <c r="Z321" s="272"/>
      <c r="AA321" s="272"/>
      <c r="AB321" s="272"/>
      <c r="AC321" s="272"/>
      <c r="AD321" s="272"/>
      <c r="AE321" s="272"/>
      <c r="AF321" s="272"/>
      <c r="AG321" s="272"/>
      <c r="AH321" s="272"/>
      <c r="AI321" s="272"/>
      <c r="AJ321" s="272"/>
      <c r="AK321" s="272"/>
      <c r="AL321" s="272"/>
      <c r="AM321" s="272"/>
      <c r="AN321" s="272"/>
      <c r="AO321" s="272"/>
      <c r="AP321" s="272"/>
      <c r="AQ321" s="272"/>
      <c r="AR321" s="272"/>
      <c r="AS321" s="272"/>
      <c r="AT321" s="272"/>
      <c r="AU321" s="286"/>
    </row>
    <row r="322" spans="1:47" ht="60" customHeight="1" x14ac:dyDescent="0.35">
      <c r="A322" s="282" t="s">
        <v>7263</v>
      </c>
      <c r="B322" s="260" t="s">
        <v>7355</v>
      </c>
      <c r="C322" s="261" t="s">
        <v>7359</v>
      </c>
      <c r="D322" s="264" t="s">
        <v>7360</v>
      </c>
      <c r="E322" s="265" t="s">
        <v>6741</v>
      </c>
      <c r="F322" s="268" t="s">
        <v>7358</v>
      </c>
      <c r="G322" s="271" t="str">
        <f>IF(COUNTIF(H322:AU322,"&lt;&gt;")=0,"",SUMPRODUCT(((Recommendations[ImplStatus]="Implemented")+(Recommendations[ImplStatus]="Compensated"))*ISNUMBER(MATCH(Recommendations[Id],H322:AU322,0)))/COUNTIF(H322:AU322,"&lt;&gt;"))</f>
        <v/>
      </c>
      <c r="H322" s="272"/>
      <c r="I322" s="272"/>
      <c r="J322" s="272"/>
      <c r="K322" s="272"/>
      <c r="L322" s="272"/>
      <c r="M322" s="272"/>
      <c r="N322" s="272"/>
      <c r="O322" s="272"/>
      <c r="P322" s="272"/>
      <c r="Q322" s="272"/>
      <c r="R322" s="272"/>
      <c r="S322" s="272"/>
      <c r="T322" s="272"/>
      <c r="U322" s="272"/>
      <c r="V322" s="272"/>
      <c r="W322" s="272"/>
      <c r="X322" s="272"/>
      <c r="Y322" s="272"/>
      <c r="Z322" s="272"/>
      <c r="AA322" s="272"/>
      <c r="AB322" s="272"/>
      <c r="AC322" s="272"/>
      <c r="AD322" s="272"/>
      <c r="AE322" s="272"/>
      <c r="AF322" s="272"/>
      <c r="AG322" s="272"/>
      <c r="AH322" s="272"/>
      <c r="AI322" s="272"/>
      <c r="AJ322" s="272"/>
      <c r="AK322" s="272"/>
      <c r="AL322" s="272"/>
      <c r="AM322" s="272"/>
      <c r="AN322" s="272"/>
      <c r="AO322" s="272"/>
      <c r="AP322" s="272"/>
      <c r="AQ322" s="272"/>
      <c r="AR322" s="272"/>
      <c r="AS322" s="272"/>
      <c r="AT322" s="272"/>
      <c r="AU322" s="286"/>
    </row>
    <row r="323" spans="1:47" ht="60" customHeight="1" x14ac:dyDescent="0.35">
      <c r="A323" s="282" t="s">
        <v>7263</v>
      </c>
      <c r="B323" s="260" t="s">
        <v>7355</v>
      </c>
      <c r="C323" s="261" t="s">
        <v>7361</v>
      </c>
      <c r="D323" s="264" t="s">
        <v>7362</v>
      </c>
      <c r="E323" s="265" t="s">
        <v>6741</v>
      </c>
      <c r="F323" s="268" t="s">
        <v>7358</v>
      </c>
      <c r="G323" s="271" t="str">
        <f>IF(COUNTIF(H323:AU323,"&lt;&gt;")=0,"",SUMPRODUCT(((Recommendations[ImplStatus]="Implemented")+(Recommendations[ImplStatus]="Compensated"))*ISNUMBER(MATCH(Recommendations[Id],H323:AU323,0)))/COUNTIF(H323:AU323,"&lt;&gt;"))</f>
        <v/>
      </c>
      <c r="H323" s="272"/>
      <c r="I323" s="272"/>
      <c r="J323" s="272"/>
      <c r="K323" s="272"/>
      <c r="L323" s="272"/>
      <c r="M323" s="272"/>
      <c r="N323" s="272"/>
      <c r="O323" s="272"/>
      <c r="P323" s="272"/>
      <c r="Q323" s="272"/>
      <c r="R323" s="272"/>
      <c r="S323" s="272"/>
      <c r="T323" s="272"/>
      <c r="U323" s="272"/>
      <c r="V323" s="272"/>
      <c r="W323" s="272"/>
      <c r="X323" s="272"/>
      <c r="Y323" s="272"/>
      <c r="Z323" s="272"/>
      <c r="AA323" s="272"/>
      <c r="AB323" s="272"/>
      <c r="AC323" s="272"/>
      <c r="AD323" s="272"/>
      <c r="AE323" s="272"/>
      <c r="AF323" s="272"/>
      <c r="AG323" s="272"/>
      <c r="AH323" s="272"/>
      <c r="AI323" s="272"/>
      <c r="AJ323" s="272"/>
      <c r="AK323" s="272"/>
      <c r="AL323" s="272"/>
      <c r="AM323" s="272"/>
      <c r="AN323" s="272"/>
      <c r="AO323" s="272"/>
      <c r="AP323" s="272"/>
      <c r="AQ323" s="272"/>
      <c r="AR323" s="272"/>
      <c r="AS323" s="272"/>
      <c r="AT323" s="272"/>
      <c r="AU323" s="286"/>
    </row>
    <row r="324" spans="1:47" ht="60" customHeight="1" x14ac:dyDescent="0.35">
      <c r="A324" s="282" t="s">
        <v>7263</v>
      </c>
      <c r="B324" s="260" t="s">
        <v>7355</v>
      </c>
      <c r="C324" s="261" t="s">
        <v>7363</v>
      </c>
      <c r="D324" s="264" t="s">
        <v>7364</v>
      </c>
      <c r="E324" s="265" t="s">
        <v>6741</v>
      </c>
      <c r="F324" s="268" t="s">
        <v>7358</v>
      </c>
      <c r="G324" s="271" t="str">
        <f>IF(COUNTIF(H324:AU324,"&lt;&gt;")=0,"",SUMPRODUCT(((Recommendations[ImplStatus]="Implemented")+(Recommendations[ImplStatus]="Compensated"))*ISNUMBER(MATCH(Recommendations[Id],H324:AU324,0)))/COUNTIF(H324:AU324,"&lt;&gt;"))</f>
        <v/>
      </c>
      <c r="H324" s="272"/>
      <c r="I324" s="272"/>
      <c r="J324" s="272"/>
      <c r="K324" s="272"/>
      <c r="L324" s="272"/>
      <c r="M324" s="272"/>
      <c r="N324" s="272"/>
      <c r="O324" s="272"/>
      <c r="P324" s="272"/>
      <c r="Q324" s="272"/>
      <c r="R324" s="272"/>
      <c r="S324" s="272"/>
      <c r="T324" s="272"/>
      <c r="U324" s="272"/>
      <c r="V324" s="272"/>
      <c r="W324" s="272"/>
      <c r="X324" s="272"/>
      <c r="Y324" s="272"/>
      <c r="Z324" s="272"/>
      <c r="AA324" s="272"/>
      <c r="AB324" s="272"/>
      <c r="AC324" s="272"/>
      <c r="AD324" s="272"/>
      <c r="AE324" s="272"/>
      <c r="AF324" s="272"/>
      <c r="AG324" s="272"/>
      <c r="AH324" s="272"/>
      <c r="AI324" s="272"/>
      <c r="AJ324" s="272"/>
      <c r="AK324" s="272"/>
      <c r="AL324" s="272"/>
      <c r="AM324" s="272"/>
      <c r="AN324" s="272"/>
      <c r="AO324" s="272"/>
      <c r="AP324" s="272"/>
      <c r="AQ324" s="272"/>
      <c r="AR324" s="272"/>
      <c r="AS324" s="272"/>
      <c r="AT324" s="272"/>
      <c r="AU324" s="286"/>
    </row>
    <row r="325" spans="1:47" ht="60" customHeight="1" x14ac:dyDescent="0.35">
      <c r="A325" s="282" t="s">
        <v>7263</v>
      </c>
      <c r="B325" s="260" t="s">
        <v>7355</v>
      </c>
      <c r="C325" s="261" t="s">
        <v>7365</v>
      </c>
      <c r="D325" s="264" t="s">
        <v>7366</v>
      </c>
      <c r="E325" s="265" t="s">
        <v>6741</v>
      </c>
      <c r="F325" s="268" t="s">
        <v>7358</v>
      </c>
      <c r="G325" s="271" t="str">
        <f>IF(COUNTIF(H325:AU325,"&lt;&gt;")=0,"",SUMPRODUCT(((Recommendations[ImplStatus]="Implemented")+(Recommendations[ImplStatus]="Compensated"))*ISNUMBER(MATCH(Recommendations[Id],H325:AU325,0)))/COUNTIF(H325:AU325,"&lt;&gt;"))</f>
        <v/>
      </c>
      <c r="H325" s="272"/>
      <c r="I325" s="272"/>
      <c r="J325" s="272"/>
      <c r="K325" s="272"/>
      <c r="L325" s="272"/>
      <c r="M325" s="272"/>
      <c r="N325" s="272"/>
      <c r="O325" s="272"/>
      <c r="P325" s="272"/>
      <c r="Q325" s="272"/>
      <c r="R325" s="272"/>
      <c r="S325" s="272"/>
      <c r="T325" s="272"/>
      <c r="U325" s="272"/>
      <c r="V325" s="272"/>
      <c r="W325" s="272"/>
      <c r="X325" s="272"/>
      <c r="Y325" s="272"/>
      <c r="Z325" s="272"/>
      <c r="AA325" s="272"/>
      <c r="AB325" s="272"/>
      <c r="AC325" s="272"/>
      <c r="AD325" s="272"/>
      <c r="AE325" s="272"/>
      <c r="AF325" s="272"/>
      <c r="AG325" s="272"/>
      <c r="AH325" s="272"/>
      <c r="AI325" s="272"/>
      <c r="AJ325" s="272"/>
      <c r="AK325" s="272"/>
      <c r="AL325" s="272"/>
      <c r="AM325" s="272"/>
      <c r="AN325" s="272"/>
      <c r="AO325" s="272"/>
      <c r="AP325" s="272"/>
      <c r="AQ325" s="272"/>
      <c r="AR325" s="272"/>
      <c r="AS325" s="272"/>
      <c r="AT325" s="272"/>
      <c r="AU325" s="286"/>
    </row>
    <row r="326" spans="1:47" ht="60" customHeight="1" x14ac:dyDescent="0.35">
      <c r="A326" s="282" t="s">
        <v>7263</v>
      </c>
      <c r="B326" s="260" t="s">
        <v>7355</v>
      </c>
      <c r="C326" s="261" t="s">
        <v>7367</v>
      </c>
      <c r="D326" s="264" t="s">
        <v>7368</v>
      </c>
      <c r="E326" s="265" t="s">
        <v>6741</v>
      </c>
      <c r="F326" s="268" t="s">
        <v>7358</v>
      </c>
      <c r="G326" s="271" t="str">
        <f>IF(COUNTIF(H326:AU326,"&lt;&gt;")=0,"",SUMPRODUCT(((Recommendations[ImplStatus]="Implemented")+(Recommendations[ImplStatus]="Compensated"))*ISNUMBER(MATCH(Recommendations[Id],H326:AU326,0)))/COUNTIF(H326:AU326,"&lt;&gt;"))</f>
        <v/>
      </c>
      <c r="H326" s="272"/>
      <c r="I326" s="272"/>
      <c r="J326" s="272"/>
      <c r="K326" s="272"/>
      <c r="L326" s="272"/>
      <c r="M326" s="272"/>
      <c r="N326" s="272"/>
      <c r="O326" s="272"/>
      <c r="P326" s="272"/>
      <c r="Q326" s="272"/>
      <c r="R326" s="272"/>
      <c r="S326" s="272"/>
      <c r="T326" s="272"/>
      <c r="U326" s="272"/>
      <c r="V326" s="272"/>
      <c r="W326" s="272"/>
      <c r="X326" s="272"/>
      <c r="Y326" s="272"/>
      <c r="Z326" s="272"/>
      <c r="AA326" s="272"/>
      <c r="AB326" s="272"/>
      <c r="AC326" s="272"/>
      <c r="AD326" s="272"/>
      <c r="AE326" s="272"/>
      <c r="AF326" s="272"/>
      <c r="AG326" s="272"/>
      <c r="AH326" s="272"/>
      <c r="AI326" s="272"/>
      <c r="AJ326" s="272"/>
      <c r="AK326" s="272"/>
      <c r="AL326" s="272"/>
      <c r="AM326" s="272"/>
      <c r="AN326" s="272"/>
      <c r="AO326" s="272"/>
      <c r="AP326" s="272"/>
      <c r="AQ326" s="272"/>
      <c r="AR326" s="272"/>
      <c r="AS326" s="272"/>
      <c r="AT326" s="272"/>
      <c r="AU326" s="286"/>
    </row>
    <row r="327" spans="1:47" ht="60" customHeight="1" x14ac:dyDescent="0.35">
      <c r="A327" s="282" t="s">
        <v>7263</v>
      </c>
      <c r="B327" s="260" t="s">
        <v>7355</v>
      </c>
      <c r="C327" s="261" t="s">
        <v>7369</v>
      </c>
      <c r="D327" s="264" t="s">
        <v>7370</v>
      </c>
      <c r="E327" s="265" t="s">
        <v>6741</v>
      </c>
      <c r="F327" s="268" t="s">
        <v>7358</v>
      </c>
      <c r="G327" s="271" t="str">
        <f>IF(COUNTIF(H327:AU327,"&lt;&gt;")=0,"",SUMPRODUCT(((Recommendations[ImplStatus]="Implemented")+(Recommendations[ImplStatus]="Compensated"))*ISNUMBER(MATCH(Recommendations[Id],H327:AU327,0)))/COUNTIF(H327:AU327,"&lt;&gt;"))</f>
        <v/>
      </c>
      <c r="H327" s="272"/>
      <c r="I327" s="272"/>
      <c r="J327" s="272"/>
      <c r="K327" s="272"/>
      <c r="L327" s="272"/>
      <c r="M327" s="272"/>
      <c r="N327" s="272"/>
      <c r="O327" s="272"/>
      <c r="P327" s="272"/>
      <c r="Q327" s="272"/>
      <c r="R327" s="272"/>
      <c r="S327" s="272"/>
      <c r="T327" s="272"/>
      <c r="U327" s="272"/>
      <c r="V327" s="272"/>
      <c r="W327" s="272"/>
      <c r="X327" s="272"/>
      <c r="Y327" s="272"/>
      <c r="Z327" s="272"/>
      <c r="AA327" s="272"/>
      <c r="AB327" s="272"/>
      <c r="AC327" s="272"/>
      <c r="AD327" s="272"/>
      <c r="AE327" s="272"/>
      <c r="AF327" s="272"/>
      <c r="AG327" s="272"/>
      <c r="AH327" s="272"/>
      <c r="AI327" s="272"/>
      <c r="AJ327" s="272"/>
      <c r="AK327" s="272"/>
      <c r="AL327" s="272"/>
      <c r="AM327" s="272"/>
      <c r="AN327" s="272"/>
      <c r="AO327" s="272"/>
      <c r="AP327" s="272"/>
      <c r="AQ327" s="272"/>
      <c r="AR327" s="272"/>
      <c r="AS327" s="272"/>
      <c r="AT327" s="272"/>
      <c r="AU327" s="286"/>
    </row>
    <row r="328" spans="1:47" ht="60" customHeight="1" x14ac:dyDescent="0.35">
      <c r="A328" s="282" t="s">
        <v>7263</v>
      </c>
      <c r="B328" s="260" t="s">
        <v>7355</v>
      </c>
      <c r="C328" s="261" t="s">
        <v>7371</v>
      </c>
      <c r="D328" s="264" t="s">
        <v>7372</v>
      </c>
      <c r="E328" s="265" t="s">
        <v>6741</v>
      </c>
      <c r="F328" s="268" t="s">
        <v>7358</v>
      </c>
      <c r="G328" s="271" t="str">
        <f>IF(COUNTIF(H328:AU328,"&lt;&gt;")=0,"",SUMPRODUCT(((Recommendations[ImplStatus]="Implemented")+(Recommendations[ImplStatus]="Compensated"))*ISNUMBER(MATCH(Recommendations[Id],H328:AU328,0)))/COUNTIF(H328:AU328,"&lt;&gt;"))</f>
        <v/>
      </c>
      <c r="H328" s="272"/>
      <c r="I328" s="272"/>
      <c r="J328" s="272"/>
      <c r="K328" s="272"/>
      <c r="L328" s="272"/>
      <c r="M328" s="272"/>
      <c r="N328" s="272"/>
      <c r="O328" s="272"/>
      <c r="P328" s="272"/>
      <c r="Q328" s="272"/>
      <c r="R328" s="272"/>
      <c r="S328" s="272"/>
      <c r="T328" s="272"/>
      <c r="U328" s="272"/>
      <c r="V328" s="272"/>
      <c r="W328" s="272"/>
      <c r="X328" s="272"/>
      <c r="Y328" s="272"/>
      <c r="Z328" s="272"/>
      <c r="AA328" s="272"/>
      <c r="AB328" s="272"/>
      <c r="AC328" s="272"/>
      <c r="AD328" s="272"/>
      <c r="AE328" s="272"/>
      <c r="AF328" s="272"/>
      <c r="AG328" s="272"/>
      <c r="AH328" s="272"/>
      <c r="AI328" s="272"/>
      <c r="AJ328" s="272"/>
      <c r="AK328" s="272"/>
      <c r="AL328" s="272"/>
      <c r="AM328" s="272"/>
      <c r="AN328" s="272"/>
      <c r="AO328" s="272"/>
      <c r="AP328" s="272"/>
      <c r="AQ328" s="272"/>
      <c r="AR328" s="272"/>
      <c r="AS328" s="272"/>
      <c r="AT328" s="272"/>
      <c r="AU328" s="286"/>
    </row>
    <row r="329" spans="1:47" ht="60" customHeight="1" x14ac:dyDescent="0.35">
      <c r="A329" s="282" t="s">
        <v>7263</v>
      </c>
      <c r="B329" s="260" t="s">
        <v>7355</v>
      </c>
      <c r="C329" s="261" t="s">
        <v>7373</v>
      </c>
      <c r="D329" s="264" t="s">
        <v>7374</v>
      </c>
      <c r="E329" s="265" t="s">
        <v>6741</v>
      </c>
      <c r="F329" s="268" t="s">
        <v>7358</v>
      </c>
      <c r="G329" s="271" t="str">
        <f>IF(COUNTIF(H329:AU329,"&lt;&gt;")=0,"",SUMPRODUCT(((Recommendations[ImplStatus]="Implemented")+(Recommendations[ImplStatus]="Compensated"))*ISNUMBER(MATCH(Recommendations[Id],H329:AU329,0)))/COUNTIF(H329:AU329,"&lt;&gt;"))</f>
        <v/>
      </c>
      <c r="H329" s="272"/>
      <c r="I329" s="272"/>
      <c r="J329" s="272"/>
      <c r="K329" s="272"/>
      <c r="L329" s="272"/>
      <c r="M329" s="272"/>
      <c r="N329" s="272"/>
      <c r="O329" s="272"/>
      <c r="P329" s="272"/>
      <c r="Q329" s="272"/>
      <c r="R329" s="272"/>
      <c r="S329" s="272"/>
      <c r="T329" s="272"/>
      <c r="U329" s="272"/>
      <c r="V329" s="272"/>
      <c r="W329" s="272"/>
      <c r="X329" s="272"/>
      <c r="Y329" s="272"/>
      <c r="Z329" s="272"/>
      <c r="AA329" s="272"/>
      <c r="AB329" s="272"/>
      <c r="AC329" s="272"/>
      <c r="AD329" s="272"/>
      <c r="AE329" s="272"/>
      <c r="AF329" s="272"/>
      <c r="AG329" s="272"/>
      <c r="AH329" s="272"/>
      <c r="AI329" s="272"/>
      <c r="AJ329" s="272"/>
      <c r="AK329" s="272"/>
      <c r="AL329" s="272"/>
      <c r="AM329" s="272"/>
      <c r="AN329" s="272"/>
      <c r="AO329" s="272"/>
      <c r="AP329" s="272"/>
      <c r="AQ329" s="272"/>
      <c r="AR329" s="272"/>
      <c r="AS329" s="272"/>
      <c r="AT329" s="272"/>
      <c r="AU329" s="286"/>
    </row>
    <row r="330" spans="1:47" ht="60" customHeight="1" x14ac:dyDescent="0.35">
      <c r="A330" s="282" t="s">
        <v>7263</v>
      </c>
      <c r="B330" s="260" t="s">
        <v>7355</v>
      </c>
      <c r="C330" s="261" t="s">
        <v>7375</v>
      </c>
      <c r="D330" s="264" t="s">
        <v>7376</v>
      </c>
      <c r="E330" s="265" t="s">
        <v>6741</v>
      </c>
      <c r="F330" s="268" t="s">
        <v>7358</v>
      </c>
      <c r="G330" s="271" t="str">
        <f>IF(COUNTIF(H330:AU330,"&lt;&gt;")=0,"",SUMPRODUCT(((Recommendations[ImplStatus]="Implemented")+(Recommendations[ImplStatus]="Compensated"))*ISNUMBER(MATCH(Recommendations[Id],H330:AU330,0)))/COUNTIF(H330:AU330,"&lt;&gt;"))</f>
        <v/>
      </c>
      <c r="H330" s="272"/>
      <c r="I330" s="272"/>
      <c r="J330" s="272"/>
      <c r="K330" s="272"/>
      <c r="L330" s="272"/>
      <c r="M330" s="272"/>
      <c r="N330" s="272"/>
      <c r="O330" s="272"/>
      <c r="P330" s="272"/>
      <c r="Q330" s="272"/>
      <c r="R330" s="272"/>
      <c r="S330" s="272"/>
      <c r="T330" s="272"/>
      <c r="U330" s="272"/>
      <c r="V330" s="272"/>
      <c r="W330" s="272"/>
      <c r="X330" s="272"/>
      <c r="Y330" s="272"/>
      <c r="Z330" s="272"/>
      <c r="AA330" s="272"/>
      <c r="AB330" s="272"/>
      <c r="AC330" s="272"/>
      <c r="AD330" s="272"/>
      <c r="AE330" s="272"/>
      <c r="AF330" s="272"/>
      <c r="AG330" s="272"/>
      <c r="AH330" s="272"/>
      <c r="AI330" s="272"/>
      <c r="AJ330" s="272"/>
      <c r="AK330" s="272"/>
      <c r="AL330" s="272"/>
      <c r="AM330" s="272"/>
      <c r="AN330" s="272"/>
      <c r="AO330" s="272"/>
      <c r="AP330" s="272"/>
      <c r="AQ330" s="272"/>
      <c r="AR330" s="272"/>
      <c r="AS330" s="272"/>
      <c r="AT330" s="272"/>
      <c r="AU330" s="286"/>
    </row>
    <row r="331" spans="1:47" ht="60" customHeight="1" x14ac:dyDescent="0.35">
      <c r="A331" s="282" t="s">
        <v>7263</v>
      </c>
      <c r="B331" s="260" t="s">
        <v>7355</v>
      </c>
      <c r="C331" s="261" t="s">
        <v>7377</v>
      </c>
      <c r="D331" s="264" t="s">
        <v>7378</v>
      </c>
      <c r="E331" s="265" t="s">
        <v>6741</v>
      </c>
      <c r="F331" s="268" t="s">
        <v>7358</v>
      </c>
      <c r="G331" s="271" t="str">
        <f>IF(COUNTIF(H331:AU331,"&lt;&gt;")=0,"",SUMPRODUCT(((Recommendations[ImplStatus]="Implemented")+(Recommendations[ImplStatus]="Compensated"))*ISNUMBER(MATCH(Recommendations[Id],H331:AU331,0)))/COUNTIF(H331:AU331,"&lt;&gt;"))</f>
        <v/>
      </c>
      <c r="H331" s="272"/>
      <c r="I331" s="272"/>
      <c r="J331" s="272"/>
      <c r="K331" s="272"/>
      <c r="L331" s="272"/>
      <c r="M331" s="272"/>
      <c r="N331" s="272"/>
      <c r="O331" s="272"/>
      <c r="P331" s="272"/>
      <c r="Q331" s="272"/>
      <c r="R331" s="272"/>
      <c r="S331" s="272"/>
      <c r="T331" s="272"/>
      <c r="U331" s="272"/>
      <c r="V331" s="272"/>
      <c r="W331" s="272"/>
      <c r="X331" s="272"/>
      <c r="Y331" s="272"/>
      <c r="Z331" s="272"/>
      <c r="AA331" s="272"/>
      <c r="AB331" s="272"/>
      <c r="AC331" s="272"/>
      <c r="AD331" s="272"/>
      <c r="AE331" s="272"/>
      <c r="AF331" s="272"/>
      <c r="AG331" s="272"/>
      <c r="AH331" s="272"/>
      <c r="AI331" s="272"/>
      <c r="AJ331" s="272"/>
      <c r="AK331" s="272"/>
      <c r="AL331" s="272"/>
      <c r="AM331" s="272"/>
      <c r="AN331" s="272"/>
      <c r="AO331" s="272"/>
      <c r="AP331" s="272"/>
      <c r="AQ331" s="272"/>
      <c r="AR331" s="272"/>
      <c r="AS331" s="272"/>
      <c r="AT331" s="272"/>
      <c r="AU331" s="286"/>
    </row>
    <row r="332" spans="1:47" ht="60" customHeight="1" x14ac:dyDescent="0.35">
      <c r="A332" s="282" t="s">
        <v>7263</v>
      </c>
      <c r="B332" s="260" t="s">
        <v>7355</v>
      </c>
      <c r="C332" s="261" t="s">
        <v>7379</v>
      </c>
      <c r="D332" s="264" t="s">
        <v>7380</v>
      </c>
      <c r="E332" s="265" t="s">
        <v>6741</v>
      </c>
      <c r="F332" s="268" t="s">
        <v>7358</v>
      </c>
      <c r="G332" s="271" t="str">
        <f>IF(COUNTIF(H332:AU332,"&lt;&gt;")=0,"",SUMPRODUCT(((Recommendations[ImplStatus]="Implemented")+(Recommendations[ImplStatus]="Compensated"))*ISNUMBER(MATCH(Recommendations[Id],H332:AU332,0)))/COUNTIF(H332:AU332,"&lt;&gt;"))</f>
        <v/>
      </c>
      <c r="H332" s="272"/>
      <c r="I332" s="272"/>
      <c r="J332" s="272"/>
      <c r="K332" s="272"/>
      <c r="L332" s="272"/>
      <c r="M332" s="272"/>
      <c r="N332" s="272"/>
      <c r="O332" s="272"/>
      <c r="P332" s="272"/>
      <c r="Q332" s="272"/>
      <c r="R332" s="272"/>
      <c r="S332" s="272"/>
      <c r="T332" s="272"/>
      <c r="U332" s="272"/>
      <c r="V332" s="272"/>
      <c r="W332" s="272"/>
      <c r="X332" s="272"/>
      <c r="Y332" s="272"/>
      <c r="Z332" s="272"/>
      <c r="AA332" s="272"/>
      <c r="AB332" s="272"/>
      <c r="AC332" s="272"/>
      <c r="AD332" s="272"/>
      <c r="AE332" s="272"/>
      <c r="AF332" s="272"/>
      <c r="AG332" s="272"/>
      <c r="AH332" s="272"/>
      <c r="AI332" s="272"/>
      <c r="AJ332" s="272"/>
      <c r="AK332" s="272"/>
      <c r="AL332" s="272"/>
      <c r="AM332" s="272"/>
      <c r="AN332" s="272"/>
      <c r="AO332" s="272"/>
      <c r="AP332" s="272"/>
      <c r="AQ332" s="272"/>
      <c r="AR332" s="272"/>
      <c r="AS332" s="272"/>
      <c r="AT332" s="272"/>
      <c r="AU332" s="286"/>
    </row>
    <row r="333" spans="1:47" ht="60" customHeight="1" x14ac:dyDescent="0.35">
      <c r="A333" s="282" t="s">
        <v>7263</v>
      </c>
      <c r="B333" s="260" t="s">
        <v>7355</v>
      </c>
      <c r="C333" s="261" t="s">
        <v>7381</v>
      </c>
      <c r="D333" s="264" t="s">
        <v>7382</v>
      </c>
      <c r="E333" s="265" t="s">
        <v>6741</v>
      </c>
      <c r="F333" s="268" t="s">
        <v>7358</v>
      </c>
      <c r="G333" s="271" t="str">
        <f>IF(COUNTIF(H333:AU333,"&lt;&gt;")=0,"",SUMPRODUCT(((Recommendations[ImplStatus]="Implemented")+(Recommendations[ImplStatus]="Compensated"))*ISNUMBER(MATCH(Recommendations[Id],H333:AU333,0)))/COUNTIF(H333:AU333,"&lt;&gt;"))</f>
        <v/>
      </c>
      <c r="H333" s="272"/>
      <c r="I333" s="272"/>
      <c r="J333" s="272"/>
      <c r="K333" s="272"/>
      <c r="L333" s="272"/>
      <c r="M333" s="272"/>
      <c r="N333" s="272"/>
      <c r="O333" s="272"/>
      <c r="P333" s="272"/>
      <c r="Q333" s="272"/>
      <c r="R333" s="272"/>
      <c r="S333" s="272"/>
      <c r="T333" s="272"/>
      <c r="U333" s="272"/>
      <c r="V333" s="272"/>
      <c r="W333" s="272"/>
      <c r="X333" s="272"/>
      <c r="Y333" s="272"/>
      <c r="Z333" s="272"/>
      <c r="AA333" s="272"/>
      <c r="AB333" s="272"/>
      <c r="AC333" s="272"/>
      <c r="AD333" s="272"/>
      <c r="AE333" s="272"/>
      <c r="AF333" s="272"/>
      <c r="AG333" s="272"/>
      <c r="AH333" s="272"/>
      <c r="AI333" s="272"/>
      <c r="AJ333" s="272"/>
      <c r="AK333" s="272"/>
      <c r="AL333" s="272"/>
      <c r="AM333" s="272"/>
      <c r="AN333" s="272"/>
      <c r="AO333" s="272"/>
      <c r="AP333" s="272"/>
      <c r="AQ333" s="272"/>
      <c r="AR333" s="272"/>
      <c r="AS333" s="272"/>
      <c r="AT333" s="272"/>
      <c r="AU333" s="286"/>
    </row>
    <row r="334" spans="1:47" ht="60" customHeight="1" x14ac:dyDescent="0.35">
      <c r="A334" s="282" t="s">
        <v>7263</v>
      </c>
      <c r="B334" s="260" t="s">
        <v>7355</v>
      </c>
      <c r="C334" s="261" t="s">
        <v>7383</v>
      </c>
      <c r="D334" s="264" t="s">
        <v>7384</v>
      </c>
      <c r="E334" s="265" t="s">
        <v>6741</v>
      </c>
      <c r="F334" s="268" t="s">
        <v>7358</v>
      </c>
      <c r="G334" s="271" t="str">
        <f>IF(COUNTIF(H334:AU334,"&lt;&gt;")=0,"",SUMPRODUCT(((Recommendations[ImplStatus]="Implemented")+(Recommendations[ImplStatus]="Compensated"))*ISNUMBER(MATCH(Recommendations[Id],H334:AU334,0)))/COUNTIF(H334:AU334,"&lt;&gt;"))</f>
        <v/>
      </c>
      <c r="H334" s="272"/>
      <c r="I334" s="272"/>
      <c r="J334" s="272"/>
      <c r="K334" s="272"/>
      <c r="L334" s="272"/>
      <c r="M334" s="272"/>
      <c r="N334" s="272"/>
      <c r="O334" s="272"/>
      <c r="P334" s="272"/>
      <c r="Q334" s="272"/>
      <c r="R334" s="272"/>
      <c r="S334" s="272"/>
      <c r="T334" s="272"/>
      <c r="U334" s="272"/>
      <c r="V334" s="272"/>
      <c r="W334" s="272"/>
      <c r="X334" s="272"/>
      <c r="Y334" s="272"/>
      <c r="Z334" s="272"/>
      <c r="AA334" s="272"/>
      <c r="AB334" s="272"/>
      <c r="AC334" s="272"/>
      <c r="AD334" s="272"/>
      <c r="AE334" s="272"/>
      <c r="AF334" s="272"/>
      <c r="AG334" s="272"/>
      <c r="AH334" s="272"/>
      <c r="AI334" s="272"/>
      <c r="AJ334" s="272"/>
      <c r="AK334" s="272"/>
      <c r="AL334" s="272"/>
      <c r="AM334" s="272"/>
      <c r="AN334" s="272"/>
      <c r="AO334" s="272"/>
      <c r="AP334" s="272"/>
      <c r="AQ334" s="272"/>
      <c r="AR334" s="272"/>
      <c r="AS334" s="272"/>
      <c r="AT334" s="272"/>
      <c r="AU334" s="286"/>
    </row>
    <row r="335" spans="1:47" ht="60" customHeight="1" x14ac:dyDescent="0.35">
      <c r="A335" s="282" t="s">
        <v>7263</v>
      </c>
      <c r="B335" s="260" t="s">
        <v>7355</v>
      </c>
      <c r="C335" s="261" t="s">
        <v>7385</v>
      </c>
      <c r="D335" s="264" t="s">
        <v>7386</v>
      </c>
      <c r="E335" s="265" t="s">
        <v>6741</v>
      </c>
      <c r="F335" s="268" t="s">
        <v>7358</v>
      </c>
      <c r="G335" s="271" t="str">
        <f>IF(COUNTIF(H335:AU335,"&lt;&gt;")=0,"",SUMPRODUCT(((Recommendations[ImplStatus]="Implemented")+(Recommendations[ImplStatus]="Compensated"))*ISNUMBER(MATCH(Recommendations[Id],H335:AU335,0)))/COUNTIF(H335:AU335,"&lt;&gt;"))</f>
        <v/>
      </c>
      <c r="H335" s="272"/>
      <c r="I335" s="272"/>
      <c r="J335" s="272"/>
      <c r="K335" s="272"/>
      <c r="L335" s="272"/>
      <c r="M335" s="272"/>
      <c r="N335" s="272"/>
      <c r="O335" s="272"/>
      <c r="P335" s="272"/>
      <c r="Q335" s="272"/>
      <c r="R335" s="272"/>
      <c r="S335" s="272"/>
      <c r="T335" s="272"/>
      <c r="U335" s="272"/>
      <c r="V335" s="272"/>
      <c r="W335" s="272"/>
      <c r="X335" s="272"/>
      <c r="Y335" s="272"/>
      <c r="Z335" s="272"/>
      <c r="AA335" s="272"/>
      <c r="AB335" s="272"/>
      <c r="AC335" s="272"/>
      <c r="AD335" s="272"/>
      <c r="AE335" s="272"/>
      <c r="AF335" s="272"/>
      <c r="AG335" s="272"/>
      <c r="AH335" s="272"/>
      <c r="AI335" s="272"/>
      <c r="AJ335" s="272"/>
      <c r="AK335" s="272"/>
      <c r="AL335" s="272"/>
      <c r="AM335" s="272"/>
      <c r="AN335" s="272"/>
      <c r="AO335" s="272"/>
      <c r="AP335" s="272"/>
      <c r="AQ335" s="272"/>
      <c r="AR335" s="272"/>
      <c r="AS335" s="272"/>
      <c r="AT335" s="272"/>
      <c r="AU335" s="286"/>
    </row>
    <row r="336" spans="1:47" ht="60" customHeight="1" x14ac:dyDescent="0.35">
      <c r="A336" s="282" t="s">
        <v>7263</v>
      </c>
      <c r="B336" s="260" t="s">
        <v>7355</v>
      </c>
      <c r="C336" s="261" t="s">
        <v>7387</v>
      </c>
      <c r="D336" s="264" t="s">
        <v>7388</v>
      </c>
      <c r="E336" s="265" t="s">
        <v>6856</v>
      </c>
      <c r="F336" s="268" t="s">
        <v>7358</v>
      </c>
      <c r="G336" s="271" t="str">
        <f>IF(COUNTIF(H336:AU336,"&lt;&gt;")=0,"",SUMPRODUCT(((Recommendations[ImplStatus]="Implemented")+(Recommendations[ImplStatus]="Compensated"))*ISNUMBER(MATCH(Recommendations[Id],H336:AU336,0)))/COUNTIF(H336:AU336,"&lt;&gt;"))</f>
        <v/>
      </c>
      <c r="H336" s="272"/>
      <c r="I336" s="272"/>
      <c r="J336" s="272"/>
      <c r="K336" s="272"/>
      <c r="L336" s="272"/>
      <c r="M336" s="272"/>
      <c r="N336" s="272"/>
      <c r="O336" s="272"/>
      <c r="P336" s="272"/>
      <c r="Q336" s="272"/>
      <c r="R336" s="272"/>
      <c r="S336" s="272"/>
      <c r="T336" s="272"/>
      <c r="U336" s="272"/>
      <c r="V336" s="272"/>
      <c r="W336" s="272"/>
      <c r="X336" s="272"/>
      <c r="Y336" s="272"/>
      <c r="Z336" s="272"/>
      <c r="AA336" s="272"/>
      <c r="AB336" s="272"/>
      <c r="AC336" s="272"/>
      <c r="AD336" s="272"/>
      <c r="AE336" s="272"/>
      <c r="AF336" s="272"/>
      <c r="AG336" s="272"/>
      <c r="AH336" s="272"/>
      <c r="AI336" s="272"/>
      <c r="AJ336" s="272"/>
      <c r="AK336" s="272"/>
      <c r="AL336" s="272"/>
      <c r="AM336" s="272"/>
      <c r="AN336" s="272"/>
      <c r="AO336" s="272"/>
      <c r="AP336" s="272"/>
      <c r="AQ336" s="272"/>
      <c r="AR336" s="272"/>
      <c r="AS336" s="272"/>
      <c r="AT336" s="272"/>
      <c r="AU336" s="286"/>
    </row>
    <row r="337" spans="1:47" ht="60" customHeight="1" x14ac:dyDescent="0.35">
      <c r="A337" s="282" t="s">
        <v>7263</v>
      </c>
      <c r="B337" s="260" t="s">
        <v>7355</v>
      </c>
      <c r="C337" s="261" t="s">
        <v>7389</v>
      </c>
      <c r="D337" s="264" t="s">
        <v>7390</v>
      </c>
      <c r="E337" s="265" t="s">
        <v>6856</v>
      </c>
      <c r="F337" s="268" t="s">
        <v>7358</v>
      </c>
      <c r="G337" s="271" t="str">
        <f>IF(COUNTIF(H337:AU337,"&lt;&gt;")=0,"",SUMPRODUCT(((Recommendations[ImplStatus]="Implemented")+(Recommendations[ImplStatus]="Compensated"))*ISNUMBER(MATCH(Recommendations[Id],H337:AU337,0)))/COUNTIF(H337:AU337,"&lt;&gt;"))</f>
        <v/>
      </c>
      <c r="H337" s="272"/>
      <c r="I337" s="272"/>
      <c r="J337" s="272"/>
      <c r="K337" s="272"/>
      <c r="L337" s="272"/>
      <c r="M337" s="272"/>
      <c r="N337" s="272"/>
      <c r="O337" s="272"/>
      <c r="P337" s="272"/>
      <c r="Q337" s="272"/>
      <c r="R337" s="272"/>
      <c r="S337" s="272"/>
      <c r="T337" s="272"/>
      <c r="U337" s="272"/>
      <c r="V337" s="272"/>
      <c r="W337" s="272"/>
      <c r="X337" s="272"/>
      <c r="Y337" s="272"/>
      <c r="Z337" s="272"/>
      <c r="AA337" s="272"/>
      <c r="AB337" s="272"/>
      <c r="AC337" s="272"/>
      <c r="AD337" s="272"/>
      <c r="AE337" s="272"/>
      <c r="AF337" s="272"/>
      <c r="AG337" s="272"/>
      <c r="AH337" s="272"/>
      <c r="AI337" s="272"/>
      <c r="AJ337" s="272"/>
      <c r="AK337" s="272"/>
      <c r="AL337" s="272"/>
      <c r="AM337" s="272"/>
      <c r="AN337" s="272"/>
      <c r="AO337" s="272"/>
      <c r="AP337" s="272"/>
      <c r="AQ337" s="272"/>
      <c r="AR337" s="272"/>
      <c r="AS337" s="272"/>
      <c r="AT337" s="272"/>
      <c r="AU337" s="286"/>
    </row>
    <row r="338" spans="1:47" ht="60" customHeight="1" x14ac:dyDescent="0.35">
      <c r="A338" s="282" t="s">
        <v>7263</v>
      </c>
      <c r="B338" s="260" t="s">
        <v>7355</v>
      </c>
      <c r="C338" s="261" t="s">
        <v>7391</v>
      </c>
      <c r="D338" s="264" t="s">
        <v>7392</v>
      </c>
      <c r="E338" s="265" t="s">
        <v>6741</v>
      </c>
      <c r="F338" s="268" t="s">
        <v>7358</v>
      </c>
      <c r="G338" s="271" t="str">
        <f>IF(COUNTIF(H338:AU338,"&lt;&gt;")=0,"",SUMPRODUCT(((Recommendations[ImplStatus]="Implemented")+(Recommendations[ImplStatus]="Compensated"))*ISNUMBER(MATCH(Recommendations[Id],H338:AU338,0)))/COUNTIF(H338:AU338,"&lt;&gt;"))</f>
        <v/>
      </c>
      <c r="H338" s="272"/>
      <c r="I338" s="272"/>
      <c r="J338" s="272"/>
      <c r="K338" s="272"/>
      <c r="L338" s="272"/>
      <c r="M338" s="272"/>
      <c r="N338" s="272"/>
      <c r="O338" s="272"/>
      <c r="P338" s="272"/>
      <c r="Q338" s="272"/>
      <c r="R338" s="272"/>
      <c r="S338" s="272"/>
      <c r="T338" s="272"/>
      <c r="U338" s="272"/>
      <c r="V338" s="272"/>
      <c r="W338" s="272"/>
      <c r="X338" s="272"/>
      <c r="Y338" s="272"/>
      <c r="Z338" s="272"/>
      <c r="AA338" s="272"/>
      <c r="AB338" s="272"/>
      <c r="AC338" s="272"/>
      <c r="AD338" s="272"/>
      <c r="AE338" s="272"/>
      <c r="AF338" s="272"/>
      <c r="AG338" s="272"/>
      <c r="AH338" s="272"/>
      <c r="AI338" s="272"/>
      <c r="AJ338" s="272"/>
      <c r="AK338" s="272"/>
      <c r="AL338" s="272"/>
      <c r="AM338" s="272"/>
      <c r="AN338" s="272"/>
      <c r="AO338" s="272"/>
      <c r="AP338" s="272"/>
      <c r="AQ338" s="272"/>
      <c r="AR338" s="272"/>
      <c r="AS338" s="272"/>
      <c r="AT338" s="272"/>
      <c r="AU338" s="286"/>
    </row>
    <row r="339" spans="1:47" ht="60" customHeight="1" x14ac:dyDescent="0.35">
      <c r="A339" s="282" t="s">
        <v>7263</v>
      </c>
      <c r="B339" s="260" t="s">
        <v>7355</v>
      </c>
      <c r="C339" s="261" t="s">
        <v>7393</v>
      </c>
      <c r="D339" s="264" t="s">
        <v>7394</v>
      </c>
      <c r="E339" s="265" t="s">
        <v>6741</v>
      </c>
      <c r="F339" s="268" t="s">
        <v>7358</v>
      </c>
      <c r="G339" s="271" t="str">
        <f>IF(COUNTIF(H339:AU339,"&lt;&gt;")=0,"",SUMPRODUCT(((Recommendations[ImplStatus]="Implemented")+(Recommendations[ImplStatus]="Compensated"))*ISNUMBER(MATCH(Recommendations[Id],H339:AU339,0)))/COUNTIF(H339:AU339,"&lt;&gt;"))</f>
        <v/>
      </c>
      <c r="H339" s="272"/>
      <c r="I339" s="272"/>
      <c r="J339" s="272"/>
      <c r="K339" s="272"/>
      <c r="L339" s="272"/>
      <c r="M339" s="272"/>
      <c r="N339" s="272"/>
      <c r="O339" s="272"/>
      <c r="P339" s="272"/>
      <c r="Q339" s="272"/>
      <c r="R339" s="272"/>
      <c r="S339" s="272"/>
      <c r="T339" s="272"/>
      <c r="U339" s="272"/>
      <c r="V339" s="272"/>
      <c r="W339" s="272"/>
      <c r="X339" s="272"/>
      <c r="Y339" s="272"/>
      <c r="Z339" s="272"/>
      <c r="AA339" s="272"/>
      <c r="AB339" s="272"/>
      <c r="AC339" s="272"/>
      <c r="AD339" s="272"/>
      <c r="AE339" s="272"/>
      <c r="AF339" s="272"/>
      <c r="AG339" s="272"/>
      <c r="AH339" s="272"/>
      <c r="AI339" s="272"/>
      <c r="AJ339" s="272"/>
      <c r="AK339" s="272"/>
      <c r="AL339" s="272"/>
      <c r="AM339" s="272"/>
      <c r="AN339" s="272"/>
      <c r="AO339" s="272"/>
      <c r="AP339" s="272"/>
      <c r="AQ339" s="272"/>
      <c r="AR339" s="272"/>
      <c r="AS339" s="272"/>
      <c r="AT339" s="272"/>
      <c r="AU339" s="286"/>
    </row>
    <row r="340" spans="1:47" ht="60" customHeight="1" outlineLevel="2" x14ac:dyDescent="0.35">
      <c r="A340" s="281" t="s">
        <v>7263</v>
      </c>
      <c r="B340" s="259" t="s">
        <v>7395</v>
      </c>
      <c r="C340" s="259"/>
      <c r="D340" s="263"/>
      <c r="E340" s="259"/>
      <c r="F340" s="267"/>
      <c r="G340" s="270" t="str">
        <f>IF(COUNTIF(H340:AU340,"&lt;&gt;")=0,"",SUMPRODUCT(((Recommendations[ImplStatus]="Implemented")+(Recommendations[ImplStatus]="Compensated"))*ISNUMBER(MATCH(Recommendations[Id],H340:AU340,0)))/COUNTIF(H340:AU340,"&lt;&gt;"))</f>
        <v/>
      </c>
      <c r="H340" s="267"/>
      <c r="I340" s="267"/>
      <c r="J340" s="267"/>
      <c r="K340" s="267"/>
      <c r="L340" s="267"/>
      <c r="M340" s="267"/>
      <c r="N340" s="267"/>
      <c r="O340" s="267"/>
      <c r="P340" s="267"/>
      <c r="Q340" s="267"/>
      <c r="R340" s="267"/>
      <c r="S340" s="267"/>
      <c r="T340" s="267"/>
      <c r="U340" s="267"/>
      <c r="V340" s="267"/>
      <c r="W340" s="267"/>
      <c r="X340" s="267"/>
      <c r="Y340" s="267"/>
      <c r="Z340" s="267"/>
      <c r="AA340" s="267"/>
      <c r="AB340" s="267"/>
      <c r="AC340" s="267"/>
      <c r="AD340" s="267"/>
      <c r="AE340" s="267"/>
      <c r="AF340" s="267"/>
      <c r="AG340" s="267"/>
      <c r="AH340" s="267"/>
      <c r="AI340" s="267"/>
      <c r="AJ340" s="267"/>
      <c r="AK340" s="267"/>
      <c r="AL340" s="267"/>
      <c r="AM340" s="267"/>
      <c r="AN340" s="267"/>
      <c r="AO340" s="267"/>
      <c r="AP340" s="267"/>
      <c r="AQ340" s="267"/>
      <c r="AR340" s="267"/>
      <c r="AS340" s="267"/>
      <c r="AT340" s="267"/>
      <c r="AU340" s="285"/>
    </row>
    <row r="341" spans="1:47" ht="60" customHeight="1" x14ac:dyDescent="0.35">
      <c r="A341" s="282" t="s">
        <v>7263</v>
      </c>
      <c r="B341" s="260" t="s">
        <v>7395</v>
      </c>
      <c r="C341" s="261" t="s">
        <v>7396</v>
      </c>
      <c r="D341" s="264" t="s">
        <v>7397</v>
      </c>
      <c r="E341" s="265" t="s">
        <v>6712</v>
      </c>
      <c r="F341" s="268" t="s">
        <v>7282</v>
      </c>
      <c r="G341" s="271" t="str">
        <f>IF(COUNTIF(H341:AU341,"&lt;&gt;")=0,"",SUMPRODUCT(((Recommendations[ImplStatus]="Implemented")+(Recommendations[ImplStatus]="Compensated"))*ISNUMBER(MATCH(Recommendations[Id],H341:AU341,0)))/COUNTIF(H341:AU341,"&lt;&gt;"))</f>
        <v/>
      </c>
      <c r="H341" s="272"/>
      <c r="I341" s="272"/>
      <c r="J341" s="272"/>
      <c r="K341" s="272"/>
      <c r="L341" s="272"/>
      <c r="M341" s="272"/>
      <c r="N341" s="272"/>
      <c r="O341" s="272"/>
      <c r="P341" s="272"/>
      <c r="Q341" s="272"/>
      <c r="R341" s="272"/>
      <c r="S341" s="272"/>
      <c r="T341" s="272"/>
      <c r="U341" s="272"/>
      <c r="V341" s="272"/>
      <c r="W341" s="272"/>
      <c r="X341" s="272"/>
      <c r="Y341" s="272"/>
      <c r="Z341" s="272"/>
      <c r="AA341" s="272"/>
      <c r="AB341" s="272"/>
      <c r="AC341" s="272"/>
      <c r="AD341" s="272"/>
      <c r="AE341" s="272"/>
      <c r="AF341" s="272"/>
      <c r="AG341" s="272"/>
      <c r="AH341" s="272"/>
      <c r="AI341" s="272"/>
      <c r="AJ341" s="272"/>
      <c r="AK341" s="272"/>
      <c r="AL341" s="272"/>
      <c r="AM341" s="272"/>
      <c r="AN341" s="272"/>
      <c r="AO341" s="272"/>
      <c r="AP341" s="272"/>
      <c r="AQ341" s="272"/>
      <c r="AR341" s="272"/>
      <c r="AS341" s="272"/>
      <c r="AT341" s="272"/>
      <c r="AU341" s="286"/>
    </row>
    <row r="342" spans="1:47" ht="60" customHeight="1" x14ac:dyDescent="0.35">
      <c r="A342" s="282" t="s">
        <v>7263</v>
      </c>
      <c r="B342" s="260" t="s">
        <v>7395</v>
      </c>
      <c r="C342" s="261" t="s">
        <v>7398</v>
      </c>
      <c r="D342" s="264" t="s">
        <v>7399</v>
      </c>
      <c r="E342" s="265" t="s">
        <v>6712</v>
      </c>
      <c r="F342" s="268" t="s">
        <v>7282</v>
      </c>
      <c r="G342" s="271" t="str">
        <f>IF(COUNTIF(H342:AU342,"&lt;&gt;")=0,"",SUMPRODUCT(((Recommendations[ImplStatus]="Implemented")+(Recommendations[ImplStatus]="Compensated"))*ISNUMBER(MATCH(Recommendations[Id],H342:AU342,0)))/COUNTIF(H342:AU342,"&lt;&gt;"))</f>
        <v/>
      </c>
      <c r="H342" s="272"/>
      <c r="I342" s="272"/>
      <c r="J342" s="272"/>
      <c r="K342" s="272"/>
      <c r="L342" s="272"/>
      <c r="M342" s="272"/>
      <c r="N342" s="272"/>
      <c r="O342" s="272"/>
      <c r="P342" s="272"/>
      <c r="Q342" s="272"/>
      <c r="R342" s="272"/>
      <c r="S342" s="272"/>
      <c r="T342" s="272"/>
      <c r="U342" s="272"/>
      <c r="V342" s="272"/>
      <c r="W342" s="272"/>
      <c r="X342" s="272"/>
      <c r="Y342" s="272"/>
      <c r="Z342" s="272"/>
      <c r="AA342" s="272"/>
      <c r="AB342" s="272"/>
      <c r="AC342" s="272"/>
      <c r="AD342" s="272"/>
      <c r="AE342" s="272"/>
      <c r="AF342" s="272"/>
      <c r="AG342" s="272"/>
      <c r="AH342" s="272"/>
      <c r="AI342" s="272"/>
      <c r="AJ342" s="272"/>
      <c r="AK342" s="272"/>
      <c r="AL342" s="272"/>
      <c r="AM342" s="272"/>
      <c r="AN342" s="272"/>
      <c r="AO342" s="272"/>
      <c r="AP342" s="272"/>
      <c r="AQ342" s="272"/>
      <c r="AR342" s="272"/>
      <c r="AS342" s="272"/>
      <c r="AT342" s="272"/>
      <c r="AU342" s="286"/>
    </row>
    <row r="343" spans="1:47" ht="60" customHeight="1" x14ac:dyDescent="0.35">
      <c r="A343" s="282" t="s">
        <v>7263</v>
      </c>
      <c r="B343" s="260" t="s">
        <v>7395</v>
      </c>
      <c r="C343" s="261" t="s">
        <v>7400</v>
      </c>
      <c r="D343" s="264" t="s">
        <v>7401</v>
      </c>
      <c r="E343" s="265" t="s">
        <v>6808</v>
      </c>
      <c r="F343" s="268" t="s">
        <v>7402</v>
      </c>
      <c r="G343" s="271" t="str">
        <f>IF(COUNTIF(H343:AU343,"&lt;&gt;")=0,"",SUMPRODUCT(((Recommendations[ImplStatus]="Implemented")+(Recommendations[ImplStatus]="Compensated"))*ISNUMBER(MATCH(Recommendations[Id],H343:AU343,0)))/COUNTIF(H343:AU343,"&lt;&gt;"))</f>
        <v/>
      </c>
      <c r="H343" s="272"/>
      <c r="I343" s="272"/>
      <c r="J343" s="272"/>
      <c r="K343" s="272"/>
      <c r="L343" s="272"/>
      <c r="M343" s="272"/>
      <c r="N343" s="272"/>
      <c r="O343" s="272"/>
      <c r="P343" s="272"/>
      <c r="Q343" s="272"/>
      <c r="R343" s="272"/>
      <c r="S343" s="272"/>
      <c r="T343" s="272"/>
      <c r="U343" s="272"/>
      <c r="V343" s="272"/>
      <c r="W343" s="272"/>
      <c r="X343" s="272"/>
      <c r="Y343" s="272"/>
      <c r="Z343" s="272"/>
      <c r="AA343" s="272"/>
      <c r="AB343" s="272"/>
      <c r="AC343" s="272"/>
      <c r="AD343" s="272"/>
      <c r="AE343" s="272"/>
      <c r="AF343" s="272"/>
      <c r="AG343" s="272"/>
      <c r="AH343" s="272"/>
      <c r="AI343" s="272"/>
      <c r="AJ343" s="272"/>
      <c r="AK343" s="272"/>
      <c r="AL343" s="272"/>
      <c r="AM343" s="272"/>
      <c r="AN343" s="272"/>
      <c r="AO343" s="272"/>
      <c r="AP343" s="272"/>
      <c r="AQ343" s="272"/>
      <c r="AR343" s="272"/>
      <c r="AS343" s="272"/>
      <c r="AT343" s="272"/>
      <c r="AU343" s="286"/>
    </row>
    <row r="344" spans="1:47" ht="60" customHeight="1" x14ac:dyDescent="0.35">
      <c r="A344" s="282" t="s">
        <v>7263</v>
      </c>
      <c r="B344" s="260" t="s">
        <v>7395</v>
      </c>
      <c r="C344" s="261" t="s">
        <v>7403</v>
      </c>
      <c r="D344" s="264" t="s">
        <v>7404</v>
      </c>
      <c r="E344" s="265" t="s">
        <v>6741</v>
      </c>
      <c r="F344" s="268" t="s">
        <v>7402</v>
      </c>
      <c r="G344" s="271" t="str">
        <f>IF(COUNTIF(H344:AU344,"&lt;&gt;")=0,"",SUMPRODUCT(((Recommendations[ImplStatus]="Implemented")+(Recommendations[ImplStatus]="Compensated"))*ISNUMBER(MATCH(Recommendations[Id],H344:AU344,0)))/COUNTIF(H344:AU344,"&lt;&gt;"))</f>
        <v/>
      </c>
      <c r="H344" s="272"/>
      <c r="I344" s="272"/>
      <c r="J344" s="272"/>
      <c r="K344" s="272"/>
      <c r="L344" s="272"/>
      <c r="M344" s="272"/>
      <c r="N344" s="272"/>
      <c r="O344" s="272"/>
      <c r="P344" s="272"/>
      <c r="Q344" s="272"/>
      <c r="R344" s="272"/>
      <c r="S344" s="272"/>
      <c r="T344" s="272"/>
      <c r="U344" s="272"/>
      <c r="V344" s="272"/>
      <c r="W344" s="272"/>
      <c r="X344" s="272"/>
      <c r="Y344" s="272"/>
      <c r="Z344" s="272"/>
      <c r="AA344" s="272"/>
      <c r="AB344" s="272"/>
      <c r="AC344" s="272"/>
      <c r="AD344" s="272"/>
      <c r="AE344" s="272"/>
      <c r="AF344" s="272"/>
      <c r="AG344" s="272"/>
      <c r="AH344" s="272"/>
      <c r="AI344" s="272"/>
      <c r="AJ344" s="272"/>
      <c r="AK344" s="272"/>
      <c r="AL344" s="272"/>
      <c r="AM344" s="272"/>
      <c r="AN344" s="272"/>
      <c r="AO344" s="272"/>
      <c r="AP344" s="272"/>
      <c r="AQ344" s="272"/>
      <c r="AR344" s="272"/>
      <c r="AS344" s="272"/>
      <c r="AT344" s="272"/>
      <c r="AU344" s="286"/>
    </row>
    <row r="345" spans="1:47" ht="60" customHeight="1" x14ac:dyDescent="0.35">
      <c r="A345" s="282" t="s">
        <v>7263</v>
      </c>
      <c r="B345" s="260" t="s">
        <v>7395</v>
      </c>
      <c r="C345" s="261" t="s">
        <v>7405</v>
      </c>
      <c r="D345" s="264" t="s">
        <v>7406</v>
      </c>
      <c r="E345" s="265" t="s">
        <v>6741</v>
      </c>
      <c r="F345" s="268" t="s">
        <v>7402</v>
      </c>
      <c r="G345" s="271" t="str">
        <f>IF(COUNTIF(H345:AU345,"&lt;&gt;")=0,"",SUMPRODUCT(((Recommendations[ImplStatus]="Implemented")+(Recommendations[ImplStatus]="Compensated"))*ISNUMBER(MATCH(Recommendations[Id],H345:AU345,0)))/COUNTIF(H345:AU345,"&lt;&gt;"))</f>
        <v/>
      </c>
      <c r="H345" s="272"/>
      <c r="I345" s="272"/>
      <c r="J345" s="272"/>
      <c r="K345" s="272"/>
      <c r="L345" s="272"/>
      <c r="M345" s="272"/>
      <c r="N345" s="272"/>
      <c r="O345" s="272"/>
      <c r="P345" s="272"/>
      <c r="Q345" s="272"/>
      <c r="R345" s="272"/>
      <c r="S345" s="272"/>
      <c r="T345" s="272"/>
      <c r="U345" s="272"/>
      <c r="V345" s="272"/>
      <c r="W345" s="272"/>
      <c r="X345" s="272"/>
      <c r="Y345" s="272"/>
      <c r="Z345" s="272"/>
      <c r="AA345" s="272"/>
      <c r="AB345" s="272"/>
      <c r="AC345" s="272"/>
      <c r="AD345" s="272"/>
      <c r="AE345" s="272"/>
      <c r="AF345" s="272"/>
      <c r="AG345" s="272"/>
      <c r="AH345" s="272"/>
      <c r="AI345" s="272"/>
      <c r="AJ345" s="272"/>
      <c r="AK345" s="272"/>
      <c r="AL345" s="272"/>
      <c r="AM345" s="272"/>
      <c r="AN345" s="272"/>
      <c r="AO345" s="272"/>
      <c r="AP345" s="272"/>
      <c r="AQ345" s="272"/>
      <c r="AR345" s="272"/>
      <c r="AS345" s="272"/>
      <c r="AT345" s="272"/>
      <c r="AU345" s="286"/>
    </row>
    <row r="346" spans="1:47" ht="60" customHeight="1" x14ac:dyDescent="0.35">
      <c r="A346" s="282" t="s">
        <v>7263</v>
      </c>
      <c r="B346" s="260" t="s">
        <v>7395</v>
      </c>
      <c r="C346" s="261" t="s">
        <v>7407</v>
      </c>
      <c r="D346" s="264" t="s">
        <v>7408</v>
      </c>
      <c r="E346" s="265" t="s">
        <v>6741</v>
      </c>
      <c r="F346" s="268" t="s">
        <v>7402</v>
      </c>
      <c r="G346" s="271" t="str">
        <f>IF(COUNTIF(H346:AU346,"&lt;&gt;")=0,"",SUMPRODUCT(((Recommendations[ImplStatus]="Implemented")+(Recommendations[ImplStatus]="Compensated"))*ISNUMBER(MATCH(Recommendations[Id],H346:AU346,0)))/COUNTIF(H346:AU346,"&lt;&gt;"))</f>
        <v/>
      </c>
      <c r="H346" s="272"/>
      <c r="I346" s="272"/>
      <c r="J346" s="272"/>
      <c r="K346" s="272"/>
      <c r="L346" s="272"/>
      <c r="M346" s="272"/>
      <c r="N346" s="272"/>
      <c r="O346" s="272"/>
      <c r="P346" s="272"/>
      <c r="Q346" s="272"/>
      <c r="R346" s="272"/>
      <c r="S346" s="272"/>
      <c r="T346" s="272"/>
      <c r="U346" s="272"/>
      <c r="V346" s="272"/>
      <c r="W346" s="272"/>
      <c r="X346" s="272"/>
      <c r="Y346" s="272"/>
      <c r="Z346" s="272"/>
      <c r="AA346" s="272"/>
      <c r="AB346" s="272"/>
      <c r="AC346" s="272"/>
      <c r="AD346" s="272"/>
      <c r="AE346" s="272"/>
      <c r="AF346" s="272"/>
      <c r="AG346" s="272"/>
      <c r="AH346" s="272"/>
      <c r="AI346" s="272"/>
      <c r="AJ346" s="272"/>
      <c r="AK346" s="272"/>
      <c r="AL346" s="272"/>
      <c r="AM346" s="272"/>
      <c r="AN346" s="272"/>
      <c r="AO346" s="272"/>
      <c r="AP346" s="272"/>
      <c r="AQ346" s="272"/>
      <c r="AR346" s="272"/>
      <c r="AS346" s="272"/>
      <c r="AT346" s="272"/>
      <c r="AU346" s="286"/>
    </row>
    <row r="347" spans="1:47" ht="60" customHeight="1" x14ac:dyDescent="0.35">
      <c r="A347" s="282" t="s">
        <v>7263</v>
      </c>
      <c r="B347" s="260" t="s">
        <v>7395</v>
      </c>
      <c r="C347" s="261" t="s">
        <v>7409</v>
      </c>
      <c r="D347" s="264" t="s">
        <v>7410</v>
      </c>
      <c r="E347" s="265" t="s">
        <v>6741</v>
      </c>
      <c r="F347" s="268" t="s">
        <v>7402</v>
      </c>
      <c r="G347" s="271" t="str">
        <f>IF(COUNTIF(H347:AU347,"&lt;&gt;")=0,"",SUMPRODUCT(((Recommendations[ImplStatus]="Implemented")+(Recommendations[ImplStatus]="Compensated"))*ISNUMBER(MATCH(Recommendations[Id],H347:AU347,0)))/COUNTIF(H347:AU347,"&lt;&gt;"))</f>
        <v/>
      </c>
      <c r="H347" s="272"/>
      <c r="I347" s="272"/>
      <c r="J347" s="272"/>
      <c r="K347" s="272"/>
      <c r="L347" s="272"/>
      <c r="M347" s="272"/>
      <c r="N347" s="272"/>
      <c r="O347" s="272"/>
      <c r="P347" s="272"/>
      <c r="Q347" s="272"/>
      <c r="R347" s="272"/>
      <c r="S347" s="272"/>
      <c r="T347" s="272"/>
      <c r="U347" s="272"/>
      <c r="V347" s="272"/>
      <c r="W347" s="272"/>
      <c r="X347" s="272"/>
      <c r="Y347" s="272"/>
      <c r="Z347" s="272"/>
      <c r="AA347" s="272"/>
      <c r="AB347" s="272"/>
      <c r="AC347" s="272"/>
      <c r="AD347" s="272"/>
      <c r="AE347" s="272"/>
      <c r="AF347" s="272"/>
      <c r="AG347" s="272"/>
      <c r="AH347" s="272"/>
      <c r="AI347" s="272"/>
      <c r="AJ347" s="272"/>
      <c r="AK347" s="272"/>
      <c r="AL347" s="272"/>
      <c r="AM347" s="272"/>
      <c r="AN347" s="272"/>
      <c r="AO347" s="272"/>
      <c r="AP347" s="272"/>
      <c r="AQ347" s="272"/>
      <c r="AR347" s="272"/>
      <c r="AS347" s="272"/>
      <c r="AT347" s="272"/>
      <c r="AU347" s="286"/>
    </row>
    <row r="348" spans="1:47" ht="60" customHeight="1" x14ac:dyDescent="0.35">
      <c r="A348" s="282" t="s">
        <v>7263</v>
      </c>
      <c r="B348" s="260" t="s">
        <v>7395</v>
      </c>
      <c r="C348" s="261" t="s">
        <v>7411</v>
      </c>
      <c r="D348" s="264" t="s">
        <v>7412</v>
      </c>
      <c r="E348" s="265" t="s">
        <v>6741</v>
      </c>
      <c r="F348" s="268" t="s">
        <v>7402</v>
      </c>
      <c r="G348" s="271" t="str">
        <f>IF(COUNTIF(H348:AU348,"&lt;&gt;")=0,"",SUMPRODUCT(((Recommendations[ImplStatus]="Implemented")+(Recommendations[ImplStatus]="Compensated"))*ISNUMBER(MATCH(Recommendations[Id],H348:AU348,0)))/COUNTIF(H348:AU348,"&lt;&gt;"))</f>
        <v/>
      </c>
      <c r="H348" s="272"/>
      <c r="I348" s="272"/>
      <c r="J348" s="272"/>
      <c r="K348" s="272"/>
      <c r="L348" s="272"/>
      <c r="M348" s="272"/>
      <c r="N348" s="272"/>
      <c r="O348" s="272"/>
      <c r="P348" s="272"/>
      <c r="Q348" s="272"/>
      <c r="R348" s="272"/>
      <c r="S348" s="272"/>
      <c r="T348" s="272"/>
      <c r="U348" s="272"/>
      <c r="V348" s="272"/>
      <c r="W348" s="272"/>
      <c r="X348" s="272"/>
      <c r="Y348" s="272"/>
      <c r="Z348" s="272"/>
      <c r="AA348" s="272"/>
      <c r="AB348" s="272"/>
      <c r="AC348" s="272"/>
      <c r="AD348" s="272"/>
      <c r="AE348" s="272"/>
      <c r="AF348" s="272"/>
      <c r="AG348" s="272"/>
      <c r="AH348" s="272"/>
      <c r="AI348" s="272"/>
      <c r="AJ348" s="272"/>
      <c r="AK348" s="272"/>
      <c r="AL348" s="272"/>
      <c r="AM348" s="272"/>
      <c r="AN348" s="272"/>
      <c r="AO348" s="272"/>
      <c r="AP348" s="272"/>
      <c r="AQ348" s="272"/>
      <c r="AR348" s="272"/>
      <c r="AS348" s="272"/>
      <c r="AT348" s="272"/>
      <c r="AU348" s="286"/>
    </row>
    <row r="349" spans="1:47" ht="60" customHeight="1" x14ac:dyDescent="0.35">
      <c r="A349" s="282" t="s">
        <v>7263</v>
      </c>
      <c r="B349" s="260" t="s">
        <v>7395</v>
      </c>
      <c r="C349" s="261" t="s">
        <v>7413</v>
      </c>
      <c r="D349" s="264" t="s">
        <v>7414</v>
      </c>
      <c r="E349" s="265" t="s">
        <v>6741</v>
      </c>
      <c r="F349" s="268" t="s">
        <v>7402</v>
      </c>
      <c r="G349" s="271">
        <f>IF(COUNTIF(H349:AU349,"&lt;&gt;")=0,"",SUMPRODUCT(((Recommendations[ImplStatus]="Implemented")+(Recommendations[ImplStatus]="Compensated"))*ISNUMBER(MATCH(Recommendations[Id],H349:AU349,0)))/COUNTIF(H349:AU349,"&lt;&gt;"))</f>
        <v>0</v>
      </c>
      <c r="H349" s="272" t="s">
        <v>161</v>
      </c>
      <c r="I349" s="272" t="s">
        <v>299</v>
      </c>
      <c r="J349" s="272" t="s">
        <v>303</v>
      </c>
      <c r="K349" s="272" t="s">
        <v>306</v>
      </c>
      <c r="L349" s="272" t="s">
        <v>366</v>
      </c>
      <c r="M349" s="272" t="s">
        <v>371</v>
      </c>
      <c r="N349" s="272" t="s">
        <v>1081</v>
      </c>
      <c r="O349" s="272" t="s">
        <v>1085</v>
      </c>
      <c r="P349" s="272" t="s">
        <v>1090</v>
      </c>
      <c r="Q349" s="272" t="s">
        <v>1196</v>
      </c>
      <c r="R349" s="272" t="s">
        <v>1289</v>
      </c>
      <c r="S349" s="272" t="s">
        <v>1294</v>
      </c>
      <c r="T349" s="272" t="s">
        <v>1298</v>
      </c>
      <c r="U349" s="272" t="s">
        <v>1303</v>
      </c>
      <c r="V349" s="272" t="s">
        <v>1308</v>
      </c>
      <c r="W349" s="272" t="s">
        <v>1312</v>
      </c>
      <c r="X349" s="272" t="s">
        <v>1582</v>
      </c>
      <c r="Y349" s="272" t="s">
        <v>1587</v>
      </c>
      <c r="Z349" s="272" t="s">
        <v>1592</v>
      </c>
      <c r="AA349" s="272" t="s">
        <v>1610</v>
      </c>
      <c r="AB349" s="272" t="s">
        <v>1613</v>
      </c>
      <c r="AC349" s="272" t="s">
        <v>1616</v>
      </c>
      <c r="AD349" s="272" t="s">
        <v>1774</v>
      </c>
      <c r="AE349" s="272" t="s">
        <v>1779</v>
      </c>
      <c r="AF349" s="272" t="s">
        <v>1783</v>
      </c>
      <c r="AG349" s="272" t="s">
        <v>1850</v>
      </c>
      <c r="AH349" s="272" t="s">
        <v>1855</v>
      </c>
      <c r="AI349" s="272" t="s">
        <v>1860</v>
      </c>
      <c r="AJ349" s="272" t="s">
        <v>1879</v>
      </c>
      <c r="AK349" s="272" t="s">
        <v>1884</v>
      </c>
      <c r="AL349" s="272" t="s">
        <v>1888</v>
      </c>
      <c r="AM349" s="272" t="s">
        <v>1928</v>
      </c>
      <c r="AN349" s="272" t="s">
        <v>1933</v>
      </c>
      <c r="AO349" s="272" t="s">
        <v>1937</v>
      </c>
      <c r="AP349" s="272" t="s">
        <v>1941</v>
      </c>
      <c r="AQ349" s="272" t="s">
        <v>1946</v>
      </c>
      <c r="AR349" s="272" t="s">
        <v>1950</v>
      </c>
      <c r="AS349" s="272" t="s">
        <v>1954</v>
      </c>
      <c r="AT349" s="272" t="s">
        <v>1957</v>
      </c>
      <c r="AU349" s="286" t="s">
        <v>1959</v>
      </c>
    </row>
    <row r="350" spans="1:47" ht="60" customHeight="1" x14ac:dyDescent="0.35">
      <c r="A350" s="282" t="s">
        <v>7263</v>
      </c>
      <c r="B350" s="260" t="s">
        <v>7395</v>
      </c>
      <c r="C350" s="261" t="s">
        <v>7415</v>
      </c>
      <c r="D350" s="264" t="s">
        <v>7416</v>
      </c>
      <c r="E350" s="265" t="s">
        <v>6712</v>
      </c>
      <c r="F350" s="268" t="s">
        <v>7402</v>
      </c>
      <c r="G350" s="271" t="str">
        <f>IF(COUNTIF(H350:AU350,"&lt;&gt;")=0,"",SUMPRODUCT(((Recommendations[ImplStatus]="Implemented")+(Recommendations[ImplStatus]="Compensated"))*ISNUMBER(MATCH(Recommendations[Id],H350:AU350,0)))/COUNTIF(H350:AU350,"&lt;&gt;"))</f>
        <v/>
      </c>
      <c r="H350" s="272"/>
      <c r="I350" s="272"/>
      <c r="J350" s="272"/>
      <c r="K350" s="272"/>
      <c r="L350" s="272"/>
      <c r="M350" s="272"/>
      <c r="N350" s="272"/>
      <c r="O350" s="272"/>
      <c r="P350" s="272"/>
      <c r="Q350" s="272"/>
      <c r="R350" s="272"/>
      <c r="S350" s="272"/>
      <c r="T350" s="272"/>
      <c r="U350" s="272"/>
      <c r="V350" s="272"/>
      <c r="W350" s="272"/>
      <c r="X350" s="272"/>
      <c r="Y350" s="272"/>
      <c r="Z350" s="272"/>
      <c r="AA350" s="272"/>
      <c r="AB350" s="272"/>
      <c r="AC350" s="272"/>
      <c r="AD350" s="272"/>
      <c r="AE350" s="272"/>
      <c r="AF350" s="272"/>
      <c r="AG350" s="272"/>
      <c r="AH350" s="272"/>
      <c r="AI350" s="272"/>
      <c r="AJ350" s="272"/>
      <c r="AK350" s="272"/>
      <c r="AL350" s="272"/>
      <c r="AM350" s="272"/>
      <c r="AN350" s="272"/>
      <c r="AO350" s="272"/>
      <c r="AP350" s="272"/>
      <c r="AQ350" s="272"/>
      <c r="AR350" s="272"/>
      <c r="AS350" s="272"/>
      <c r="AT350" s="272"/>
      <c r="AU350" s="286"/>
    </row>
    <row r="351" spans="1:47" ht="60" customHeight="1" x14ac:dyDescent="0.35">
      <c r="A351" s="282" t="s">
        <v>7263</v>
      </c>
      <c r="B351" s="260" t="s">
        <v>7395</v>
      </c>
      <c r="C351" s="261" t="s">
        <v>7417</v>
      </c>
      <c r="D351" s="264" t="s">
        <v>7418</v>
      </c>
      <c r="E351" s="265" t="s">
        <v>6712</v>
      </c>
      <c r="F351" s="268" t="s">
        <v>7402</v>
      </c>
      <c r="G351" s="271" t="str">
        <f>IF(COUNTIF(H351:AU351,"&lt;&gt;")=0,"",SUMPRODUCT(((Recommendations[ImplStatus]="Implemented")+(Recommendations[ImplStatus]="Compensated"))*ISNUMBER(MATCH(Recommendations[Id],H351:AU351,0)))/COUNTIF(H351:AU351,"&lt;&gt;"))</f>
        <v/>
      </c>
      <c r="H351" s="272"/>
      <c r="I351" s="272"/>
      <c r="J351" s="272"/>
      <c r="K351" s="272"/>
      <c r="L351" s="272"/>
      <c r="M351" s="272"/>
      <c r="N351" s="272"/>
      <c r="O351" s="272"/>
      <c r="P351" s="272"/>
      <c r="Q351" s="272"/>
      <c r="R351" s="272"/>
      <c r="S351" s="272"/>
      <c r="T351" s="272"/>
      <c r="U351" s="272"/>
      <c r="V351" s="272"/>
      <c r="W351" s="272"/>
      <c r="X351" s="272"/>
      <c r="Y351" s="272"/>
      <c r="Z351" s="272"/>
      <c r="AA351" s="272"/>
      <c r="AB351" s="272"/>
      <c r="AC351" s="272"/>
      <c r="AD351" s="272"/>
      <c r="AE351" s="272"/>
      <c r="AF351" s="272"/>
      <c r="AG351" s="272"/>
      <c r="AH351" s="272"/>
      <c r="AI351" s="272"/>
      <c r="AJ351" s="272"/>
      <c r="AK351" s="272"/>
      <c r="AL351" s="272"/>
      <c r="AM351" s="272"/>
      <c r="AN351" s="272"/>
      <c r="AO351" s="272"/>
      <c r="AP351" s="272"/>
      <c r="AQ351" s="272"/>
      <c r="AR351" s="272"/>
      <c r="AS351" s="272"/>
      <c r="AT351" s="272"/>
      <c r="AU351" s="286"/>
    </row>
    <row r="352" spans="1:47" ht="60" customHeight="1" x14ac:dyDescent="0.35">
      <c r="A352" s="282" t="s">
        <v>7263</v>
      </c>
      <c r="B352" s="260" t="s">
        <v>7395</v>
      </c>
      <c r="C352" s="261" t="s">
        <v>7419</v>
      </c>
      <c r="D352" s="264" t="s">
        <v>7420</v>
      </c>
      <c r="E352" s="265" t="s">
        <v>6712</v>
      </c>
      <c r="F352" s="268" t="s">
        <v>7402</v>
      </c>
      <c r="G352" s="271" t="str">
        <f>IF(COUNTIF(H352:AU352,"&lt;&gt;")=0,"",SUMPRODUCT(((Recommendations[ImplStatus]="Implemented")+(Recommendations[ImplStatus]="Compensated"))*ISNUMBER(MATCH(Recommendations[Id],H352:AU352,0)))/COUNTIF(H352:AU352,"&lt;&gt;"))</f>
        <v/>
      </c>
      <c r="H352" s="272"/>
      <c r="I352" s="272"/>
      <c r="J352" s="272"/>
      <c r="K352" s="272"/>
      <c r="L352" s="272"/>
      <c r="M352" s="272"/>
      <c r="N352" s="272"/>
      <c r="O352" s="272"/>
      <c r="P352" s="272"/>
      <c r="Q352" s="272"/>
      <c r="R352" s="272"/>
      <c r="S352" s="272"/>
      <c r="T352" s="272"/>
      <c r="U352" s="272"/>
      <c r="V352" s="272"/>
      <c r="W352" s="272"/>
      <c r="X352" s="272"/>
      <c r="Y352" s="272"/>
      <c r="Z352" s="272"/>
      <c r="AA352" s="272"/>
      <c r="AB352" s="272"/>
      <c r="AC352" s="272"/>
      <c r="AD352" s="272"/>
      <c r="AE352" s="272"/>
      <c r="AF352" s="272"/>
      <c r="AG352" s="272"/>
      <c r="AH352" s="272"/>
      <c r="AI352" s="272"/>
      <c r="AJ352" s="272"/>
      <c r="AK352" s="272"/>
      <c r="AL352" s="272"/>
      <c r="AM352" s="272"/>
      <c r="AN352" s="272"/>
      <c r="AO352" s="272"/>
      <c r="AP352" s="272"/>
      <c r="AQ352" s="272"/>
      <c r="AR352" s="272"/>
      <c r="AS352" s="272"/>
      <c r="AT352" s="272"/>
      <c r="AU352" s="286"/>
    </row>
    <row r="353" spans="1:47" ht="60" customHeight="1" x14ac:dyDescent="0.35">
      <c r="A353" s="282" t="s">
        <v>7263</v>
      </c>
      <c r="B353" s="260" t="s">
        <v>7395</v>
      </c>
      <c r="C353" s="261" t="s">
        <v>7421</v>
      </c>
      <c r="D353" s="264" t="s">
        <v>7422</v>
      </c>
      <c r="E353" s="265" t="s">
        <v>6808</v>
      </c>
      <c r="F353" s="268" t="s">
        <v>7282</v>
      </c>
      <c r="G353" s="271" t="str">
        <f>IF(COUNTIF(H353:AU353,"&lt;&gt;")=0,"",SUMPRODUCT(((Recommendations[ImplStatus]="Implemented")+(Recommendations[ImplStatus]="Compensated"))*ISNUMBER(MATCH(Recommendations[Id],H353:AU353,0)))/COUNTIF(H353:AU353,"&lt;&gt;"))</f>
        <v/>
      </c>
      <c r="H353" s="272"/>
      <c r="I353" s="272"/>
      <c r="J353" s="272"/>
      <c r="K353" s="272"/>
      <c r="L353" s="272"/>
      <c r="M353" s="272"/>
      <c r="N353" s="272"/>
      <c r="O353" s="272"/>
      <c r="P353" s="272"/>
      <c r="Q353" s="272"/>
      <c r="R353" s="272"/>
      <c r="S353" s="272"/>
      <c r="T353" s="272"/>
      <c r="U353" s="272"/>
      <c r="V353" s="272"/>
      <c r="W353" s="272"/>
      <c r="X353" s="272"/>
      <c r="Y353" s="272"/>
      <c r="Z353" s="272"/>
      <c r="AA353" s="272"/>
      <c r="AB353" s="272"/>
      <c r="AC353" s="272"/>
      <c r="AD353" s="272"/>
      <c r="AE353" s="272"/>
      <c r="AF353" s="272"/>
      <c r="AG353" s="272"/>
      <c r="AH353" s="272"/>
      <c r="AI353" s="272"/>
      <c r="AJ353" s="272"/>
      <c r="AK353" s="272"/>
      <c r="AL353" s="272"/>
      <c r="AM353" s="272"/>
      <c r="AN353" s="272"/>
      <c r="AO353" s="272"/>
      <c r="AP353" s="272"/>
      <c r="AQ353" s="272"/>
      <c r="AR353" s="272"/>
      <c r="AS353" s="272"/>
      <c r="AT353" s="272"/>
      <c r="AU353" s="286"/>
    </row>
    <row r="354" spans="1:47" ht="60" customHeight="1" outlineLevel="2" x14ac:dyDescent="0.35">
      <c r="A354" s="281" t="s">
        <v>7263</v>
      </c>
      <c r="B354" s="259" t="s">
        <v>7423</v>
      </c>
      <c r="C354" s="259"/>
      <c r="D354" s="263"/>
      <c r="E354" s="259"/>
      <c r="F354" s="267"/>
      <c r="G354" s="270" t="str">
        <f>IF(COUNTIF(H354:AU354,"&lt;&gt;")=0,"",SUMPRODUCT(((Recommendations[ImplStatus]="Implemented")+(Recommendations[ImplStatus]="Compensated"))*ISNUMBER(MATCH(Recommendations[Id],H354:AU354,0)))/COUNTIF(H354:AU354,"&lt;&gt;"))</f>
        <v/>
      </c>
      <c r="H354" s="267"/>
      <c r="I354" s="267"/>
      <c r="J354" s="267"/>
      <c r="K354" s="267"/>
      <c r="L354" s="267"/>
      <c r="M354" s="267"/>
      <c r="N354" s="267"/>
      <c r="O354" s="267"/>
      <c r="P354" s="267"/>
      <c r="Q354" s="267"/>
      <c r="R354" s="267"/>
      <c r="S354" s="267"/>
      <c r="T354" s="267"/>
      <c r="U354" s="267"/>
      <c r="V354" s="267"/>
      <c r="W354" s="267"/>
      <c r="X354" s="267"/>
      <c r="Y354" s="267"/>
      <c r="Z354" s="267"/>
      <c r="AA354" s="267"/>
      <c r="AB354" s="267"/>
      <c r="AC354" s="267"/>
      <c r="AD354" s="267"/>
      <c r="AE354" s="267"/>
      <c r="AF354" s="267"/>
      <c r="AG354" s="267"/>
      <c r="AH354" s="267"/>
      <c r="AI354" s="267"/>
      <c r="AJ354" s="267"/>
      <c r="AK354" s="267"/>
      <c r="AL354" s="267"/>
      <c r="AM354" s="267"/>
      <c r="AN354" s="267"/>
      <c r="AO354" s="267"/>
      <c r="AP354" s="267"/>
      <c r="AQ354" s="267"/>
      <c r="AR354" s="267"/>
      <c r="AS354" s="267"/>
      <c r="AT354" s="267"/>
      <c r="AU354" s="285"/>
    </row>
    <row r="355" spans="1:47" ht="60" customHeight="1" x14ac:dyDescent="0.35">
      <c r="A355" s="282" t="s">
        <v>7263</v>
      </c>
      <c r="B355" s="260" t="s">
        <v>7423</v>
      </c>
      <c r="C355" s="261" t="s">
        <v>7424</v>
      </c>
      <c r="D355" s="264" t="s">
        <v>7425</v>
      </c>
      <c r="E355" s="265" t="s">
        <v>6808</v>
      </c>
      <c r="F355" s="268" t="s">
        <v>7426</v>
      </c>
      <c r="G355" s="271">
        <f>IF(COUNTIF(H355:AU355,"&lt;&gt;")=0,"",SUMPRODUCT(((Recommendations[ImplStatus]="Implemented")+(Recommendations[ImplStatus]="Compensated"))*ISNUMBER(MATCH(Recommendations[Id],H355:AU355,0)))/COUNTIF(H355:AU355,"&lt;&gt;"))</f>
        <v>0</v>
      </c>
      <c r="H355" s="272" t="s">
        <v>1060</v>
      </c>
      <c r="I355" s="272"/>
      <c r="J355" s="272"/>
      <c r="K355" s="272"/>
      <c r="L355" s="272"/>
      <c r="M355" s="272"/>
      <c r="N355" s="272"/>
      <c r="O355" s="272"/>
      <c r="P355" s="272"/>
      <c r="Q355" s="272"/>
      <c r="R355" s="272"/>
      <c r="S355" s="272"/>
      <c r="T355" s="272"/>
      <c r="U355" s="272"/>
      <c r="V355" s="272"/>
      <c r="W355" s="272"/>
      <c r="X355" s="272"/>
      <c r="Y355" s="272"/>
      <c r="Z355" s="272"/>
      <c r="AA355" s="272"/>
      <c r="AB355" s="272"/>
      <c r="AC355" s="272"/>
      <c r="AD355" s="272"/>
      <c r="AE355" s="272"/>
      <c r="AF355" s="272"/>
      <c r="AG355" s="272"/>
      <c r="AH355" s="272"/>
      <c r="AI355" s="272"/>
      <c r="AJ355" s="272"/>
      <c r="AK355" s="272"/>
      <c r="AL355" s="272"/>
      <c r="AM355" s="272"/>
      <c r="AN355" s="272"/>
      <c r="AO355" s="272"/>
      <c r="AP355" s="272"/>
      <c r="AQ355" s="272"/>
      <c r="AR355" s="272"/>
      <c r="AS355" s="272"/>
      <c r="AT355" s="272"/>
      <c r="AU355" s="286"/>
    </row>
    <row r="356" spans="1:47" ht="60" customHeight="1" x14ac:dyDescent="0.35">
      <c r="A356" s="282" t="s">
        <v>7263</v>
      </c>
      <c r="B356" s="260" t="s">
        <v>7423</v>
      </c>
      <c r="C356" s="261" t="s">
        <v>7427</v>
      </c>
      <c r="D356" s="264" t="s">
        <v>7428</v>
      </c>
      <c r="E356" s="265" t="s">
        <v>6808</v>
      </c>
      <c r="F356" s="268" t="s">
        <v>7426</v>
      </c>
      <c r="G356" s="271" t="str">
        <f>IF(COUNTIF(H356:AU356,"&lt;&gt;")=0,"",SUMPRODUCT(((Recommendations[ImplStatus]="Implemented")+(Recommendations[ImplStatus]="Compensated"))*ISNUMBER(MATCH(Recommendations[Id],H356:AU356,0)))/COUNTIF(H356:AU356,"&lt;&gt;"))</f>
        <v/>
      </c>
      <c r="H356" s="272"/>
      <c r="I356" s="272"/>
      <c r="J356" s="272"/>
      <c r="K356" s="272"/>
      <c r="L356" s="272"/>
      <c r="M356" s="272"/>
      <c r="N356" s="272"/>
      <c r="O356" s="272"/>
      <c r="P356" s="272"/>
      <c r="Q356" s="272"/>
      <c r="R356" s="272"/>
      <c r="S356" s="272"/>
      <c r="T356" s="272"/>
      <c r="U356" s="272"/>
      <c r="V356" s="272"/>
      <c r="W356" s="272"/>
      <c r="X356" s="272"/>
      <c r="Y356" s="272"/>
      <c r="Z356" s="272"/>
      <c r="AA356" s="272"/>
      <c r="AB356" s="272"/>
      <c r="AC356" s="272"/>
      <c r="AD356" s="272"/>
      <c r="AE356" s="272"/>
      <c r="AF356" s="272"/>
      <c r="AG356" s="272"/>
      <c r="AH356" s="272"/>
      <c r="AI356" s="272"/>
      <c r="AJ356" s="272"/>
      <c r="AK356" s="272"/>
      <c r="AL356" s="272"/>
      <c r="AM356" s="272"/>
      <c r="AN356" s="272"/>
      <c r="AO356" s="272"/>
      <c r="AP356" s="272"/>
      <c r="AQ356" s="272"/>
      <c r="AR356" s="272"/>
      <c r="AS356" s="272"/>
      <c r="AT356" s="272"/>
      <c r="AU356" s="286"/>
    </row>
    <row r="357" spans="1:47" ht="60" customHeight="1" x14ac:dyDescent="0.35">
      <c r="A357" s="282" t="s">
        <v>7263</v>
      </c>
      <c r="B357" s="260" t="s">
        <v>7423</v>
      </c>
      <c r="C357" s="261" t="s">
        <v>7429</v>
      </c>
      <c r="D357" s="264" t="s">
        <v>7430</v>
      </c>
      <c r="E357" s="265" t="s">
        <v>6856</v>
      </c>
      <c r="F357" s="268" t="s">
        <v>7426</v>
      </c>
      <c r="G357" s="271" t="str">
        <f>IF(COUNTIF(H357:AU357,"&lt;&gt;")=0,"",SUMPRODUCT(((Recommendations[ImplStatus]="Implemented")+(Recommendations[ImplStatus]="Compensated"))*ISNUMBER(MATCH(Recommendations[Id],H357:AU357,0)))/COUNTIF(H357:AU357,"&lt;&gt;"))</f>
        <v/>
      </c>
      <c r="H357" s="272"/>
      <c r="I357" s="272"/>
      <c r="J357" s="272"/>
      <c r="K357" s="272"/>
      <c r="L357" s="272"/>
      <c r="M357" s="272"/>
      <c r="N357" s="272"/>
      <c r="O357" s="272"/>
      <c r="P357" s="272"/>
      <c r="Q357" s="272"/>
      <c r="R357" s="272"/>
      <c r="S357" s="272"/>
      <c r="T357" s="272"/>
      <c r="U357" s="272"/>
      <c r="V357" s="272"/>
      <c r="W357" s="272"/>
      <c r="X357" s="272"/>
      <c r="Y357" s="272"/>
      <c r="Z357" s="272"/>
      <c r="AA357" s="272"/>
      <c r="AB357" s="272"/>
      <c r="AC357" s="272"/>
      <c r="AD357" s="272"/>
      <c r="AE357" s="272"/>
      <c r="AF357" s="272"/>
      <c r="AG357" s="272"/>
      <c r="AH357" s="272"/>
      <c r="AI357" s="272"/>
      <c r="AJ357" s="272"/>
      <c r="AK357" s="272"/>
      <c r="AL357" s="272"/>
      <c r="AM357" s="272"/>
      <c r="AN357" s="272"/>
      <c r="AO357" s="272"/>
      <c r="AP357" s="272"/>
      <c r="AQ357" s="272"/>
      <c r="AR357" s="272"/>
      <c r="AS357" s="272"/>
      <c r="AT357" s="272"/>
      <c r="AU357" s="286"/>
    </row>
    <row r="358" spans="1:47" ht="60" customHeight="1" x14ac:dyDescent="0.35">
      <c r="A358" s="282" t="s">
        <v>7263</v>
      </c>
      <c r="B358" s="260" t="s">
        <v>7423</v>
      </c>
      <c r="C358" s="261" t="s">
        <v>7431</v>
      </c>
      <c r="D358" s="264" t="s">
        <v>7432</v>
      </c>
      <c r="E358" s="265" t="s">
        <v>6856</v>
      </c>
      <c r="F358" s="268" t="s">
        <v>7426</v>
      </c>
      <c r="G358" s="271" t="str">
        <f>IF(COUNTIF(H358:AU358,"&lt;&gt;")=0,"",SUMPRODUCT(((Recommendations[ImplStatus]="Implemented")+(Recommendations[ImplStatus]="Compensated"))*ISNUMBER(MATCH(Recommendations[Id],H358:AU358,0)))/COUNTIF(H358:AU358,"&lt;&gt;"))</f>
        <v/>
      </c>
      <c r="H358" s="272"/>
      <c r="I358" s="272"/>
      <c r="J358" s="272"/>
      <c r="K358" s="272"/>
      <c r="L358" s="272"/>
      <c r="M358" s="272"/>
      <c r="N358" s="272"/>
      <c r="O358" s="272"/>
      <c r="P358" s="272"/>
      <c r="Q358" s="272"/>
      <c r="R358" s="272"/>
      <c r="S358" s="272"/>
      <c r="T358" s="272"/>
      <c r="U358" s="272"/>
      <c r="V358" s="272"/>
      <c r="W358" s="272"/>
      <c r="X358" s="272"/>
      <c r="Y358" s="272"/>
      <c r="Z358" s="272"/>
      <c r="AA358" s="272"/>
      <c r="AB358" s="272"/>
      <c r="AC358" s="272"/>
      <c r="AD358" s="272"/>
      <c r="AE358" s="272"/>
      <c r="AF358" s="272"/>
      <c r="AG358" s="272"/>
      <c r="AH358" s="272"/>
      <c r="AI358" s="272"/>
      <c r="AJ358" s="272"/>
      <c r="AK358" s="272"/>
      <c r="AL358" s="272"/>
      <c r="AM358" s="272"/>
      <c r="AN358" s="272"/>
      <c r="AO358" s="272"/>
      <c r="AP358" s="272"/>
      <c r="AQ358" s="272"/>
      <c r="AR358" s="272"/>
      <c r="AS358" s="272"/>
      <c r="AT358" s="272"/>
      <c r="AU358" s="286"/>
    </row>
    <row r="359" spans="1:47" ht="60" customHeight="1" x14ac:dyDescent="0.35">
      <c r="A359" s="282" t="s">
        <v>7263</v>
      </c>
      <c r="B359" s="260" t="s">
        <v>7423</v>
      </c>
      <c r="C359" s="261" t="s">
        <v>7433</v>
      </c>
      <c r="D359" s="264" t="s">
        <v>7434</v>
      </c>
      <c r="E359" s="265" t="s">
        <v>6856</v>
      </c>
      <c r="F359" s="268" t="s">
        <v>7426</v>
      </c>
      <c r="G359" s="271" t="str">
        <f>IF(COUNTIF(H359:AU359,"&lt;&gt;")=0,"",SUMPRODUCT(((Recommendations[ImplStatus]="Implemented")+(Recommendations[ImplStatus]="Compensated"))*ISNUMBER(MATCH(Recommendations[Id],H359:AU359,0)))/COUNTIF(H359:AU359,"&lt;&gt;"))</f>
        <v/>
      </c>
      <c r="H359" s="272"/>
      <c r="I359" s="272"/>
      <c r="J359" s="272"/>
      <c r="K359" s="272"/>
      <c r="L359" s="272"/>
      <c r="M359" s="272"/>
      <c r="N359" s="272"/>
      <c r="O359" s="272"/>
      <c r="P359" s="272"/>
      <c r="Q359" s="272"/>
      <c r="R359" s="272"/>
      <c r="S359" s="272"/>
      <c r="T359" s="272"/>
      <c r="U359" s="272"/>
      <c r="V359" s="272"/>
      <c r="W359" s="272"/>
      <c r="X359" s="272"/>
      <c r="Y359" s="272"/>
      <c r="Z359" s="272"/>
      <c r="AA359" s="272"/>
      <c r="AB359" s="272"/>
      <c r="AC359" s="272"/>
      <c r="AD359" s="272"/>
      <c r="AE359" s="272"/>
      <c r="AF359" s="272"/>
      <c r="AG359" s="272"/>
      <c r="AH359" s="272"/>
      <c r="AI359" s="272"/>
      <c r="AJ359" s="272"/>
      <c r="AK359" s="272"/>
      <c r="AL359" s="272"/>
      <c r="AM359" s="272"/>
      <c r="AN359" s="272"/>
      <c r="AO359" s="272"/>
      <c r="AP359" s="272"/>
      <c r="AQ359" s="272"/>
      <c r="AR359" s="272"/>
      <c r="AS359" s="272"/>
      <c r="AT359" s="272"/>
      <c r="AU359" s="286"/>
    </row>
    <row r="360" spans="1:47" ht="60" customHeight="1" x14ac:dyDescent="0.35">
      <c r="A360" s="282" t="s">
        <v>7263</v>
      </c>
      <c r="B360" s="260" t="s">
        <v>7423</v>
      </c>
      <c r="C360" s="261" t="s">
        <v>7435</v>
      </c>
      <c r="D360" s="264" t="s">
        <v>7436</v>
      </c>
      <c r="E360" s="265" t="s">
        <v>6808</v>
      </c>
      <c r="F360" s="268" t="s">
        <v>7426</v>
      </c>
      <c r="G360" s="271">
        <f>IF(COUNTIF(H360:AU360,"&lt;&gt;")=0,"",SUMPRODUCT(((Recommendations[ImplStatus]="Implemented")+(Recommendations[ImplStatus]="Compensated"))*ISNUMBER(MATCH(Recommendations[Id],H360:AU360,0)))/COUNTIF(H360:AU360,"&lt;&gt;"))</f>
        <v>0</v>
      </c>
      <c r="H360" s="272" t="s">
        <v>187</v>
      </c>
      <c r="I360" s="272" t="s">
        <v>192</v>
      </c>
      <c r="J360" s="272" t="s">
        <v>309</v>
      </c>
      <c r="K360" s="272" t="s">
        <v>1029</v>
      </c>
      <c r="L360" s="272" t="s">
        <v>1198</v>
      </c>
      <c r="M360" s="272" t="s">
        <v>1475</v>
      </c>
      <c r="N360" s="272" t="s">
        <v>1792</v>
      </c>
      <c r="O360" s="272"/>
      <c r="P360" s="272"/>
      <c r="Q360" s="272"/>
      <c r="R360" s="272"/>
      <c r="S360" s="272"/>
      <c r="T360" s="272"/>
      <c r="U360" s="272"/>
      <c r="V360" s="272"/>
      <c r="W360" s="272"/>
      <c r="X360" s="272"/>
      <c r="Y360" s="272"/>
      <c r="Z360" s="272"/>
      <c r="AA360" s="272"/>
      <c r="AB360" s="272"/>
      <c r="AC360" s="272"/>
      <c r="AD360" s="272"/>
      <c r="AE360" s="272"/>
      <c r="AF360" s="272"/>
      <c r="AG360" s="272"/>
      <c r="AH360" s="272"/>
      <c r="AI360" s="272"/>
      <c r="AJ360" s="272"/>
      <c r="AK360" s="272"/>
      <c r="AL360" s="272"/>
      <c r="AM360" s="272"/>
      <c r="AN360" s="272"/>
      <c r="AO360" s="272"/>
      <c r="AP360" s="272"/>
      <c r="AQ360" s="272"/>
      <c r="AR360" s="272"/>
      <c r="AS360" s="272"/>
      <c r="AT360" s="272"/>
      <c r="AU360" s="286"/>
    </row>
    <row r="361" spans="1:47" ht="60" customHeight="1" x14ac:dyDescent="0.35">
      <c r="A361" s="282" t="s">
        <v>7263</v>
      </c>
      <c r="B361" s="260" t="s">
        <v>7423</v>
      </c>
      <c r="C361" s="261" t="s">
        <v>7437</v>
      </c>
      <c r="D361" s="264" t="s">
        <v>7438</v>
      </c>
      <c r="E361" s="265" t="s">
        <v>6741</v>
      </c>
      <c r="F361" s="268" t="s">
        <v>7426</v>
      </c>
      <c r="G361" s="271" t="str">
        <f>IF(COUNTIF(H361:AU361,"&lt;&gt;")=0,"",SUMPRODUCT(((Recommendations[ImplStatus]="Implemented")+(Recommendations[ImplStatus]="Compensated"))*ISNUMBER(MATCH(Recommendations[Id],H361:AU361,0)))/COUNTIF(H361:AU361,"&lt;&gt;"))</f>
        <v/>
      </c>
      <c r="H361" s="272"/>
      <c r="I361" s="272"/>
      <c r="J361" s="272"/>
      <c r="K361" s="272"/>
      <c r="L361" s="272"/>
      <c r="M361" s="272"/>
      <c r="N361" s="272"/>
      <c r="O361" s="272"/>
      <c r="P361" s="272"/>
      <c r="Q361" s="272"/>
      <c r="R361" s="272"/>
      <c r="S361" s="272"/>
      <c r="T361" s="272"/>
      <c r="U361" s="272"/>
      <c r="V361" s="272"/>
      <c r="W361" s="272"/>
      <c r="X361" s="272"/>
      <c r="Y361" s="272"/>
      <c r="Z361" s="272"/>
      <c r="AA361" s="272"/>
      <c r="AB361" s="272"/>
      <c r="AC361" s="272"/>
      <c r="AD361" s="272"/>
      <c r="AE361" s="272"/>
      <c r="AF361" s="272"/>
      <c r="AG361" s="272"/>
      <c r="AH361" s="272"/>
      <c r="AI361" s="272"/>
      <c r="AJ361" s="272"/>
      <c r="AK361" s="272"/>
      <c r="AL361" s="272"/>
      <c r="AM361" s="272"/>
      <c r="AN361" s="272"/>
      <c r="AO361" s="272"/>
      <c r="AP361" s="272"/>
      <c r="AQ361" s="272"/>
      <c r="AR361" s="272"/>
      <c r="AS361" s="272"/>
      <c r="AT361" s="272"/>
      <c r="AU361" s="286"/>
    </row>
    <row r="362" spans="1:47" ht="60" customHeight="1" x14ac:dyDescent="0.35">
      <c r="A362" s="282" t="s">
        <v>7263</v>
      </c>
      <c r="B362" s="260" t="s">
        <v>7423</v>
      </c>
      <c r="C362" s="261" t="s">
        <v>7439</v>
      </c>
      <c r="D362" s="264" t="s">
        <v>7440</v>
      </c>
      <c r="E362" s="265" t="s">
        <v>6856</v>
      </c>
      <c r="F362" s="268" t="s">
        <v>7426</v>
      </c>
      <c r="G362" s="271" t="str">
        <f>IF(COUNTIF(H362:AU362,"&lt;&gt;")=0,"",SUMPRODUCT(((Recommendations[ImplStatus]="Implemented")+(Recommendations[ImplStatus]="Compensated"))*ISNUMBER(MATCH(Recommendations[Id],H362:AU362,0)))/COUNTIF(H362:AU362,"&lt;&gt;"))</f>
        <v/>
      </c>
      <c r="H362" s="272"/>
      <c r="I362" s="272"/>
      <c r="J362" s="272"/>
      <c r="K362" s="272"/>
      <c r="L362" s="272"/>
      <c r="M362" s="272"/>
      <c r="N362" s="272"/>
      <c r="O362" s="272"/>
      <c r="P362" s="272"/>
      <c r="Q362" s="272"/>
      <c r="R362" s="272"/>
      <c r="S362" s="272"/>
      <c r="T362" s="272"/>
      <c r="U362" s="272"/>
      <c r="V362" s="272"/>
      <c r="W362" s="272"/>
      <c r="X362" s="272"/>
      <c r="Y362" s="272"/>
      <c r="Z362" s="272"/>
      <c r="AA362" s="272"/>
      <c r="AB362" s="272"/>
      <c r="AC362" s="272"/>
      <c r="AD362" s="272"/>
      <c r="AE362" s="272"/>
      <c r="AF362" s="272"/>
      <c r="AG362" s="272"/>
      <c r="AH362" s="272"/>
      <c r="AI362" s="272"/>
      <c r="AJ362" s="272"/>
      <c r="AK362" s="272"/>
      <c r="AL362" s="272"/>
      <c r="AM362" s="272"/>
      <c r="AN362" s="272"/>
      <c r="AO362" s="272"/>
      <c r="AP362" s="272"/>
      <c r="AQ362" s="272"/>
      <c r="AR362" s="272"/>
      <c r="AS362" s="272"/>
      <c r="AT362" s="272"/>
      <c r="AU362" s="286"/>
    </row>
    <row r="363" spans="1:47" ht="60" customHeight="1" x14ac:dyDescent="0.35">
      <c r="A363" s="282" t="s">
        <v>7263</v>
      </c>
      <c r="B363" s="260" t="s">
        <v>7423</v>
      </c>
      <c r="C363" s="261" t="s">
        <v>7441</v>
      </c>
      <c r="D363" s="264" t="s">
        <v>7442</v>
      </c>
      <c r="E363" s="265" t="s">
        <v>6856</v>
      </c>
      <c r="F363" s="268" t="s">
        <v>7426</v>
      </c>
      <c r="G363" s="271" t="str">
        <f>IF(COUNTIF(H363:AU363,"&lt;&gt;")=0,"",SUMPRODUCT(((Recommendations[ImplStatus]="Implemented")+(Recommendations[ImplStatus]="Compensated"))*ISNUMBER(MATCH(Recommendations[Id],H363:AU363,0)))/COUNTIF(H363:AU363,"&lt;&gt;"))</f>
        <v/>
      </c>
      <c r="H363" s="272"/>
      <c r="I363" s="272"/>
      <c r="J363" s="272"/>
      <c r="K363" s="272"/>
      <c r="L363" s="272"/>
      <c r="M363" s="272"/>
      <c r="N363" s="272"/>
      <c r="O363" s="272"/>
      <c r="P363" s="272"/>
      <c r="Q363" s="272"/>
      <c r="R363" s="272"/>
      <c r="S363" s="272"/>
      <c r="T363" s="272"/>
      <c r="U363" s="272"/>
      <c r="V363" s="272"/>
      <c r="W363" s="272"/>
      <c r="X363" s="272"/>
      <c r="Y363" s="272"/>
      <c r="Z363" s="272"/>
      <c r="AA363" s="272"/>
      <c r="AB363" s="272"/>
      <c r="AC363" s="272"/>
      <c r="AD363" s="272"/>
      <c r="AE363" s="272"/>
      <c r="AF363" s="272"/>
      <c r="AG363" s="272"/>
      <c r="AH363" s="272"/>
      <c r="AI363" s="272"/>
      <c r="AJ363" s="272"/>
      <c r="AK363" s="272"/>
      <c r="AL363" s="272"/>
      <c r="AM363" s="272"/>
      <c r="AN363" s="272"/>
      <c r="AO363" s="272"/>
      <c r="AP363" s="272"/>
      <c r="AQ363" s="272"/>
      <c r="AR363" s="272"/>
      <c r="AS363" s="272"/>
      <c r="AT363" s="272"/>
      <c r="AU363" s="286"/>
    </row>
    <row r="364" spans="1:47" ht="60" customHeight="1" x14ac:dyDescent="0.35">
      <c r="A364" s="282" t="s">
        <v>7263</v>
      </c>
      <c r="B364" s="260" t="s">
        <v>7423</v>
      </c>
      <c r="C364" s="261" t="s">
        <v>7443</v>
      </c>
      <c r="D364" s="264" t="s">
        <v>7444</v>
      </c>
      <c r="E364" s="265" t="s">
        <v>6856</v>
      </c>
      <c r="F364" s="268" t="s">
        <v>7426</v>
      </c>
      <c r="G364" s="271" t="str">
        <f>IF(COUNTIF(H364:AU364,"&lt;&gt;")=0,"",SUMPRODUCT(((Recommendations[ImplStatus]="Implemented")+(Recommendations[ImplStatus]="Compensated"))*ISNUMBER(MATCH(Recommendations[Id],H364:AU364,0)))/COUNTIF(H364:AU364,"&lt;&gt;"))</f>
        <v/>
      </c>
      <c r="H364" s="272"/>
      <c r="I364" s="272"/>
      <c r="J364" s="272"/>
      <c r="K364" s="272"/>
      <c r="L364" s="272"/>
      <c r="M364" s="272"/>
      <c r="N364" s="272"/>
      <c r="O364" s="272"/>
      <c r="P364" s="272"/>
      <c r="Q364" s="272"/>
      <c r="R364" s="272"/>
      <c r="S364" s="272"/>
      <c r="T364" s="272"/>
      <c r="U364" s="272"/>
      <c r="V364" s="272"/>
      <c r="W364" s="272"/>
      <c r="X364" s="272"/>
      <c r="Y364" s="272"/>
      <c r="Z364" s="272"/>
      <c r="AA364" s="272"/>
      <c r="AB364" s="272"/>
      <c r="AC364" s="272"/>
      <c r="AD364" s="272"/>
      <c r="AE364" s="272"/>
      <c r="AF364" s="272"/>
      <c r="AG364" s="272"/>
      <c r="AH364" s="272"/>
      <c r="AI364" s="272"/>
      <c r="AJ364" s="272"/>
      <c r="AK364" s="272"/>
      <c r="AL364" s="272"/>
      <c r="AM364" s="272"/>
      <c r="AN364" s="272"/>
      <c r="AO364" s="272"/>
      <c r="AP364" s="272"/>
      <c r="AQ364" s="272"/>
      <c r="AR364" s="272"/>
      <c r="AS364" s="272"/>
      <c r="AT364" s="272"/>
      <c r="AU364" s="286"/>
    </row>
    <row r="365" spans="1:47" ht="60" customHeight="1" x14ac:dyDescent="0.35">
      <c r="A365" s="282" t="s">
        <v>7263</v>
      </c>
      <c r="B365" s="260" t="s">
        <v>7423</v>
      </c>
      <c r="C365" s="261" t="s">
        <v>7445</v>
      </c>
      <c r="D365" s="264" t="s">
        <v>7446</v>
      </c>
      <c r="E365" s="265" t="s">
        <v>6856</v>
      </c>
      <c r="F365" s="268" t="s">
        <v>7426</v>
      </c>
      <c r="G365" s="271" t="str">
        <f>IF(COUNTIF(H365:AU365,"&lt;&gt;")=0,"",SUMPRODUCT(((Recommendations[ImplStatus]="Implemented")+(Recommendations[ImplStatus]="Compensated"))*ISNUMBER(MATCH(Recommendations[Id],H365:AU365,0)))/COUNTIF(H365:AU365,"&lt;&gt;"))</f>
        <v/>
      </c>
      <c r="H365" s="272"/>
      <c r="I365" s="272"/>
      <c r="J365" s="272"/>
      <c r="K365" s="272"/>
      <c r="L365" s="272"/>
      <c r="M365" s="272"/>
      <c r="N365" s="272"/>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86"/>
    </row>
    <row r="366" spans="1:47" ht="60" customHeight="1" x14ac:dyDescent="0.35">
      <c r="A366" s="282" t="s">
        <v>7263</v>
      </c>
      <c r="B366" s="260" t="s">
        <v>7423</v>
      </c>
      <c r="C366" s="261" t="s">
        <v>7447</v>
      </c>
      <c r="D366" s="264" t="s">
        <v>7448</v>
      </c>
      <c r="E366" s="265" t="s">
        <v>6856</v>
      </c>
      <c r="F366" s="268" t="s">
        <v>7426</v>
      </c>
      <c r="G366" s="271" t="str">
        <f>IF(COUNTIF(H366:AU366,"&lt;&gt;")=0,"",SUMPRODUCT(((Recommendations[ImplStatus]="Implemented")+(Recommendations[ImplStatus]="Compensated"))*ISNUMBER(MATCH(Recommendations[Id],H366:AU366,0)))/COUNTIF(H366:AU366,"&lt;&gt;"))</f>
        <v/>
      </c>
      <c r="H366" s="272"/>
      <c r="I366" s="272"/>
      <c r="J366" s="272"/>
      <c r="K366" s="272"/>
      <c r="L366" s="272"/>
      <c r="M366" s="272"/>
      <c r="N366" s="272"/>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86"/>
    </row>
    <row r="367" spans="1:47" ht="60" customHeight="1" x14ac:dyDescent="0.35">
      <c r="A367" s="282" t="s">
        <v>7263</v>
      </c>
      <c r="B367" s="260" t="s">
        <v>7423</v>
      </c>
      <c r="C367" s="261" t="s">
        <v>7449</v>
      </c>
      <c r="D367" s="264" t="s">
        <v>7450</v>
      </c>
      <c r="E367" s="265" t="s">
        <v>6856</v>
      </c>
      <c r="F367" s="268" t="s">
        <v>7426</v>
      </c>
      <c r="G367" s="271" t="str">
        <f>IF(COUNTIF(H367:AU367,"&lt;&gt;")=0,"",SUMPRODUCT(((Recommendations[ImplStatus]="Implemented")+(Recommendations[ImplStatus]="Compensated"))*ISNUMBER(MATCH(Recommendations[Id],H367:AU367,0)))/COUNTIF(H367:AU367,"&lt;&gt;"))</f>
        <v/>
      </c>
      <c r="H367" s="272"/>
      <c r="I367" s="272"/>
      <c r="J367" s="272"/>
      <c r="K367" s="272"/>
      <c r="L367" s="272"/>
      <c r="M367" s="272"/>
      <c r="N367" s="272"/>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86"/>
    </row>
    <row r="368" spans="1:47" ht="60" customHeight="1" x14ac:dyDescent="0.35">
      <c r="A368" s="282" t="s">
        <v>7263</v>
      </c>
      <c r="B368" s="260" t="s">
        <v>7423</v>
      </c>
      <c r="C368" s="261" t="s">
        <v>7451</v>
      </c>
      <c r="D368" s="264" t="s">
        <v>7452</v>
      </c>
      <c r="E368" s="265" t="s">
        <v>6856</v>
      </c>
      <c r="F368" s="268" t="s">
        <v>7426</v>
      </c>
      <c r="G368" s="271" t="str">
        <f>IF(COUNTIF(H368:AU368,"&lt;&gt;")=0,"",SUMPRODUCT(((Recommendations[ImplStatus]="Implemented")+(Recommendations[ImplStatus]="Compensated"))*ISNUMBER(MATCH(Recommendations[Id],H368:AU368,0)))/COUNTIF(H368:AU368,"&lt;&gt;"))</f>
        <v/>
      </c>
      <c r="H368" s="272"/>
      <c r="I368" s="272"/>
      <c r="J368" s="272"/>
      <c r="K368" s="272"/>
      <c r="L368" s="272"/>
      <c r="M368" s="272"/>
      <c r="N368" s="272"/>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86"/>
    </row>
    <row r="369" spans="1:47" ht="60" customHeight="1" x14ac:dyDescent="0.35">
      <c r="A369" s="282" t="s">
        <v>7263</v>
      </c>
      <c r="B369" s="260" t="s">
        <v>7423</v>
      </c>
      <c r="C369" s="261" t="s">
        <v>7453</v>
      </c>
      <c r="D369" s="264" t="s">
        <v>7454</v>
      </c>
      <c r="E369" s="265" t="s">
        <v>6856</v>
      </c>
      <c r="F369" s="268" t="s">
        <v>7426</v>
      </c>
      <c r="G369" s="271" t="str">
        <f>IF(COUNTIF(H369:AU369,"&lt;&gt;")=0,"",SUMPRODUCT(((Recommendations[ImplStatus]="Implemented")+(Recommendations[ImplStatus]="Compensated"))*ISNUMBER(MATCH(Recommendations[Id],H369:AU369,0)))/COUNTIF(H369:AU369,"&lt;&gt;"))</f>
        <v/>
      </c>
      <c r="H369" s="272"/>
      <c r="I369" s="272"/>
      <c r="J369" s="272"/>
      <c r="K369" s="272"/>
      <c r="L369" s="272"/>
      <c r="M369" s="272"/>
      <c r="N369" s="272"/>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86"/>
    </row>
    <row r="370" spans="1:47" ht="60" customHeight="1" outlineLevel="1" x14ac:dyDescent="0.35">
      <c r="A370" s="280" t="s">
        <v>7455</v>
      </c>
      <c r="B370" s="258"/>
      <c r="C370" s="258"/>
      <c r="D370" s="262"/>
      <c r="E370" s="258"/>
      <c r="F370" s="266"/>
      <c r="G370" s="269" t="str">
        <f>IF(COUNTIF(H370:AU370,"&lt;&gt;")=0,"",SUMPRODUCT(((Recommendations[ImplStatus]="Implemented")+(Recommendations[ImplStatus]="Compensated"))*ISNUMBER(MATCH(Recommendations[Id],H370:AU370,0)))/COUNTIF(H370:AU370,"&lt;&gt;"))</f>
        <v/>
      </c>
      <c r="H370" s="266"/>
      <c r="I370" s="266"/>
      <c r="J370" s="266"/>
      <c r="K370" s="266"/>
      <c r="L370" s="266"/>
      <c r="M370" s="266"/>
      <c r="N370" s="266"/>
      <c r="O370" s="266"/>
      <c r="P370" s="266"/>
      <c r="Q370" s="266"/>
      <c r="R370" s="266"/>
      <c r="S370" s="266"/>
      <c r="T370" s="266"/>
      <c r="U370" s="266"/>
      <c r="V370" s="266"/>
      <c r="W370" s="266"/>
      <c r="X370" s="266"/>
      <c r="Y370" s="266"/>
      <c r="Z370" s="266"/>
      <c r="AA370" s="266"/>
      <c r="AB370" s="266"/>
      <c r="AC370" s="266"/>
      <c r="AD370" s="266"/>
      <c r="AE370" s="266"/>
      <c r="AF370" s="266"/>
      <c r="AG370" s="266"/>
      <c r="AH370" s="266"/>
      <c r="AI370" s="266"/>
      <c r="AJ370" s="266"/>
      <c r="AK370" s="266"/>
      <c r="AL370" s="266"/>
      <c r="AM370" s="266"/>
      <c r="AN370" s="266"/>
      <c r="AO370" s="266"/>
      <c r="AP370" s="266"/>
      <c r="AQ370" s="266"/>
      <c r="AR370" s="266"/>
      <c r="AS370" s="266"/>
      <c r="AT370" s="266"/>
      <c r="AU370" s="284"/>
    </row>
    <row r="371" spans="1:47" ht="60" customHeight="1" outlineLevel="2" x14ac:dyDescent="0.35">
      <c r="A371" s="281" t="s">
        <v>7455</v>
      </c>
      <c r="B371" s="259" t="s">
        <v>7456</v>
      </c>
      <c r="C371" s="259"/>
      <c r="D371" s="263"/>
      <c r="E371" s="259"/>
      <c r="F371" s="267"/>
      <c r="G371" s="270" t="str">
        <f>IF(COUNTIF(H371:AU371,"&lt;&gt;")=0,"",SUMPRODUCT(((Recommendations[ImplStatus]="Implemented")+(Recommendations[ImplStatus]="Compensated"))*ISNUMBER(MATCH(Recommendations[Id],H371:AU371,0)))/COUNTIF(H371:AU371,"&lt;&gt;"))</f>
        <v/>
      </c>
      <c r="H371" s="267"/>
      <c r="I371" s="267"/>
      <c r="J371" s="267"/>
      <c r="K371" s="267"/>
      <c r="L371" s="267"/>
      <c r="M371" s="267"/>
      <c r="N371" s="267"/>
      <c r="O371" s="267"/>
      <c r="P371" s="267"/>
      <c r="Q371" s="267"/>
      <c r="R371" s="267"/>
      <c r="S371" s="267"/>
      <c r="T371" s="267"/>
      <c r="U371" s="267"/>
      <c r="V371" s="267"/>
      <c r="W371" s="267"/>
      <c r="X371" s="267"/>
      <c r="Y371" s="267"/>
      <c r="Z371" s="267"/>
      <c r="AA371" s="267"/>
      <c r="AB371" s="267"/>
      <c r="AC371" s="267"/>
      <c r="AD371" s="267"/>
      <c r="AE371" s="267"/>
      <c r="AF371" s="267"/>
      <c r="AG371" s="267"/>
      <c r="AH371" s="267"/>
      <c r="AI371" s="267"/>
      <c r="AJ371" s="267"/>
      <c r="AK371" s="267"/>
      <c r="AL371" s="267"/>
      <c r="AM371" s="267"/>
      <c r="AN371" s="267"/>
      <c r="AO371" s="267"/>
      <c r="AP371" s="267"/>
      <c r="AQ371" s="267"/>
      <c r="AR371" s="267"/>
      <c r="AS371" s="267"/>
      <c r="AT371" s="267"/>
      <c r="AU371" s="285"/>
    </row>
    <row r="372" spans="1:47" ht="60" customHeight="1" x14ac:dyDescent="0.35">
      <c r="A372" s="282" t="s">
        <v>7455</v>
      </c>
      <c r="B372" s="260" t="s">
        <v>7456</v>
      </c>
      <c r="C372" s="261" t="s">
        <v>7457</v>
      </c>
      <c r="D372" s="264" t="s">
        <v>7458</v>
      </c>
      <c r="E372" s="265" t="s">
        <v>6712</v>
      </c>
      <c r="F372" s="268" t="s">
        <v>7459</v>
      </c>
      <c r="G372" s="271" t="str">
        <f>IF(COUNTIF(H372:AU372,"&lt;&gt;")=0,"",SUMPRODUCT(((Recommendations[ImplStatus]="Implemented")+(Recommendations[ImplStatus]="Compensated"))*ISNUMBER(MATCH(Recommendations[Id],H372:AU372,0)))/COUNTIF(H372:AU372,"&lt;&gt;"))</f>
        <v/>
      </c>
      <c r="H372" s="272"/>
      <c r="I372" s="272"/>
      <c r="J372" s="272"/>
      <c r="K372" s="272"/>
      <c r="L372" s="272"/>
      <c r="M372" s="272"/>
      <c r="N372" s="272"/>
      <c r="O372" s="272"/>
      <c r="P372" s="272"/>
      <c r="Q372" s="272"/>
      <c r="R372" s="272"/>
      <c r="S372" s="272"/>
      <c r="T372" s="272"/>
      <c r="U372" s="272"/>
      <c r="V372" s="272"/>
      <c r="W372" s="272"/>
      <c r="X372" s="272"/>
      <c r="Y372" s="272"/>
      <c r="Z372" s="272"/>
      <c r="AA372" s="272"/>
      <c r="AB372" s="272"/>
      <c r="AC372" s="272"/>
      <c r="AD372" s="272"/>
      <c r="AE372" s="272"/>
      <c r="AF372" s="272"/>
      <c r="AG372" s="272"/>
      <c r="AH372" s="272"/>
      <c r="AI372" s="272"/>
      <c r="AJ372" s="272"/>
      <c r="AK372" s="272"/>
      <c r="AL372" s="272"/>
      <c r="AM372" s="272"/>
      <c r="AN372" s="272"/>
      <c r="AO372" s="272"/>
      <c r="AP372" s="272"/>
      <c r="AQ372" s="272"/>
      <c r="AR372" s="272"/>
      <c r="AS372" s="272"/>
      <c r="AT372" s="272"/>
      <c r="AU372" s="286"/>
    </row>
    <row r="373" spans="1:47" ht="60" customHeight="1" x14ac:dyDescent="0.35">
      <c r="A373" s="282" t="s">
        <v>7455</v>
      </c>
      <c r="B373" s="260" t="s">
        <v>7456</v>
      </c>
      <c r="C373" s="261" t="s">
        <v>7460</v>
      </c>
      <c r="D373" s="264" t="s">
        <v>7461</v>
      </c>
      <c r="E373" s="265" t="s">
        <v>6712</v>
      </c>
      <c r="F373" s="268" t="s">
        <v>7462</v>
      </c>
      <c r="G373" s="271" t="str">
        <f>IF(COUNTIF(H373:AU373,"&lt;&gt;")=0,"",SUMPRODUCT(((Recommendations[ImplStatus]="Implemented")+(Recommendations[ImplStatus]="Compensated"))*ISNUMBER(MATCH(Recommendations[Id],H373:AU373,0)))/COUNTIF(H373:AU373,"&lt;&gt;"))</f>
        <v/>
      </c>
      <c r="H373" s="272"/>
      <c r="I373" s="272"/>
      <c r="J373" s="272"/>
      <c r="K373" s="272"/>
      <c r="L373" s="272"/>
      <c r="M373" s="272"/>
      <c r="N373" s="272"/>
      <c r="O373" s="272"/>
      <c r="P373" s="272"/>
      <c r="Q373" s="272"/>
      <c r="R373" s="272"/>
      <c r="S373" s="272"/>
      <c r="T373" s="272"/>
      <c r="U373" s="272"/>
      <c r="V373" s="272"/>
      <c r="W373" s="272"/>
      <c r="X373" s="272"/>
      <c r="Y373" s="272"/>
      <c r="Z373" s="272"/>
      <c r="AA373" s="272"/>
      <c r="AB373" s="272"/>
      <c r="AC373" s="272"/>
      <c r="AD373" s="272"/>
      <c r="AE373" s="272"/>
      <c r="AF373" s="272"/>
      <c r="AG373" s="272"/>
      <c r="AH373" s="272"/>
      <c r="AI373" s="272"/>
      <c r="AJ373" s="272"/>
      <c r="AK373" s="272"/>
      <c r="AL373" s="272"/>
      <c r="AM373" s="272"/>
      <c r="AN373" s="272"/>
      <c r="AO373" s="272"/>
      <c r="AP373" s="272"/>
      <c r="AQ373" s="272"/>
      <c r="AR373" s="272"/>
      <c r="AS373" s="272"/>
      <c r="AT373" s="272"/>
      <c r="AU373" s="286"/>
    </row>
    <row r="374" spans="1:47" ht="60" customHeight="1" x14ac:dyDescent="0.35">
      <c r="A374" s="282" t="s">
        <v>7455</v>
      </c>
      <c r="B374" s="260" t="s">
        <v>7456</v>
      </c>
      <c r="C374" s="261" t="s">
        <v>7463</v>
      </c>
      <c r="D374" s="264" t="s">
        <v>7464</v>
      </c>
      <c r="E374" s="265" t="s">
        <v>6741</v>
      </c>
      <c r="F374" s="268" t="s">
        <v>7462</v>
      </c>
      <c r="G374" s="271" t="str">
        <f>IF(COUNTIF(H374:AU374,"&lt;&gt;")=0,"",SUMPRODUCT(((Recommendations[ImplStatus]="Implemented")+(Recommendations[ImplStatus]="Compensated"))*ISNUMBER(MATCH(Recommendations[Id],H374:AU374,0)))/COUNTIF(H374:AU374,"&lt;&gt;"))</f>
        <v/>
      </c>
      <c r="H374" s="272"/>
      <c r="I374" s="272"/>
      <c r="J374" s="272"/>
      <c r="K374" s="272"/>
      <c r="L374" s="272"/>
      <c r="M374" s="272"/>
      <c r="N374" s="272"/>
      <c r="O374" s="272"/>
      <c r="P374" s="272"/>
      <c r="Q374" s="272"/>
      <c r="R374" s="272"/>
      <c r="S374" s="272"/>
      <c r="T374" s="272"/>
      <c r="U374" s="272"/>
      <c r="V374" s="272"/>
      <c r="W374" s="272"/>
      <c r="X374" s="272"/>
      <c r="Y374" s="272"/>
      <c r="Z374" s="272"/>
      <c r="AA374" s="272"/>
      <c r="AB374" s="272"/>
      <c r="AC374" s="272"/>
      <c r="AD374" s="272"/>
      <c r="AE374" s="272"/>
      <c r="AF374" s="272"/>
      <c r="AG374" s="272"/>
      <c r="AH374" s="272"/>
      <c r="AI374" s="272"/>
      <c r="AJ374" s="272"/>
      <c r="AK374" s="272"/>
      <c r="AL374" s="272"/>
      <c r="AM374" s="272"/>
      <c r="AN374" s="272"/>
      <c r="AO374" s="272"/>
      <c r="AP374" s="272"/>
      <c r="AQ374" s="272"/>
      <c r="AR374" s="272"/>
      <c r="AS374" s="272"/>
      <c r="AT374" s="272"/>
      <c r="AU374" s="286"/>
    </row>
    <row r="375" spans="1:47" ht="60" customHeight="1" x14ac:dyDescent="0.35">
      <c r="A375" s="282" t="s">
        <v>7455</v>
      </c>
      <c r="B375" s="260" t="s">
        <v>7456</v>
      </c>
      <c r="C375" s="261" t="s">
        <v>7465</v>
      </c>
      <c r="D375" s="264" t="s">
        <v>7466</v>
      </c>
      <c r="E375" s="265" t="s">
        <v>6741</v>
      </c>
      <c r="F375" s="268" t="s">
        <v>7462</v>
      </c>
      <c r="G375" s="271" t="str">
        <f>IF(COUNTIF(H375:AU375,"&lt;&gt;")=0,"",SUMPRODUCT(((Recommendations[ImplStatus]="Implemented")+(Recommendations[ImplStatus]="Compensated"))*ISNUMBER(MATCH(Recommendations[Id],H375:AU375,0)))/COUNTIF(H375:AU375,"&lt;&gt;"))</f>
        <v/>
      </c>
      <c r="H375" s="272"/>
      <c r="I375" s="272"/>
      <c r="J375" s="272"/>
      <c r="K375" s="272"/>
      <c r="L375" s="272"/>
      <c r="M375" s="272"/>
      <c r="N375" s="272"/>
      <c r="O375" s="272"/>
      <c r="P375" s="272"/>
      <c r="Q375" s="272"/>
      <c r="R375" s="272"/>
      <c r="S375" s="272"/>
      <c r="T375" s="272"/>
      <c r="U375" s="272"/>
      <c r="V375" s="272"/>
      <c r="W375" s="272"/>
      <c r="X375" s="272"/>
      <c r="Y375" s="272"/>
      <c r="Z375" s="272"/>
      <c r="AA375" s="272"/>
      <c r="AB375" s="272"/>
      <c r="AC375" s="272"/>
      <c r="AD375" s="272"/>
      <c r="AE375" s="272"/>
      <c r="AF375" s="272"/>
      <c r="AG375" s="272"/>
      <c r="AH375" s="272"/>
      <c r="AI375" s="272"/>
      <c r="AJ375" s="272"/>
      <c r="AK375" s="272"/>
      <c r="AL375" s="272"/>
      <c r="AM375" s="272"/>
      <c r="AN375" s="272"/>
      <c r="AO375" s="272"/>
      <c r="AP375" s="272"/>
      <c r="AQ375" s="272"/>
      <c r="AR375" s="272"/>
      <c r="AS375" s="272"/>
      <c r="AT375" s="272"/>
      <c r="AU375" s="286"/>
    </row>
    <row r="376" spans="1:47" ht="60" customHeight="1" x14ac:dyDescent="0.35">
      <c r="A376" s="282" t="s">
        <v>7455</v>
      </c>
      <c r="B376" s="260" t="s">
        <v>7456</v>
      </c>
      <c r="C376" s="261" t="s">
        <v>7467</v>
      </c>
      <c r="D376" s="264" t="s">
        <v>7468</v>
      </c>
      <c r="E376" s="265" t="s">
        <v>6741</v>
      </c>
      <c r="F376" s="268" t="s">
        <v>7324</v>
      </c>
      <c r="G376" s="271" t="str">
        <f>IF(COUNTIF(H376:AU376,"&lt;&gt;")=0,"",SUMPRODUCT(((Recommendations[ImplStatus]="Implemented")+(Recommendations[ImplStatus]="Compensated"))*ISNUMBER(MATCH(Recommendations[Id],H376:AU376,0)))/COUNTIF(H376:AU376,"&lt;&gt;"))</f>
        <v/>
      </c>
      <c r="H376" s="272"/>
      <c r="I376" s="272"/>
      <c r="J376" s="272"/>
      <c r="K376" s="272"/>
      <c r="L376" s="272"/>
      <c r="M376" s="272"/>
      <c r="N376" s="272"/>
      <c r="O376" s="272"/>
      <c r="P376" s="272"/>
      <c r="Q376" s="272"/>
      <c r="R376" s="272"/>
      <c r="S376" s="272"/>
      <c r="T376" s="272"/>
      <c r="U376" s="272"/>
      <c r="V376" s="272"/>
      <c r="W376" s="272"/>
      <c r="X376" s="272"/>
      <c r="Y376" s="272"/>
      <c r="Z376" s="272"/>
      <c r="AA376" s="272"/>
      <c r="AB376" s="272"/>
      <c r="AC376" s="272"/>
      <c r="AD376" s="272"/>
      <c r="AE376" s="272"/>
      <c r="AF376" s="272"/>
      <c r="AG376" s="272"/>
      <c r="AH376" s="272"/>
      <c r="AI376" s="272"/>
      <c r="AJ376" s="272"/>
      <c r="AK376" s="272"/>
      <c r="AL376" s="272"/>
      <c r="AM376" s="272"/>
      <c r="AN376" s="272"/>
      <c r="AO376" s="272"/>
      <c r="AP376" s="272"/>
      <c r="AQ376" s="272"/>
      <c r="AR376" s="272"/>
      <c r="AS376" s="272"/>
      <c r="AT376" s="272"/>
      <c r="AU376" s="286"/>
    </row>
    <row r="377" spans="1:47" ht="60" customHeight="1" x14ac:dyDescent="0.35">
      <c r="A377" s="282" t="s">
        <v>7455</v>
      </c>
      <c r="B377" s="260" t="s">
        <v>7456</v>
      </c>
      <c r="C377" s="261" t="s">
        <v>7469</v>
      </c>
      <c r="D377" s="264" t="s">
        <v>7470</v>
      </c>
      <c r="E377" s="265" t="s">
        <v>6808</v>
      </c>
      <c r="F377" s="268" t="s">
        <v>7282</v>
      </c>
      <c r="G377" s="271" t="str">
        <f>IF(COUNTIF(H377:AU377,"&lt;&gt;")=0,"",SUMPRODUCT(((Recommendations[ImplStatus]="Implemented")+(Recommendations[ImplStatus]="Compensated"))*ISNUMBER(MATCH(Recommendations[Id],H377:AU377,0)))/COUNTIF(H377:AU377,"&lt;&gt;"))</f>
        <v/>
      </c>
      <c r="H377" s="272"/>
      <c r="I377" s="272"/>
      <c r="J377" s="272"/>
      <c r="K377" s="272"/>
      <c r="L377" s="272"/>
      <c r="M377" s="272"/>
      <c r="N377" s="272"/>
      <c r="O377" s="272"/>
      <c r="P377" s="272"/>
      <c r="Q377" s="272"/>
      <c r="R377" s="272"/>
      <c r="S377" s="272"/>
      <c r="T377" s="272"/>
      <c r="U377" s="272"/>
      <c r="V377" s="272"/>
      <c r="W377" s="272"/>
      <c r="X377" s="272"/>
      <c r="Y377" s="272"/>
      <c r="Z377" s="272"/>
      <c r="AA377" s="272"/>
      <c r="AB377" s="272"/>
      <c r="AC377" s="272"/>
      <c r="AD377" s="272"/>
      <c r="AE377" s="272"/>
      <c r="AF377" s="272"/>
      <c r="AG377" s="272"/>
      <c r="AH377" s="272"/>
      <c r="AI377" s="272"/>
      <c r="AJ377" s="272"/>
      <c r="AK377" s="272"/>
      <c r="AL377" s="272"/>
      <c r="AM377" s="272"/>
      <c r="AN377" s="272"/>
      <c r="AO377" s="272"/>
      <c r="AP377" s="272"/>
      <c r="AQ377" s="272"/>
      <c r="AR377" s="272"/>
      <c r="AS377" s="272"/>
      <c r="AT377" s="272"/>
      <c r="AU377" s="286"/>
    </row>
    <row r="378" spans="1:47" ht="60" customHeight="1" x14ac:dyDescent="0.35">
      <c r="A378" s="282" t="s">
        <v>7455</v>
      </c>
      <c r="B378" s="260" t="s">
        <v>7456</v>
      </c>
      <c r="C378" s="261" t="s">
        <v>7471</v>
      </c>
      <c r="D378" s="264" t="s">
        <v>7472</v>
      </c>
      <c r="E378" s="265" t="s">
        <v>6808</v>
      </c>
      <c r="F378" s="268" t="s">
        <v>7462</v>
      </c>
      <c r="G378" s="271" t="str">
        <f>IF(COUNTIF(H378:AU378,"&lt;&gt;")=0,"",SUMPRODUCT(((Recommendations[ImplStatus]="Implemented")+(Recommendations[ImplStatus]="Compensated"))*ISNUMBER(MATCH(Recommendations[Id],H378:AU378,0)))/COUNTIF(H378:AU378,"&lt;&gt;"))</f>
        <v/>
      </c>
      <c r="H378" s="272"/>
      <c r="I378" s="272"/>
      <c r="J378" s="272"/>
      <c r="K378" s="272"/>
      <c r="L378" s="272"/>
      <c r="M378" s="272"/>
      <c r="N378" s="272"/>
      <c r="O378" s="272"/>
      <c r="P378" s="272"/>
      <c r="Q378" s="272"/>
      <c r="R378" s="272"/>
      <c r="S378" s="272"/>
      <c r="T378" s="272"/>
      <c r="U378" s="272"/>
      <c r="V378" s="272"/>
      <c r="W378" s="272"/>
      <c r="X378" s="272"/>
      <c r="Y378" s="272"/>
      <c r="Z378" s="272"/>
      <c r="AA378" s="272"/>
      <c r="AB378" s="272"/>
      <c r="AC378" s="272"/>
      <c r="AD378" s="272"/>
      <c r="AE378" s="272"/>
      <c r="AF378" s="272"/>
      <c r="AG378" s="272"/>
      <c r="AH378" s="272"/>
      <c r="AI378" s="272"/>
      <c r="AJ378" s="272"/>
      <c r="AK378" s="272"/>
      <c r="AL378" s="272"/>
      <c r="AM378" s="272"/>
      <c r="AN378" s="272"/>
      <c r="AO378" s="272"/>
      <c r="AP378" s="272"/>
      <c r="AQ378" s="272"/>
      <c r="AR378" s="272"/>
      <c r="AS378" s="272"/>
      <c r="AT378" s="272"/>
      <c r="AU378" s="286"/>
    </row>
    <row r="379" spans="1:47" ht="60" customHeight="1" x14ac:dyDescent="0.35">
      <c r="A379" s="282" t="s">
        <v>7455</v>
      </c>
      <c r="B379" s="260" t="s">
        <v>7456</v>
      </c>
      <c r="C379" s="261" t="s">
        <v>7473</v>
      </c>
      <c r="D379" s="264" t="s">
        <v>7474</v>
      </c>
      <c r="E379" s="265" t="s">
        <v>6808</v>
      </c>
      <c r="F379" s="268" t="s">
        <v>7459</v>
      </c>
      <c r="G379" s="271" t="str">
        <f>IF(COUNTIF(H379:AU379,"&lt;&gt;")=0,"",SUMPRODUCT(((Recommendations[ImplStatus]="Implemented")+(Recommendations[ImplStatus]="Compensated"))*ISNUMBER(MATCH(Recommendations[Id],H379:AU379,0)))/COUNTIF(H379:AU379,"&lt;&gt;"))</f>
        <v/>
      </c>
      <c r="H379" s="272"/>
      <c r="I379" s="272"/>
      <c r="J379" s="272"/>
      <c r="K379" s="272"/>
      <c r="L379" s="272"/>
      <c r="M379" s="272"/>
      <c r="N379" s="272"/>
      <c r="O379" s="272"/>
      <c r="P379" s="272"/>
      <c r="Q379" s="272"/>
      <c r="R379" s="272"/>
      <c r="S379" s="272"/>
      <c r="T379" s="272"/>
      <c r="U379" s="272"/>
      <c r="V379" s="272"/>
      <c r="W379" s="272"/>
      <c r="X379" s="272"/>
      <c r="Y379" s="272"/>
      <c r="Z379" s="272"/>
      <c r="AA379" s="272"/>
      <c r="AB379" s="272"/>
      <c r="AC379" s="272"/>
      <c r="AD379" s="272"/>
      <c r="AE379" s="272"/>
      <c r="AF379" s="272"/>
      <c r="AG379" s="272"/>
      <c r="AH379" s="272"/>
      <c r="AI379" s="272"/>
      <c r="AJ379" s="272"/>
      <c r="AK379" s="272"/>
      <c r="AL379" s="272"/>
      <c r="AM379" s="272"/>
      <c r="AN379" s="272"/>
      <c r="AO379" s="272"/>
      <c r="AP379" s="272"/>
      <c r="AQ379" s="272"/>
      <c r="AR379" s="272"/>
      <c r="AS379" s="272"/>
      <c r="AT379" s="272"/>
      <c r="AU379" s="286"/>
    </row>
    <row r="380" spans="1:47" ht="60" customHeight="1" x14ac:dyDescent="0.35">
      <c r="A380" s="282" t="s">
        <v>7455</v>
      </c>
      <c r="B380" s="260" t="s">
        <v>7456</v>
      </c>
      <c r="C380" s="261" t="s">
        <v>7475</v>
      </c>
      <c r="D380" s="264" t="s">
        <v>7476</v>
      </c>
      <c r="E380" s="265" t="s">
        <v>6808</v>
      </c>
      <c r="F380" s="268" t="s">
        <v>7459</v>
      </c>
      <c r="G380" s="271" t="str">
        <f>IF(COUNTIF(H380:AU380,"&lt;&gt;")=0,"",SUMPRODUCT(((Recommendations[ImplStatus]="Implemented")+(Recommendations[ImplStatus]="Compensated"))*ISNUMBER(MATCH(Recommendations[Id],H380:AU380,0)))/COUNTIF(H380:AU380,"&lt;&gt;"))</f>
        <v/>
      </c>
      <c r="H380" s="272"/>
      <c r="I380" s="272"/>
      <c r="J380" s="272"/>
      <c r="K380" s="272"/>
      <c r="L380" s="272"/>
      <c r="M380" s="272"/>
      <c r="N380" s="272"/>
      <c r="O380" s="272"/>
      <c r="P380" s="272"/>
      <c r="Q380" s="272"/>
      <c r="R380" s="272"/>
      <c r="S380" s="272"/>
      <c r="T380" s="272"/>
      <c r="U380" s="272"/>
      <c r="V380" s="272"/>
      <c r="W380" s="272"/>
      <c r="X380" s="272"/>
      <c r="Y380" s="272"/>
      <c r="Z380" s="272"/>
      <c r="AA380" s="272"/>
      <c r="AB380" s="272"/>
      <c r="AC380" s="272"/>
      <c r="AD380" s="272"/>
      <c r="AE380" s="272"/>
      <c r="AF380" s="272"/>
      <c r="AG380" s="272"/>
      <c r="AH380" s="272"/>
      <c r="AI380" s="272"/>
      <c r="AJ380" s="272"/>
      <c r="AK380" s="272"/>
      <c r="AL380" s="272"/>
      <c r="AM380" s="272"/>
      <c r="AN380" s="272"/>
      <c r="AO380" s="272"/>
      <c r="AP380" s="272"/>
      <c r="AQ380" s="272"/>
      <c r="AR380" s="272"/>
      <c r="AS380" s="272"/>
      <c r="AT380" s="272"/>
      <c r="AU380" s="286"/>
    </row>
    <row r="381" spans="1:47" ht="60" customHeight="1" x14ac:dyDescent="0.35">
      <c r="A381" s="282" t="s">
        <v>7455</v>
      </c>
      <c r="B381" s="260" t="s">
        <v>7456</v>
      </c>
      <c r="C381" s="261" t="s">
        <v>7477</v>
      </c>
      <c r="D381" s="264" t="s">
        <v>7478</v>
      </c>
      <c r="E381" s="265" t="s">
        <v>6808</v>
      </c>
      <c r="F381" s="268" t="s">
        <v>7459</v>
      </c>
      <c r="G381" s="271" t="str">
        <f>IF(COUNTIF(H381:AU381,"&lt;&gt;")=0,"",SUMPRODUCT(((Recommendations[ImplStatus]="Implemented")+(Recommendations[ImplStatus]="Compensated"))*ISNUMBER(MATCH(Recommendations[Id],H381:AU381,0)))/COUNTIF(H381:AU381,"&lt;&gt;"))</f>
        <v/>
      </c>
      <c r="H381" s="272"/>
      <c r="I381" s="272"/>
      <c r="J381" s="272"/>
      <c r="K381" s="272"/>
      <c r="L381" s="272"/>
      <c r="M381" s="272"/>
      <c r="N381" s="272"/>
      <c r="O381" s="272"/>
      <c r="P381" s="272"/>
      <c r="Q381" s="272"/>
      <c r="R381" s="272"/>
      <c r="S381" s="272"/>
      <c r="T381" s="272"/>
      <c r="U381" s="272"/>
      <c r="V381" s="272"/>
      <c r="W381" s="272"/>
      <c r="X381" s="272"/>
      <c r="Y381" s="272"/>
      <c r="Z381" s="272"/>
      <c r="AA381" s="272"/>
      <c r="AB381" s="272"/>
      <c r="AC381" s="272"/>
      <c r="AD381" s="272"/>
      <c r="AE381" s="272"/>
      <c r="AF381" s="272"/>
      <c r="AG381" s="272"/>
      <c r="AH381" s="272"/>
      <c r="AI381" s="272"/>
      <c r="AJ381" s="272"/>
      <c r="AK381" s="272"/>
      <c r="AL381" s="272"/>
      <c r="AM381" s="272"/>
      <c r="AN381" s="272"/>
      <c r="AO381" s="272"/>
      <c r="AP381" s="272"/>
      <c r="AQ381" s="272"/>
      <c r="AR381" s="272"/>
      <c r="AS381" s="272"/>
      <c r="AT381" s="272"/>
      <c r="AU381" s="286"/>
    </row>
    <row r="382" spans="1:47" ht="60" customHeight="1" x14ac:dyDescent="0.35">
      <c r="A382" s="282" t="s">
        <v>7455</v>
      </c>
      <c r="B382" s="260" t="s">
        <v>7456</v>
      </c>
      <c r="C382" s="261" t="s">
        <v>7479</v>
      </c>
      <c r="D382" s="264" t="s">
        <v>7480</v>
      </c>
      <c r="E382" s="265" t="s">
        <v>6856</v>
      </c>
      <c r="F382" s="268" t="s">
        <v>7459</v>
      </c>
      <c r="G382" s="271" t="str">
        <f>IF(COUNTIF(H382:AU382,"&lt;&gt;")=0,"",SUMPRODUCT(((Recommendations[ImplStatus]="Implemented")+(Recommendations[ImplStatus]="Compensated"))*ISNUMBER(MATCH(Recommendations[Id],H382:AU382,0)))/COUNTIF(H382:AU382,"&lt;&gt;"))</f>
        <v/>
      </c>
      <c r="H382" s="272"/>
      <c r="I382" s="272"/>
      <c r="J382" s="272"/>
      <c r="K382" s="272"/>
      <c r="L382" s="272"/>
      <c r="M382" s="272"/>
      <c r="N382" s="272"/>
      <c r="O382" s="272"/>
      <c r="P382" s="272"/>
      <c r="Q382" s="272"/>
      <c r="R382" s="272"/>
      <c r="S382" s="272"/>
      <c r="T382" s="272"/>
      <c r="U382" s="272"/>
      <c r="V382" s="272"/>
      <c r="W382" s="272"/>
      <c r="X382" s="272"/>
      <c r="Y382" s="272"/>
      <c r="Z382" s="272"/>
      <c r="AA382" s="272"/>
      <c r="AB382" s="272"/>
      <c r="AC382" s="272"/>
      <c r="AD382" s="272"/>
      <c r="AE382" s="272"/>
      <c r="AF382" s="272"/>
      <c r="AG382" s="272"/>
      <c r="AH382" s="272"/>
      <c r="AI382" s="272"/>
      <c r="AJ382" s="272"/>
      <c r="AK382" s="272"/>
      <c r="AL382" s="272"/>
      <c r="AM382" s="272"/>
      <c r="AN382" s="272"/>
      <c r="AO382" s="272"/>
      <c r="AP382" s="272"/>
      <c r="AQ382" s="272"/>
      <c r="AR382" s="272"/>
      <c r="AS382" s="272"/>
      <c r="AT382" s="272"/>
      <c r="AU382" s="286"/>
    </row>
    <row r="383" spans="1:47" ht="60" customHeight="1" x14ac:dyDescent="0.35">
      <c r="A383" s="282" t="s">
        <v>7455</v>
      </c>
      <c r="B383" s="260" t="s">
        <v>7456</v>
      </c>
      <c r="C383" s="261" t="s">
        <v>7481</v>
      </c>
      <c r="D383" s="264" t="s">
        <v>7482</v>
      </c>
      <c r="E383" s="265" t="s">
        <v>6856</v>
      </c>
      <c r="F383" s="268" t="s">
        <v>7459</v>
      </c>
      <c r="G383" s="271" t="str">
        <f>IF(COUNTIF(H383:AU383,"&lt;&gt;")=0,"",SUMPRODUCT(((Recommendations[ImplStatus]="Implemented")+(Recommendations[ImplStatus]="Compensated"))*ISNUMBER(MATCH(Recommendations[Id],H383:AU383,0)))/COUNTIF(H383:AU383,"&lt;&gt;"))</f>
        <v/>
      </c>
      <c r="H383" s="272"/>
      <c r="I383" s="272"/>
      <c r="J383" s="272"/>
      <c r="K383" s="272"/>
      <c r="L383" s="272"/>
      <c r="M383" s="272"/>
      <c r="N383" s="272"/>
      <c r="O383" s="272"/>
      <c r="P383" s="272"/>
      <c r="Q383" s="272"/>
      <c r="R383" s="272"/>
      <c r="S383" s="272"/>
      <c r="T383" s="272"/>
      <c r="U383" s="272"/>
      <c r="V383" s="272"/>
      <c r="W383" s="272"/>
      <c r="X383" s="272"/>
      <c r="Y383" s="272"/>
      <c r="Z383" s="272"/>
      <c r="AA383" s="272"/>
      <c r="AB383" s="272"/>
      <c r="AC383" s="272"/>
      <c r="AD383" s="272"/>
      <c r="AE383" s="272"/>
      <c r="AF383" s="272"/>
      <c r="AG383" s="272"/>
      <c r="AH383" s="272"/>
      <c r="AI383" s="272"/>
      <c r="AJ383" s="272"/>
      <c r="AK383" s="272"/>
      <c r="AL383" s="272"/>
      <c r="AM383" s="272"/>
      <c r="AN383" s="272"/>
      <c r="AO383" s="272"/>
      <c r="AP383" s="272"/>
      <c r="AQ383" s="272"/>
      <c r="AR383" s="272"/>
      <c r="AS383" s="272"/>
      <c r="AT383" s="272"/>
      <c r="AU383" s="286"/>
    </row>
    <row r="384" spans="1:47" ht="60" customHeight="1" x14ac:dyDescent="0.35">
      <c r="A384" s="282" t="s">
        <v>7455</v>
      </c>
      <c r="B384" s="260" t="s">
        <v>7456</v>
      </c>
      <c r="C384" s="261" t="s">
        <v>7483</v>
      </c>
      <c r="D384" s="264" t="s">
        <v>7484</v>
      </c>
      <c r="E384" s="265" t="s">
        <v>6856</v>
      </c>
      <c r="F384" s="268" t="s">
        <v>7459</v>
      </c>
      <c r="G384" s="271" t="str">
        <f>IF(COUNTIF(H384:AU384,"&lt;&gt;")=0,"",SUMPRODUCT(((Recommendations[ImplStatus]="Implemented")+(Recommendations[ImplStatus]="Compensated"))*ISNUMBER(MATCH(Recommendations[Id],H384:AU384,0)))/COUNTIF(H384:AU384,"&lt;&gt;"))</f>
        <v/>
      </c>
      <c r="H384" s="272"/>
      <c r="I384" s="272"/>
      <c r="J384" s="272"/>
      <c r="K384" s="272"/>
      <c r="L384" s="272"/>
      <c r="M384" s="272"/>
      <c r="N384" s="272"/>
      <c r="O384" s="272"/>
      <c r="P384" s="272"/>
      <c r="Q384" s="272"/>
      <c r="R384" s="272"/>
      <c r="S384" s="272"/>
      <c r="T384" s="272"/>
      <c r="U384" s="272"/>
      <c r="V384" s="272"/>
      <c r="W384" s="272"/>
      <c r="X384" s="272"/>
      <c r="Y384" s="272"/>
      <c r="Z384" s="272"/>
      <c r="AA384" s="272"/>
      <c r="AB384" s="272"/>
      <c r="AC384" s="272"/>
      <c r="AD384" s="272"/>
      <c r="AE384" s="272"/>
      <c r="AF384" s="272"/>
      <c r="AG384" s="272"/>
      <c r="AH384" s="272"/>
      <c r="AI384" s="272"/>
      <c r="AJ384" s="272"/>
      <c r="AK384" s="272"/>
      <c r="AL384" s="272"/>
      <c r="AM384" s="272"/>
      <c r="AN384" s="272"/>
      <c r="AO384" s="272"/>
      <c r="AP384" s="272"/>
      <c r="AQ384" s="272"/>
      <c r="AR384" s="272"/>
      <c r="AS384" s="272"/>
      <c r="AT384" s="272"/>
      <c r="AU384" s="286"/>
    </row>
    <row r="385" spans="1:47" ht="60" customHeight="1" x14ac:dyDescent="0.35">
      <c r="A385" s="282" t="s">
        <v>7455</v>
      </c>
      <c r="B385" s="260" t="s">
        <v>7456</v>
      </c>
      <c r="C385" s="261" t="s">
        <v>7485</v>
      </c>
      <c r="D385" s="264" t="s">
        <v>7486</v>
      </c>
      <c r="E385" s="265" t="s">
        <v>6808</v>
      </c>
      <c r="F385" s="268" t="s">
        <v>7459</v>
      </c>
      <c r="G385" s="271" t="str">
        <f>IF(COUNTIF(H385:AU385,"&lt;&gt;")=0,"",SUMPRODUCT(((Recommendations[ImplStatus]="Implemented")+(Recommendations[ImplStatus]="Compensated"))*ISNUMBER(MATCH(Recommendations[Id],H385:AU385,0)))/COUNTIF(H385:AU385,"&lt;&gt;"))</f>
        <v/>
      </c>
      <c r="H385" s="272"/>
      <c r="I385" s="272"/>
      <c r="J385" s="272"/>
      <c r="K385" s="272"/>
      <c r="L385" s="272"/>
      <c r="M385" s="272"/>
      <c r="N385" s="272"/>
      <c r="O385" s="272"/>
      <c r="P385" s="272"/>
      <c r="Q385" s="272"/>
      <c r="R385" s="272"/>
      <c r="S385" s="272"/>
      <c r="T385" s="272"/>
      <c r="U385" s="272"/>
      <c r="V385" s="272"/>
      <c r="W385" s="272"/>
      <c r="X385" s="272"/>
      <c r="Y385" s="272"/>
      <c r="Z385" s="272"/>
      <c r="AA385" s="272"/>
      <c r="AB385" s="272"/>
      <c r="AC385" s="272"/>
      <c r="AD385" s="272"/>
      <c r="AE385" s="272"/>
      <c r="AF385" s="272"/>
      <c r="AG385" s="272"/>
      <c r="AH385" s="272"/>
      <c r="AI385" s="272"/>
      <c r="AJ385" s="272"/>
      <c r="AK385" s="272"/>
      <c r="AL385" s="272"/>
      <c r="AM385" s="272"/>
      <c r="AN385" s="272"/>
      <c r="AO385" s="272"/>
      <c r="AP385" s="272"/>
      <c r="AQ385" s="272"/>
      <c r="AR385" s="272"/>
      <c r="AS385" s="272"/>
      <c r="AT385" s="272"/>
      <c r="AU385" s="286"/>
    </row>
    <row r="386" spans="1:47" ht="60" customHeight="1" outlineLevel="2" x14ac:dyDescent="0.35">
      <c r="A386" s="281" t="s">
        <v>7455</v>
      </c>
      <c r="B386" s="259" t="s">
        <v>7487</v>
      </c>
      <c r="C386" s="259"/>
      <c r="D386" s="263"/>
      <c r="E386" s="259"/>
      <c r="F386" s="267"/>
      <c r="G386" s="270" t="str">
        <f>IF(COUNTIF(H386:AU386,"&lt;&gt;")=0,"",SUMPRODUCT(((Recommendations[ImplStatus]="Implemented")+(Recommendations[ImplStatus]="Compensated"))*ISNUMBER(MATCH(Recommendations[Id],H386:AU386,0)))/COUNTIF(H386:AU386,"&lt;&gt;"))</f>
        <v/>
      </c>
      <c r="H386" s="267"/>
      <c r="I386" s="267"/>
      <c r="J386" s="267"/>
      <c r="K386" s="267"/>
      <c r="L386" s="267"/>
      <c r="M386" s="267"/>
      <c r="N386" s="267"/>
      <c r="O386" s="267"/>
      <c r="P386" s="267"/>
      <c r="Q386" s="267"/>
      <c r="R386" s="267"/>
      <c r="S386" s="267"/>
      <c r="T386" s="267"/>
      <c r="U386" s="267"/>
      <c r="V386" s="267"/>
      <c r="W386" s="267"/>
      <c r="X386" s="267"/>
      <c r="Y386" s="267"/>
      <c r="Z386" s="267"/>
      <c r="AA386" s="267"/>
      <c r="AB386" s="267"/>
      <c r="AC386" s="267"/>
      <c r="AD386" s="267"/>
      <c r="AE386" s="267"/>
      <c r="AF386" s="267"/>
      <c r="AG386" s="267"/>
      <c r="AH386" s="267"/>
      <c r="AI386" s="267"/>
      <c r="AJ386" s="267"/>
      <c r="AK386" s="267"/>
      <c r="AL386" s="267"/>
      <c r="AM386" s="267"/>
      <c r="AN386" s="267"/>
      <c r="AO386" s="267"/>
      <c r="AP386" s="267"/>
      <c r="AQ386" s="267"/>
      <c r="AR386" s="267"/>
      <c r="AS386" s="267"/>
      <c r="AT386" s="267"/>
      <c r="AU386" s="285"/>
    </row>
    <row r="387" spans="1:47" ht="60" customHeight="1" x14ac:dyDescent="0.35">
      <c r="A387" s="282" t="s">
        <v>7455</v>
      </c>
      <c r="B387" s="260" t="s">
        <v>7487</v>
      </c>
      <c r="C387" s="261" t="s">
        <v>7488</v>
      </c>
      <c r="D387" s="264" t="s">
        <v>7489</v>
      </c>
      <c r="E387" s="265" t="s">
        <v>6712</v>
      </c>
      <c r="F387" s="268" t="s">
        <v>7490</v>
      </c>
      <c r="G387" s="271" t="str">
        <f>IF(COUNTIF(H387:AU387,"&lt;&gt;")=0,"",SUMPRODUCT(((Recommendations[ImplStatus]="Implemented")+(Recommendations[ImplStatus]="Compensated"))*ISNUMBER(MATCH(Recommendations[Id],H387:AU387,0)))/COUNTIF(H387:AU387,"&lt;&gt;"))</f>
        <v/>
      </c>
      <c r="H387" s="272"/>
      <c r="I387" s="272"/>
      <c r="J387" s="272"/>
      <c r="K387" s="272"/>
      <c r="L387" s="272"/>
      <c r="M387" s="272"/>
      <c r="N387" s="272"/>
      <c r="O387" s="272"/>
      <c r="P387" s="272"/>
      <c r="Q387" s="272"/>
      <c r="R387" s="272"/>
      <c r="S387" s="272"/>
      <c r="T387" s="272"/>
      <c r="U387" s="272"/>
      <c r="V387" s="272"/>
      <c r="W387" s="272"/>
      <c r="X387" s="272"/>
      <c r="Y387" s="272"/>
      <c r="Z387" s="272"/>
      <c r="AA387" s="272"/>
      <c r="AB387" s="272"/>
      <c r="AC387" s="272"/>
      <c r="AD387" s="272"/>
      <c r="AE387" s="272"/>
      <c r="AF387" s="272"/>
      <c r="AG387" s="272"/>
      <c r="AH387" s="272"/>
      <c r="AI387" s="272"/>
      <c r="AJ387" s="272"/>
      <c r="AK387" s="272"/>
      <c r="AL387" s="272"/>
      <c r="AM387" s="272"/>
      <c r="AN387" s="272"/>
      <c r="AO387" s="272"/>
      <c r="AP387" s="272"/>
      <c r="AQ387" s="272"/>
      <c r="AR387" s="272"/>
      <c r="AS387" s="272"/>
      <c r="AT387" s="272"/>
      <c r="AU387" s="286"/>
    </row>
    <row r="388" spans="1:47" ht="60" customHeight="1" x14ac:dyDescent="0.35">
      <c r="A388" s="282" t="s">
        <v>7455</v>
      </c>
      <c r="B388" s="260" t="s">
        <v>7487</v>
      </c>
      <c r="C388" s="261" t="s">
        <v>7491</v>
      </c>
      <c r="D388" s="264" t="s">
        <v>7492</v>
      </c>
      <c r="E388" s="265" t="s">
        <v>6712</v>
      </c>
      <c r="F388" s="268" t="s">
        <v>7490</v>
      </c>
      <c r="G388" s="271" t="str">
        <f>IF(COUNTIF(H388:AU388,"&lt;&gt;")=0,"",SUMPRODUCT(((Recommendations[ImplStatus]="Implemented")+(Recommendations[ImplStatus]="Compensated"))*ISNUMBER(MATCH(Recommendations[Id],H388:AU388,0)))/COUNTIF(H388:AU388,"&lt;&gt;"))</f>
        <v/>
      </c>
      <c r="H388" s="272"/>
      <c r="I388" s="272"/>
      <c r="J388" s="272"/>
      <c r="K388" s="272"/>
      <c r="L388" s="272"/>
      <c r="M388" s="272"/>
      <c r="N388" s="272"/>
      <c r="O388" s="272"/>
      <c r="P388" s="272"/>
      <c r="Q388" s="272"/>
      <c r="R388" s="272"/>
      <c r="S388" s="272"/>
      <c r="T388" s="272"/>
      <c r="U388" s="272"/>
      <c r="V388" s="272"/>
      <c r="W388" s="272"/>
      <c r="X388" s="272"/>
      <c r="Y388" s="272"/>
      <c r="Z388" s="272"/>
      <c r="AA388" s="272"/>
      <c r="AB388" s="272"/>
      <c r="AC388" s="272"/>
      <c r="AD388" s="272"/>
      <c r="AE388" s="272"/>
      <c r="AF388" s="272"/>
      <c r="AG388" s="272"/>
      <c r="AH388" s="272"/>
      <c r="AI388" s="272"/>
      <c r="AJ388" s="272"/>
      <c r="AK388" s="272"/>
      <c r="AL388" s="272"/>
      <c r="AM388" s="272"/>
      <c r="AN388" s="272"/>
      <c r="AO388" s="272"/>
      <c r="AP388" s="272"/>
      <c r="AQ388" s="272"/>
      <c r="AR388" s="272"/>
      <c r="AS388" s="272"/>
      <c r="AT388" s="272"/>
      <c r="AU388" s="286"/>
    </row>
    <row r="389" spans="1:47" ht="60" customHeight="1" x14ac:dyDescent="0.35">
      <c r="A389" s="282" t="s">
        <v>7455</v>
      </c>
      <c r="B389" s="260" t="s">
        <v>7487</v>
      </c>
      <c r="C389" s="261" t="s">
        <v>7493</v>
      </c>
      <c r="D389" s="264" t="s">
        <v>7494</v>
      </c>
      <c r="E389" s="265" t="s">
        <v>6991</v>
      </c>
      <c r="F389" s="268" t="s">
        <v>7490</v>
      </c>
      <c r="G389" s="271" t="str">
        <f>IF(COUNTIF(H389:AU389,"&lt;&gt;")=0,"",SUMPRODUCT(((Recommendations[ImplStatus]="Implemented")+(Recommendations[ImplStatus]="Compensated"))*ISNUMBER(MATCH(Recommendations[Id],H389:AU389,0)))/COUNTIF(H389:AU389,"&lt;&gt;"))</f>
        <v/>
      </c>
      <c r="H389" s="272"/>
      <c r="I389" s="272"/>
      <c r="J389" s="272"/>
      <c r="K389" s="272"/>
      <c r="L389" s="272"/>
      <c r="M389" s="272"/>
      <c r="N389" s="272"/>
      <c r="O389" s="272"/>
      <c r="P389" s="272"/>
      <c r="Q389" s="272"/>
      <c r="R389" s="272"/>
      <c r="S389" s="272"/>
      <c r="T389" s="272"/>
      <c r="U389" s="272"/>
      <c r="V389" s="272"/>
      <c r="W389" s="272"/>
      <c r="X389" s="272"/>
      <c r="Y389" s="272"/>
      <c r="Z389" s="272"/>
      <c r="AA389" s="272"/>
      <c r="AB389" s="272"/>
      <c r="AC389" s="272"/>
      <c r="AD389" s="272"/>
      <c r="AE389" s="272"/>
      <c r="AF389" s="272"/>
      <c r="AG389" s="272"/>
      <c r="AH389" s="272"/>
      <c r="AI389" s="272"/>
      <c r="AJ389" s="272"/>
      <c r="AK389" s="272"/>
      <c r="AL389" s="272"/>
      <c r="AM389" s="272"/>
      <c r="AN389" s="272"/>
      <c r="AO389" s="272"/>
      <c r="AP389" s="272"/>
      <c r="AQ389" s="272"/>
      <c r="AR389" s="272"/>
      <c r="AS389" s="272"/>
      <c r="AT389" s="272"/>
      <c r="AU389" s="286"/>
    </row>
    <row r="390" spans="1:47" ht="60" customHeight="1" x14ac:dyDescent="0.35">
      <c r="A390" s="282" t="s">
        <v>7455</v>
      </c>
      <c r="B390" s="260" t="s">
        <v>7487</v>
      </c>
      <c r="C390" s="261" t="s">
        <v>7495</v>
      </c>
      <c r="D390" s="264" t="s">
        <v>7496</v>
      </c>
      <c r="E390" s="265" t="s">
        <v>6808</v>
      </c>
      <c r="F390" s="268" t="s">
        <v>7490</v>
      </c>
      <c r="G390" s="271" t="str">
        <f>IF(COUNTIF(H390:AU390,"&lt;&gt;")=0,"",SUMPRODUCT(((Recommendations[ImplStatus]="Implemented")+(Recommendations[ImplStatus]="Compensated"))*ISNUMBER(MATCH(Recommendations[Id],H390:AU390,0)))/COUNTIF(H390:AU390,"&lt;&gt;"))</f>
        <v/>
      </c>
      <c r="H390" s="272"/>
      <c r="I390" s="272"/>
      <c r="J390" s="272"/>
      <c r="K390" s="272"/>
      <c r="L390" s="272"/>
      <c r="M390" s="272"/>
      <c r="N390" s="272"/>
      <c r="O390" s="272"/>
      <c r="P390" s="272"/>
      <c r="Q390" s="272"/>
      <c r="R390" s="272"/>
      <c r="S390" s="272"/>
      <c r="T390" s="272"/>
      <c r="U390" s="272"/>
      <c r="V390" s="272"/>
      <c r="W390" s="272"/>
      <c r="X390" s="272"/>
      <c r="Y390" s="272"/>
      <c r="Z390" s="272"/>
      <c r="AA390" s="272"/>
      <c r="AB390" s="272"/>
      <c r="AC390" s="272"/>
      <c r="AD390" s="272"/>
      <c r="AE390" s="272"/>
      <c r="AF390" s="272"/>
      <c r="AG390" s="272"/>
      <c r="AH390" s="272"/>
      <c r="AI390" s="272"/>
      <c r="AJ390" s="272"/>
      <c r="AK390" s="272"/>
      <c r="AL390" s="272"/>
      <c r="AM390" s="272"/>
      <c r="AN390" s="272"/>
      <c r="AO390" s="272"/>
      <c r="AP390" s="272"/>
      <c r="AQ390" s="272"/>
      <c r="AR390" s="272"/>
      <c r="AS390" s="272"/>
      <c r="AT390" s="272"/>
      <c r="AU390" s="286"/>
    </row>
    <row r="391" spans="1:47" ht="60" customHeight="1" x14ac:dyDescent="0.35">
      <c r="A391" s="282" t="s">
        <v>7455</v>
      </c>
      <c r="B391" s="260" t="s">
        <v>7487</v>
      </c>
      <c r="C391" s="261" t="s">
        <v>7497</v>
      </c>
      <c r="D391" s="264" t="s">
        <v>7498</v>
      </c>
      <c r="E391" s="265" t="s">
        <v>6991</v>
      </c>
      <c r="F391" s="268" t="s">
        <v>7490</v>
      </c>
      <c r="G391" s="271" t="str">
        <f>IF(COUNTIF(H391:AU391,"&lt;&gt;")=0,"",SUMPRODUCT(((Recommendations[ImplStatus]="Implemented")+(Recommendations[ImplStatus]="Compensated"))*ISNUMBER(MATCH(Recommendations[Id],H391:AU391,0)))/COUNTIF(H391:AU391,"&lt;&gt;"))</f>
        <v/>
      </c>
      <c r="H391" s="272"/>
      <c r="I391" s="272"/>
      <c r="J391" s="272"/>
      <c r="K391" s="272"/>
      <c r="L391" s="272"/>
      <c r="M391" s="272"/>
      <c r="N391" s="272"/>
      <c r="O391" s="272"/>
      <c r="P391" s="272"/>
      <c r="Q391" s="272"/>
      <c r="R391" s="272"/>
      <c r="S391" s="272"/>
      <c r="T391" s="272"/>
      <c r="U391" s="272"/>
      <c r="V391" s="272"/>
      <c r="W391" s="272"/>
      <c r="X391" s="272"/>
      <c r="Y391" s="272"/>
      <c r="Z391" s="272"/>
      <c r="AA391" s="272"/>
      <c r="AB391" s="272"/>
      <c r="AC391" s="272"/>
      <c r="AD391" s="272"/>
      <c r="AE391" s="272"/>
      <c r="AF391" s="272"/>
      <c r="AG391" s="272"/>
      <c r="AH391" s="272"/>
      <c r="AI391" s="272"/>
      <c r="AJ391" s="272"/>
      <c r="AK391" s="272"/>
      <c r="AL391" s="272"/>
      <c r="AM391" s="272"/>
      <c r="AN391" s="272"/>
      <c r="AO391" s="272"/>
      <c r="AP391" s="272"/>
      <c r="AQ391" s="272"/>
      <c r="AR391" s="272"/>
      <c r="AS391" s="272"/>
      <c r="AT391" s="272"/>
      <c r="AU391" s="286"/>
    </row>
    <row r="392" spans="1:47" ht="60" customHeight="1" x14ac:dyDescent="0.35">
      <c r="A392" s="282" t="s">
        <v>7455</v>
      </c>
      <c r="B392" s="260" t="s">
        <v>7487</v>
      </c>
      <c r="C392" s="261" t="s">
        <v>7499</v>
      </c>
      <c r="D392" s="264" t="s">
        <v>7500</v>
      </c>
      <c r="E392" s="265" t="s">
        <v>6741</v>
      </c>
      <c r="F392" s="268" t="s">
        <v>7490</v>
      </c>
      <c r="G392" s="271" t="str">
        <f>IF(COUNTIF(H392:AU392,"&lt;&gt;")=0,"",SUMPRODUCT(((Recommendations[ImplStatus]="Implemented")+(Recommendations[ImplStatus]="Compensated"))*ISNUMBER(MATCH(Recommendations[Id],H392:AU392,0)))/COUNTIF(H392:AU392,"&lt;&gt;"))</f>
        <v/>
      </c>
      <c r="H392" s="272"/>
      <c r="I392" s="272"/>
      <c r="J392" s="272"/>
      <c r="K392" s="272"/>
      <c r="L392" s="272"/>
      <c r="M392" s="272"/>
      <c r="N392" s="272"/>
      <c r="O392" s="272"/>
      <c r="P392" s="272"/>
      <c r="Q392" s="272"/>
      <c r="R392" s="272"/>
      <c r="S392" s="272"/>
      <c r="T392" s="272"/>
      <c r="U392" s="272"/>
      <c r="V392" s="272"/>
      <c r="W392" s="272"/>
      <c r="X392" s="272"/>
      <c r="Y392" s="272"/>
      <c r="Z392" s="272"/>
      <c r="AA392" s="272"/>
      <c r="AB392" s="272"/>
      <c r="AC392" s="272"/>
      <c r="AD392" s="272"/>
      <c r="AE392" s="272"/>
      <c r="AF392" s="272"/>
      <c r="AG392" s="272"/>
      <c r="AH392" s="272"/>
      <c r="AI392" s="272"/>
      <c r="AJ392" s="272"/>
      <c r="AK392" s="272"/>
      <c r="AL392" s="272"/>
      <c r="AM392" s="272"/>
      <c r="AN392" s="272"/>
      <c r="AO392" s="272"/>
      <c r="AP392" s="272"/>
      <c r="AQ392" s="272"/>
      <c r="AR392" s="272"/>
      <c r="AS392" s="272"/>
      <c r="AT392" s="272"/>
      <c r="AU392" s="286"/>
    </row>
    <row r="393" spans="1:47" ht="60" customHeight="1" x14ac:dyDescent="0.35">
      <c r="A393" s="282" t="s">
        <v>7455</v>
      </c>
      <c r="B393" s="260" t="s">
        <v>7487</v>
      </c>
      <c r="C393" s="261" t="s">
        <v>7501</v>
      </c>
      <c r="D393" s="264" t="s">
        <v>7502</v>
      </c>
      <c r="E393" s="265" t="s">
        <v>6741</v>
      </c>
      <c r="F393" s="268" t="s">
        <v>7490</v>
      </c>
      <c r="G393" s="271" t="str">
        <f>IF(COUNTIF(H393:AU393,"&lt;&gt;")=0,"",SUMPRODUCT(((Recommendations[ImplStatus]="Implemented")+(Recommendations[ImplStatus]="Compensated"))*ISNUMBER(MATCH(Recommendations[Id],H393:AU393,0)))/COUNTIF(H393:AU393,"&lt;&gt;"))</f>
        <v/>
      </c>
      <c r="H393" s="272"/>
      <c r="I393" s="272"/>
      <c r="J393" s="272"/>
      <c r="K393" s="272"/>
      <c r="L393" s="272"/>
      <c r="M393" s="272"/>
      <c r="N393" s="272"/>
      <c r="O393" s="272"/>
      <c r="P393" s="272"/>
      <c r="Q393" s="272"/>
      <c r="R393" s="272"/>
      <c r="S393" s="272"/>
      <c r="T393" s="272"/>
      <c r="U393" s="272"/>
      <c r="V393" s="272"/>
      <c r="W393" s="272"/>
      <c r="X393" s="272"/>
      <c r="Y393" s="272"/>
      <c r="Z393" s="272"/>
      <c r="AA393" s="272"/>
      <c r="AB393" s="272"/>
      <c r="AC393" s="272"/>
      <c r="AD393" s="272"/>
      <c r="AE393" s="272"/>
      <c r="AF393" s="272"/>
      <c r="AG393" s="272"/>
      <c r="AH393" s="272"/>
      <c r="AI393" s="272"/>
      <c r="AJ393" s="272"/>
      <c r="AK393" s="272"/>
      <c r="AL393" s="272"/>
      <c r="AM393" s="272"/>
      <c r="AN393" s="272"/>
      <c r="AO393" s="272"/>
      <c r="AP393" s="272"/>
      <c r="AQ393" s="272"/>
      <c r="AR393" s="272"/>
      <c r="AS393" s="272"/>
      <c r="AT393" s="272"/>
      <c r="AU393" s="286"/>
    </row>
    <row r="394" spans="1:47" ht="60" customHeight="1" x14ac:dyDescent="0.35">
      <c r="A394" s="282" t="s">
        <v>7455</v>
      </c>
      <c r="B394" s="260" t="s">
        <v>7487</v>
      </c>
      <c r="C394" s="261" t="s">
        <v>7503</v>
      </c>
      <c r="D394" s="264" t="s">
        <v>7504</v>
      </c>
      <c r="E394" s="265" t="s">
        <v>6991</v>
      </c>
      <c r="F394" s="268" t="s">
        <v>7490</v>
      </c>
      <c r="G394" s="271" t="str">
        <f>IF(COUNTIF(H394:AU394,"&lt;&gt;")=0,"",SUMPRODUCT(((Recommendations[ImplStatus]="Implemented")+(Recommendations[ImplStatus]="Compensated"))*ISNUMBER(MATCH(Recommendations[Id],H394:AU394,0)))/COUNTIF(H394:AU394,"&lt;&gt;"))</f>
        <v/>
      </c>
      <c r="H394" s="272"/>
      <c r="I394" s="272"/>
      <c r="J394" s="272"/>
      <c r="K394" s="272"/>
      <c r="L394" s="272"/>
      <c r="M394" s="272"/>
      <c r="N394" s="272"/>
      <c r="O394" s="272"/>
      <c r="P394" s="272"/>
      <c r="Q394" s="272"/>
      <c r="R394" s="272"/>
      <c r="S394" s="272"/>
      <c r="T394" s="272"/>
      <c r="U394" s="272"/>
      <c r="V394" s="272"/>
      <c r="W394" s="272"/>
      <c r="X394" s="272"/>
      <c r="Y394" s="272"/>
      <c r="Z394" s="272"/>
      <c r="AA394" s="272"/>
      <c r="AB394" s="272"/>
      <c r="AC394" s="272"/>
      <c r="AD394" s="272"/>
      <c r="AE394" s="272"/>
      <c r="AF394" s="272"/>
      <c r="AG394" s="272"/>
      <c r="AH394" s="272"/>
      <c r="AI394" s="272"/>
      <c r="AJ394" s="272"/>
      <c r="AK394" s="272"/>
      <c r="AL394" s="272"/>
      <c r="AM394" s="272"/>
      <c r="AN394" s="272"/>
      <c r="AO394" s="272"/>
      <c r="AP394" s="272"/>
      <c r="AQ394" s="272"/>
      <c r="AR394" s="272"/>
      <c r="AS394" s="272"/>
      <c r="AT394" s="272"/>
      <c r="AU394" s="286"/>
    </row>
    <row r="395" spans="1:47" ht="60" customHeight="1" x14ac:dyDescent="0.35">
      <c r="A395" s="282" t="s">
        <v>7455</v>
      </c>
      <c r="B395" s="260" t="s">
        <v>7487</v>
      </c>
      <c r="C395" s="261" t="s">
        <v>7505</v>
      </c>
      <c r="D395" s="264" t="s">
        <v>7506</v>
      </c>
      <c r="E395" s="265" t="s">
        <v>6808</v>
      </c>
      <c r="F395" s="268" t="s">
        <v>7490</v>
      </c>
      <c r="G395" s="271" t="str">
        <f>IF(COUNTIF(H395:AU395,"&lt;&gt;")=0,"",SUMPRODUCT(((Recommendations[ImplStatus]="Implemented")+(Recommendations[ImplStatus]="Compensated"))*ISNUMBER(MATCH(Recommendations[Id],H395:AU395,0)))/COUNTIF(H395:AU395,"&lt;&gt;"))</f>
        <v/>
      </c>
      <c r="H395" s="272"/>
      <c r="I395" s="272"/>
      <c r="J395" s="272"/>
      <c r="K395" s="272"/>
      <c r="L395" s="272"/>
      <c r="M395" s="272"/>
      <c r="N395" s="272"/>
      <c r="O395" s="272"/>
      <c r="P395" s="272"/>
      <c r="Q395" s="272"/>
      <c r="R395" s="272"/>
      <c r="S395" s="272"/>
      <c r="T395" s="272"/>
      <c r="U395" s="272"/>
      <c r="V395" s="272"/>
      <c r="W395" s="272"/>
      <c r="X395" s="272"/>
      <c r="Y395" s="272"/>
      <c r="Z395" s="272"/>
      <c r="AA395" s="272"/>
      <c r="AB395" s="272"/>
      <c r="AC395" s="272"/>
      <c r="AD395" s="272"/>
      <c r="AE395" s="272"/>
      <c r="AF395" s="272"/>
      <c r="AG395" s="272"/>
      <c r="AH395" s="272"/>
      <c r="AI395" s="272"/>
      <c r="AJ395" s="272"/>
      <c r="AK395" s="272"/>
      <c r="AL395" s="272"/>
      <c r="AM395" s="272"/>
      <c r="AN395" s="272"/>
      <c r="AO395" s="272"/>
      <c r="AP395" s="272"/>
      <c r="AQ395" s="272"/>
      <c r="AR395" s="272"/>
      <c r="AS395" s="272"/>
      <c r="AT395" s="272"/>
      <c r="AU395" s="286"/>
    </row>
    <row r="396" spans="1:47" ht="60" customHeight="1" x14ac:dyDescent="0.35">
      <c r="A396" s="282" t="s">
        <v>7455</v>
      </c>
      <c r="B396" s="260" t="s">
        <v>7487</v>
      </c>
      <c r="C396" s="261" t="s">
        <v>7507</v>
      </c>
      <c r="D396" s="264" t="s">
        <v>7508</v>
      </c>
      <c r="E396" s="265" t="s">
        <v>6991</v>
      </c>
      <c r="F396" s="268" t="s">
        <v>7490</v>
      </c>
      <c r="G396" s="271" t="str">
        <f>IF(COUNTIF(H396:AU396,"&lt;&gt;")=0,"",SUMPRODUCT(((Recommendations[ImplStatus]="Implemented")+(Recommendations[ImplStatus]="Compensated"))*ISNUMBER(MATCH(Recommendations[Id],H396:AU396,0)))/COUNTIF(H396:AU396,"&lt;&gt;"))</f>
        <v/>
      </c>
      <c r="H396" s="272"/>
      <c r="I396" s="272"/>
      <c r="J396" s="272"/>
      <c r="K396" s="272"/>
      <c r="L396" s="272"/>
      <c r="M396" s="272"/>
      <c r="N396" s="272"/>
      <c r="O396" s="272"/>
      <c r="P396" s="272"/>
      <c r="Q396" s="272"/>
      <c r="R396" s="272"/>
      <c r="S396" s="272"/>
      <c r="T396" s="272"/>
      <c r="U396" s="272"/>
      <c r="V396" s="272"/>
      <c r="W396" s="272"/>
      <c r="X396" s="272"/>
      <c r="Y396" s="272"/>
      <c r="Z396" s="272"/>
      <c r="AA396" s="272"/>
      <c r="AB396" s="272"/>
      <c r="AC396" s="272"/>
      <c r="AD396" s="272"/>
      <c r="AE396" s="272"/>
      <c r="AF396" s="272"/>
      <c r="AG396" s="272"/>
      <c r="AH396" s="272"/>
      <c r="AI396" s="272"/>
      <c r="AJ396" s="272"/>
      <c r="AK396" s="272"/>
      <c r="AL396" s="272"/>
      <c r="AM396" s="272"/>
      <c r="AN396" s="272"/>
      <c r="AO396" s="272"/>
      <c r="AP396" s="272"/>
      <c r="AQ396" s="272"/>
      <c r="AR396" s="272"/>
      <c r="AS396" s="272"/>
      <c r="AT396" s="272"/>
      <c r="AU396" s="286"/>
    </row>
    <row r="397" spans="1:47" ht="60" customHeight="1" x14ac:dyDescent="0.35">
      <c r="A397" s="282" t="s">
        <v>7455</v>
      </c>
      <c r="B397" s="260" t="s">
        <v>7487</v>
      </c>
      <c r="C397" s="261" t="s">
        <v>7509</v>
      </c>
      <c r="D397" s="264" t="s">
        <v>7510</v>
      </c>
      <c r="E397" s="265" t="s">
        <v>6741</v>
      </c>
      <c r="F397" s="268" t="s">
        <v>7490</v>
      </c>
      <c r="G397" s="271" t="str">
        <f>IF(COUNTIF(H397:AU397,"&lt;&gt;")=0,"",SUMPRODUCT(((Recommendations[ImplStatus]="Implemented")+(Recommendations[ImplStatus]="Compensated"))*ISNUMBER(MATCH(Recommendations[Id],H397:AU397,0)))/COUNTIF(H397:AU397,"&lt;&gt;"))</f>
        <v/>
      </c>
      <c r="H397" s="272"/>
      <c r="I397" s="272"/>
      <c r="J397" s="272"/>
      <c r="K397" s="272"/>
      <c r="L397" s="272"/>
      <c r="M397" s="272"/>
      <c r="N397" s="272"/>
      <c r="O397" s="272"/>
      <c r="P397" s="272"/>
      <c r="Q397" s="272"/>
      <c r="R397" s="272"/>
      <c r="S397" s="272"/>
      <c r="T397" s="272"/>
      <c r="U397" s="272"/>
      <c r="V397" s="272"/>
      <c r="W397" s="272"/>
      <c r="X397" s="272"/>
      <c r="Y397" s="272"/>
      <c r="Z397" s="272"/>
      <c r="AA397" s="272"/>
      <c r="AB397" s="272"/>
      <c r="AC397" s="272"/>
      <c r="AD397" s="272"/>
      <c r="AE397" s="272"/>
      <c r="AF397" s="272"/>
      <c r="AG397" s="272"/>
      <c r="AH397" s="272"/>
      <c r="AI397" s="272"/>
      <c r="AJ397" s="272"/>
      <c r="AK397" s="272"/>
      <c r="AL397" s="272"/>
      <c r="AM397" s="272"/>
      <c r="AN397" s="272"/>
      <c r="AO397" s="272"/>
      <c r="AP397" s="272"/>
      <c r="AQ397" s="272"/>
      <c r="AR397" s="272"/>
      <c r="AS397" s="272"/>
      <c r="AT397" s="272"/>
      <c r="AU397" s="286"/>
    </row>
    <row r="398" spans="1:47" ht="60" customHeight="1" x14ac:dyDescent="0.35">
      <c r="A398" s="282" t="s">
        <v>7455</v>
      </c>
      <c r="B398" s="260" t="s">
        <v>7487</v>
      </c>
      <c r="C398" s="261" t="s">
        <v>7511</v>
      </c>
      <c r="D398" s="264" t="s">
        <v>7512</v>
      </c>
      <c r="E398" s="265" t="s">
        <v>6856</v>
      </c>
      <c r="F398" s="268" t="s">
        <v>7490</v>
      </c>
      <c r="G398" s="271" t="str">
        <f>IF(COUNTIF(H398:AU398,"&lt;&gt;")=0,"",SUMPRODUCT(((Recommendations[ImplStatus]="Implemented")+(Recommendations[ImplStatus]="Compensated"))*ISNUMBER(MATCH(Recommendations[Id],H398:AU398,0)))/COUNTIF(H398:AU398,"&lt;&gt;"))</f>
        <v/>
      </c>
      <c r="H398" s="272"/>
      <c r="I398" s="272"/>
      <c r="J398" s="272"/>
      <c r="K398" s="272"/>
      <c r="L398" s="272"/>
      <c r="M398" s="272"/>
      <c r="N398" s="272"/>
      <c r="O398" s="272"/>
      <c r="P398" s="272"/>
      <c r="Q398" s="272"/>
      <c r="R398" s="272"/>
      <c r="S398" s="272"/>
      <c r="T398" s="272"/>
      <c r="U398" s="272"/>
      <c r="V398" s="272"/>
      <c r="W398" s="272"/>
      <c r="X398" s="272"/>
      <c r="Y398" s="272"/>
      <c r="Z398" s="272"/>
      <c r="AA398" s="272"/>
      <c r="AB398" s="272"/>
      <c r="AC398" s="272"/>
      <c r="AD398" s="272"/>
      <c r="AE398" s="272"/>
      <c r="AF398" s="272"/>
      <c r="AG398" s="272"/>
      <c r="AH398" s="272"/>
      <c r="AI398" s="272"/>
      <c r="AJ398" s="272"/>
      <c r="AK398" s="272"/>
      <c r="AL398" s="272"/>
      <c r="AM398" s="272"/>
      <c r="AN398" s="272"/>
      <c r="AO398" s="272"/>
      <c r="AP398" s="272"/>
      <c r="AQ398" s="272"/>
      <c r="AR398" s="272"/>
      <c r="AS398" s="272"/>
      <c r="AT398" s="272"/>
      <c r="AU398" s="286"/>
    </row>
    <row r="399" spans="1:47" ht="60" customHeight="1" x14ac:dyDescent="0.35">
      <c r="A399" s="282" t="s">
        <v>7455</v>
      </c>
      <c r="B399" s="260" t="s">
        <v>7487</v>
      </c>
      <c r="C399" s="261" t="s">
        <v>7513</v>
      </c>
      <c r="D399" s="264" t="s">
        <v>7514</v>
      </c>
      <c r="E399" s="265" t="s">
        <v>6991</v>
      </c>
      <c r="F399" s="268" t="s">
        <v>7490</v>
      </c>
      <c r="G399" s="271" t="str">
        <f>IF(COUNTIF(H399:AU399,"&lt;&gt;")=0,"",SUMPRODUCT(((Recommendations[ImplStatus]="Implemented")+(Recommendations[ImplStatus]="Compensated"))*ISNUMBER(MATCH(Recommendations[Id],H399:AU399,0)))/COUNTIF(H399:AU399,"&lt;&gt;"))</f>
        <v/>
      </c>
      <c r="H399" s="272"/>
      <c r="I399" s="272"/>
      <c r="J399" s="272"/>
      <c r="K399" s="272"/>
      <c r="L399" s="272"/>
      <c r="M399" s="272"/>
      <c r="N399" s="272"/>
      <c r="O399" s="272"/>
      <c r="P399" s="272"/>
      <c r="Q399" s="272"/>
      <c r="R399" s="272"/>
      <c r="S399" s="272"/>
      <c r="T399" s="272"/>
      <c r="U399" s="272"/>
      <c r="V399" s="272"/>
      <c r="W399" s="272"/>
      <c r="X399" s="272"/>
      <c r="Y399" s="272"/>
      <c r="Z399" s="272"/>
      <c r="AA399" s="272"/>
      <c r="AB399" s="272"/>
      <c r="AC399" s="272"/>
      <c r="AD399" s="272"/>
      <c r="AE399" s="272"/>
      <c r="AF399" s="272"/>
      <c r="AG399" s="272"/>
      <c r="AH399" s="272"/>
      <c r="AI399" s="272"/>
      <c r="AJ399" s="272"/>
      <c r="AK399" s="272"/>
      <c r="AL399" s="272"/>
      <c r="AM399" s="272"/>
      <c r="AN399" s="272"/>
      <c r="AO399" s="272"/>
      <c r="AP399" s="272"/>
      <c r="AQ399" s="272"/>
      <c r="AR399" s="272"/>
      <c r="AS399" s="272"/>
      <c r="AT399" s="272"/>
      <c r="AU399" s="286"/>
    </row>
    <row r="400" spans="1:47" ht="60" customHeight="1" x14ac:dyDescent="0.35">
      <c r="A400" s="282" t="s">
        <v>7455</v>
      </c>
      <c r="B400" s="260" t="s">
        <v>7487</v>
      </c>
      <c r="C400" s="261" t="s">
        <v>7515</v>
      </c>
      <c r="D400" s="264" t="s">
        <v>7516</v>
      </c>
      <c r="E400" s="265" t="s">
        <v>6991</v>
      </c>
      <c r="F400" s="268" t="s">
        <v>7490</v>
      </c>
      <c r="G400" s="271" t="str">
        <f>IF(COUNTIF(H400:AU400,"&lt;&gt;")=0,"",SUMPRODUCT(((Recommendations[ImplStatus]="Implemented")+(Recommendations[ImplStatus]="Compensated"))*ISNUMBER(MATCH(Recommendations[Id],H400:AU400,0)))/COUNTIF(H400:AU400,"&lt;&gt;"))</f>
        <v/>
      </c>
      <c r="H400" s="272"/>
      <c r="I400" s="272"/>
      <c r="J400" s="272"/>
      <c r="K400" s="272"/>
      <c r="L400" s="272"/>
      <c r="M400" s="272"/>
      <c r="N400" s="272"/>
      <c r="O400" s="272"/>
      <c r="P400" s="272"/>
      <c r="Q400" s="272"/>
      <c r="R400" s="272"/>
      <c r="S400" s="272"/>
      <c r="T400" s="272"/>
      <c r="U400" s="272"/>
      <c r="V400" s="272"/>
      <c r="W400" s="272"/>
      <c r="X400" s="272"/>
      <c r="Y400" s="272"/>
      <c r="Z400" s="272"/>
      <c r="AA400" s="272"/>
      <c r="AB400" s="272"/>
      <c r="AC400" s="272"/>
      <c r="AD400" s="272"/>
      <c r="AE400" s="272"/>
      <c r="AF400" s="272"/>
      <c r="AG400" s="272"/>
      <c r="AH400" s="272"/>
      <c r="AI400" s="272"/>
      <c r="AJ400" s="272"/>
      <c r="AK400" s="272"/>
      <c r="AL400" s="272"/>
      <c r="AM400" s="272"/>
      <c r="AN400" s="272"/>
      <c r="AO400" s="272"/>
      <c r="AP400" s="272"/>
      <c r="AQ400" s="272"/>
      <c r="AR400" s="272"/>
      <c r="AS400" s="272"/>
      <c r="AT400" s="272"/>
      <c r="AU400" s="286"/>
    </row>
    <row r="401" spans="1:47" ht="60" customHeight="1" x14ac:dyDescent="0.35">
      <c r="A401" s="282" t="s">
        <v>7455</v>
      </c>
      <c r="B401" s="260" t="s">
        <v>7487</v>
      </c>
      <c r="C401" s="261" t="s">
        <v>7517</v>
      </c>
      <c r="D401" s="264" t="s">
        <v>7518</v>
      </c>
      <c r="E401" s="265" t="s">
        <v>6741</v>
      </c>
      <c r="F401" s="268" t="s">
        <v>7490</v>
      </c>
      <c r="G401" s="271" t="str">
        <f>IF(COUNTIF(H401:AU401,"&lt;&gt;")=0,"",SUMPRODUCT(((Recommendations[ImplStatus]="Implemented")+(Recommendations[ImplStatus]="Compensated"))*ISNUMBER(MATCH(Recommendations[Id],H401:AU401,0)))/COUNTIF(H401:AU401,"&lt;&gt;"))</f>
        <v/>
      </c>
      <c r="H401" s="272"/>
      <c r="I401" s="272"/>
      <c r="J401" s="272"/>
      <c r="K401" s="272"/>
      <c r="L401" s="272"/>
      <c r="M401" s="272"/>
      <c r="N401" s="272"/>
      <c r="O401" s="272"/>
      <c r="P401" s="272"/>
      <c r="Q401" s="272"/>
      <c r="R401" s="272"/>
      <c r="S401" s="272"/>
      <c r="T401" s="272"/>
      <c r="U401" s="272"/>
      <c r="V401" s="272"/>
      <c r="W401" s="272"/>
      <c r="X401" s="272"/>
      <c r="Y401" s="272"/>
      <c r="Z401" s="272"/>
      <c r="AA401" s="272"/>
      <c r="AB401" s="272"/>
      <c r="AC401" s="272"/>
      <c r="AD401" s="272"/>
      <c r="AE401" s="272"/>
      <c r="AF401" s="272"/>
      <c r="AG401" s="272"/>
      <c r="AH401" s="272"/>
      <c r="AI401" s="272"/>
      <c r="AJ401" s="272"/>
      <c r="AK401" s="272"/>
      <c r="AL401" s="272"/>
      <c r="AM401" s="272"/>
      <c r="AN401" s="272"/>
      <c r="AO401" s="272"/>
      <c r="AP401" s="272"/>
      <c r="AQ401" s="272"/>
      <c r="AR401" s="272"/>
      <c r="AS401" s="272"/>
      <c r="AT401" s="272"/>
      <c r="AU401" s="286"/>
    </row>
    <row r="402" spans="1:47" ht="60" customHeight="1" x14ac:dyDescent="0.35">
      <c r="A402" s="282" t="s">
        <v>7455</v>
      </c>
      <c r="B402" s="260" t="s">
        <v>7487</v>
      </c>
      <c r="C402" s="261" t="s">
        <v>7519</v>
      </c>
      <c r="D402" s="264" t="s">
        <v>7520</v>
      </c>
      <c r="E402" s="265" t="s">
        <v>6741</v>
      </c>
      <c r="F402" s="268" t="s">
        <v>7490</v>
      </c>
      <c r="G402" s="271" t="str">
        <f>IF(COUNTIF(H402:AU402,"&lt;&gt;")=0,"",SUMPRODUCT(((Recommendations[ImplStatus]="Implemented")+(Recommendations[ImplStatus]="Compensated"))*ISNUMBER(MATCH(Recommendations[Id],H402:AU402,0)))/COUNTIF(H402:AU402,"&lt;&gt;"))</f>
        <v/>
      </c>
      <c r="H402" s="272"/>
      <c r="I402" s="272"/>
      <c r="J402" s="272"/>
      <c r="K402" s="272"/>
      <c r="L402" s="272"/>
      <c r="M402" s="272"/>
      <c r="N402" s="272"/>
      <c r="O402" s="272"/>
      <c r="P402" s="272"/>
      <c r="Q402" s="272"/>
      <c r="R402" s="272"/>
      <c r="S402" s="272"/>
      <c r="T402" s="272"/>
      <c r="U402" s="272"/>
      <c r="V402" s="272"/>
      <c r="W402" s="272"/>
      <c r="X402" s="272"/>
      <c r="Y402" s="272"/>
      <c r="Z402" s="272"/>
      <c r="AA402" s="272"/>
      <c r="AB402" s="272"/>
      <c r="AC402" s="272"/>
      <c r="AD402" s="272"/>
      <c r="AE402" s="272"/>
      <c r="AF402" s="272"/>
      <c r="AG402" s="272"/>
      <c r="AH402" s="272"/>
      <c r="AI402" s="272"/>
      <c r="AJ402" s="272"/>
      <c r="AK402" s="272"/>
      <c r="AL402" s="272"/>
      <c r="AM402" s="272"/>
      <c r="AN402" s="272"/>
      <c r="AO402" s="272"/>
      <c r="AP402" s="272"/>
      <c r="AQ402" s="272"/>
      <c r="AR402" s="272"/>
      <c r="AS402" s="272"/>
      <c r="AT402" s="272"/>
      <c r="AU402" s="286"/>
    </row>
    <row r="403" spans="1:47" ht="60" customHeight="1" x14ac:dyDescent="0.35">
      <c r="A403" s="282" t="s">
        <v>7455</v>
      </c>
      <c r="B403" s="260" t="s">
        <v>7487</v>
      </c>
      <c r="C403" s="261" t="s">
        <v>7521</v>
      </c>
      <c r="D403" s="264" t="s">
        <v>7522</v>
      </c>
      <c r="E403" s="265" t="s">
        <v>6741</v>
      </c>
      <c r="F403" s="268" t="s">
        <v>7490</v>
      </c>
      <c r="G403" s="271" t="str">
        <f>IF(COUNTIF(H403:AU403,"&lt;&gt;")=0,"",SUMPRODUCT(((Recommendations[ImplStatus]="Implemented")+(Recommendations[ImplStatus]="Compensated"))*ISNUMBER(MATCH(Recommendations[Id],H403:AU403,0)))/COUNTIF(H403:AU403,"&lt;&gt;"))</f>
        <v/>
      </c>
      <c r="H403" s="272"/>
      <c r="I403" s="272"/>
      <c r="J403" s="272"/>
      <c r="K403" s="272"/>
      <c r="L403" s="272"/>
      <c r="M403" s="272"/>
      <c r="N403" s="272"/>
      <c r="O403" s="272"/>
      <c r="P403" s="272"/>
      <c r="Q403" s="272"/>
      <c r="R403" s="272"/>
      <c r="S403" s="272"/>
      <c r="T403" s="272"/>
      <c r="U403" s="272"/>
      <c r="V403" s="272"/>
      <c r="W403" s="272"/>
      <c r="X403" s="272"/>
      <c r="Y403" s="272"/>
      <c r="Z403" s="272"/>
      <c r="AA403" s="272"/>
      <c r="AB403" s="272"/>
      <c r="AC403" s="272"/>
      <c r="AD403" s="272"/>
      <c r="AE403" s="272"/>
      <c r="AF403" s="272"/>
      <c r="AG403" s="272"/>
      <c r="AH403" s="272"/>
      <c r="AI403" s="272"/>
      <c r="AJ403" s="272"/>
      <c r="AK403" s="272"/>
      <c r="AL403" s="272"/>
      <c r="AM403" s="272"/>
      <c r="AN403" s="272"/>
      <c r="AO403" s="272"/>
      <c r="AP403" s="272"/>
      <c r="AQ403" s="272"/>
      <c r="AR403" s="272"/>
      <c r="AS403" s="272"/>
      <c r="AT403" s="272"/>
      <c r="AU403" s="286"/>
    </row>
    <row r="404" spans="1:47" ht="60" customHeight="1" x14ac:dyDescent="0.35">
      <c r="A404" s="282" t="s">
        <v>7455</v>
      </c>
      <c r="B404" s="260" t="s">
        <v>7487</v>
      </c>
      <c r="C404" s="261" t="s">
        <v>7523</v>
      </c>
      <c r="D404" s="264" t="s">
        <v>7524</v>
      </c>
      <c r="E404" s="265" t="s">
        <v>6856</v>
      </c>
      <c r="F404" s="268" t="s">
        <v>7490</v>
      </c>
      <c r="G404" s="271" t="str">
        <f>IF(COUNTIF(H404:AU404,"&lt;&gt;")=0,"",SUMPRODUCT(((Recommendations[ImplStatus]="Implemented")+(Recommendations[ImplStatus]="Compensated"))*ISNUMBER(MATCH(Recommendations[Id],H404:AU404,0)))/COUNTIF(H404:AU404,"&lt;&gt;"))</f>
        <v/>
      </c>
      <c r="H404" s="272"/>
      <c r="I404" s="272"/>
      <c r="J404" s="272"/>
      <c r="K404" s="272"/>
      <c r="L404" s="272"/>
      <c r="M404" s="272"/>
      <c r="N404" s="272"/>
      <c r="O404" s="272"/>
      <c r="P404" s="272"/>
      <c r="Q404" s="272"/>
      <c r="R404" s="272"/>
      <c r="S404" s="272"/>
      <c r="T404" s="272"/>
      <c r="U404" s="272"/>
      <c r="V404" s="272"/>
      <c r="W404" s="272"/>
      <c r="X404" s="272"/>
      <c r="Y404" s="272"/>
      <c r="Z404" s="272"/>
      <c r="AA404" s="272"/>
      <c r="AB404" s="272"/>
      <c r="AC404" s="272"/>
      <c r="AD404" s="272"/>
      <c r="AE404" s="272"/>
      <c r="AF404" s="272"/>
      <c r="AG404" s="272"/>
      <c r="AH404" s="272"/>
      <c r="AI404" s="272"/>
      <c r="AJ404" s="272"/>
      <c r="AK404" s="272"/>
      <c r="AL404" s="272"/>
      <c r="AM404" s="272"/>
      <c r="AN404" s="272"/>
      <c r="AO404" s="272"/>
      <c r="AP404" s="272"/>
      <c r="AQ404" s="272"/>
      <c r="AR404" s="272"/>
      <c r="AS404" s="272"/>
      <c r="AT404" s="272"/>
      <c r="AU404" s="286"/>
    </row>
    <row r="405" spans="1:47" ht="60" customHeight="1" x14ac:dyDescent="0.35">
      <c r="A405" s="282" t="s">
        <v>7455</v>
      </c>
      <c r="B405" s="260" t="s">
        <v>7487</v>
      </c>
      <c r="C405" s="261" t="s">
        <v>7525</v>
      </c>
      <c r="D405" s="264" t="s">
        <v>7526</v>
      </c>
      <c r="E405" s="265" t="s">
        <v>6856</v>
      </c>
      <c r="F405" s="268" t="s">
        <v>7490</v>
      </c>
      <c r="G405" s="271" t="str">
        <f>IF(COUNTIF(H405:AU405,"&lt;&gt;")=0,"",SUMPRODUCT(((Recommendations[ImplStatus]="Implemented")+(Recommendations[ImplStatus]="Compensated"))*ISNUMBER(MATCH(Recommendations[Id],H405:AU405,0)))/COUNTIF(H405:AU405,"&lt;&gt;"))</f>
        <v/>
      </c>
      <c r="H405" s="272"/>
      <c r="I405" s="272"/>
      <c r="J405" s="272"/>
      <c r="K405" s="272"/>
      <c r="L405" s="272"/>
      <c r="M405" s="272"/>
      <c r="N405" s="272"/>
      <c r="O405" s="272"/>
      <c r="P405" s="272"/>
      <c r="Q405" s="272"/>
      <c r="R405" s="272"/>
      <c r="S405" s="272"/>
      <c r="T405" s="272"/>
      <c r="U405" s="272"/>
      <c r="V405" s="272"/>
      <c r="W405" s="272"/>
      <c r="X405" s="272"/>
      <c r="Y405" s="272"/>
      <c r="Z405" s="272"/>
      <c r="AA405" s="272"/>
      <c r="AB405" s="272"/>
      <c r="AC405" s="272"/>
      <c r="AD405" s="272"/>
      <c r="AE405" s="272"/>
      <c r="AF405" s="272"/>
      <c r="AG405" s="272"/>
      <c r="AH405" s="272"/>
      <c r="AI405" s="272"/>
      <c r="AJ405" s="272"/>
      <c r="AK405" s="272"/>
      <c r="AL405" s="272"/>
      <c r="AM405" s="272"/>
      <c r="AN405" s="272"/>
      <c r="AO405" s="272"/>
      <c r="AP405" s="272"/>
      <c r="AQ405" s="272"/>
      <c r="AR405" s="272"/>
      <c r="AS405" s="272"/>
      <c r="AT405" s="272"/>
      <c r="AU405" s="286"/>
    </row>
    <row r="406" spans="1:47" ht="60" customHeight="1" x14ac:dyDescent="0.35">
      <c r="A406" s="282" t="s">
        <v>7455</v>
      </c>
      <c r="B406" s="260" t="s">
        <v>7487</v>
      </c>
      <c r="C406" s="261" t="s">
        <v>7527</v>
      </c>
      <c r="D406" s="264" t="s">
        <v>7528</v>
      </c>
      <c r="E406" s="265" t="s">
        <v>6856</v>
      </c>
      <c r="F406" s="268" t="s">
        <v>7529</v>
      </c>
      <c r="G406" s="271" t="str">
        <f>IF(COUNTIF(H406:AU406,"&lt;&gt;")=0,"",SUMPRODUCT(((Recommendations[ImplStatus]="Implemented")+(Recommendations[ImplStatus]="Compensated"))*ISNUMBER(MATCH(Recommendations[Id],H406:AU406,0)))/COUNTIF(H406:AU406,"&lt;&gt;"))</f>
        <v/>
      </c>
      <c r="H406" s="272"/>
      <c r="I406" s="272"/>
      <c r="J406" s="272"/>
      <c r="K406" s="272"/>
      <c r="L406" s="272"/>
      <c r="M406" s="272"/>
      <c r="N406" s="272"/>
      <c r="O406" s="272"/>
      <c r="P406" s="272"/>
      <c r="Q406" s="272"/>
      <c r="R406" s="272"/>
      <c r="S406" s="272"/>
      <c r="T406" s="272"/>
      <c r="U406" s="272"/>
      <c r="V406" s="272"/>
      <c r="W406" s="272"/>
      <c r="X406" s="272"/>
      <c r="Y406" s="272"/>
      <c r="Z406" s="272"/>
      <c r="AA406" s="272"/>
      <c r="AB406" s="272"/>
      <c r="AC406" s="272"/>
      <c r="AD406" s="272"/>
      <c r="AE406" s="272"/>
      <c r="AF406" s="272"/>
      <c r="AG406" s="272"/>
      <c r="AH406" s="272"/>
      <c r="AI406" s="272"/>
      <c r="AJ406" s="272"/>
      <c r="AK406" s="272"/>
      <c r="AL406" s="272"/>
      <c r="AM406" s="272"/>
      <c r="AN406" s="272"/>
      <c r="AO406" s="272"/>
      <c r="AP406" s="272"/>
      <c r="AQ406" s="272"/>
      <c r="AR406" s="272"/>
      <c r="AS406" s="272"/>
      <c r="AT406" s="272"/>
      <c r="AU406" s="286"/>
    </row>
    <row r="407" spans="1:47" ht="60" customHeight="1" x14ac:dyDescent="0.35">
      <c r="A407" s="282" t="s">
        <v>7455</v>
      </c>
      <c r="B407" s="260" t="s">
        <v>7487</v>
      </c>
      <c r="C407" s="261" t="s">
        <v>7530</v>
      </c>
      <c r="D407" s="264" t="s">
        <v>7531</v>
      </c>
      <c r="E407" s="265" t="s">
        <v>6856</v>
      </c>
      <c r="F407" s="268" t="s">
        <v>7490</v>
      </c>
      <c r="G407" s="271" t="str">
        <f>IF(COUNTIF(H407:AU407,"&lt;&gt;")=0,"",SUMPRODUCT(((Recommendations[ImplStatus]="Implemented")+(Recommendations[ImplStatus]="Compensated"))*ISNUMBER(MATCH(Recommendations[Id],H407:AU407,0)))/COUNTIF(H407:AU407,"&lt;&gt;"))</f>
        <v/>
      </c>
      <c r="H407" s="272"/>
      <c r="I407" s="272"/>
      <c r="J407" s="272"/>
      <c r="K407" s="272"/>
      <c r="L407" s="272"/>
      <c r="M407" s="272"/>
      <c r="N407" s="272"/>
      <c r="O407" s="272"/>
      <c r="P407" s="272"/>
      <c r="Q407" s="272"/>
      <c r="R407" s="272"/>
      <c r="S407" s="272"/>
      <c r="T407" s="272"/>
      <c r="U407" s="272"/>
      <c r="V407" s="272"/>
      <c r="W407" s="272"/>
      <c r="X407" s="272"/>
      <c r="Y407" s="272"/>
      <c r="Z407" s="272"/>
      <c r="AA407" s="272"/>
      <c r="AB407" s="272"/>
      <c r="AC407" s="272"/>
      <c r="AD407" s="272"/>
      <c r="AE407" s="272"/>
      <c r="AF407" s="272"/>
      <c r="AG407" s="272"/>
      <c r="AH407" s="272"/>
      <c r="AI407" s="272"/>
      <c r="AJ407" s="272"/>
      <c r="AK407" s="272"/>
      <c r="AL407" s="272"/>
      <c r="AM407" s="272"/>
      <c r="AN407" s="272"/>
      <c r="AO407" s="272"/>
      <c r="AP407" s="272"/>
      <c r="AQ407" s="272"/>
      <c r="AR407" s="272"/>
      <c r="AS407" s="272"/>
      <c r="AT407" s="272"/>
      <c r="AU407" s="286"/>
    </row>
    <row r="408" spans="1:47" ht="60" customHeight="1" x14ac:dyDescent="0.35">
      <c r="A408" s="282" t="s">
        <v>7455</v>
      </c>
      <c r="B408" s="260" t="s">
        <v>7487</v>
      </c>
      <c r="C408" s="261" t="s">
        <v>7532</v>
      </c>
      <c r="D408" s="264" t="s">
        <v>7533</v>
      </c>
      <c r="E408" s="265" t="s">
        <v>6856</v>
      </c>
      <c r="F408" s="268" t="s">
        <v>7490</v>
      </c>
      <c r="G408" s="271" t="str">
        <f>IF(COUNTIF(H408:AU408,"&lt;&gt;")=0,"",SUMPRODUCT(((Recommendations[ImplStatus]="Implemented")+(Recommendations[ImplStatus]="Compensated"))*ISNUMBER(MATCH(Recommendations[Id],H408:AU408,0)))/COUNTIF(H408:AU408,"&lt;&gt;"))</f>
        <v/>
      </c>
      <c r="H408" s="272"/>
      <c r="I408" s="272"/>
      <c r="J408" s="272"/>
      <c r="K408" s="272"/>
      <c r="L408" s="272"/>
      <c r="M408" s="272"/>
      <c r="N408" s="272"/>
      <c r="O408" s="272"/>
      <c r="P408" s="272"/>
      <c r="Q408" s="272"/>
      <c r="R408" s="272"/>
      <c r="S408" s="272"/>
      <c r="T408" s="272"/>
      <c r="U408" s="272"/>
      <c r="V408" s="272"/>
      <c r="W408" s="272"/>
      <c r="X408" s="272"/>
      <c r="Y408" s="272"/>
      <c r="Z408" s="272"/>
      <c r="AA408" s="272"/>
      <c r="AB408" s="272"/>
      <c r="AC408" s="272"/>
      <c r="AD408" s="272"/>
      <c r="AE408" s="272"/>
      <c r="AF408" s="272"/>
      <c r="AG408" s="272"/>
      <c r="AH408" s="272"/>
      <c r="AI408" s="272"/>
      <c r="AJ408" s="272"/>
      <c r="AK408" s="272"/>
      <c r="AL408" s="272"/>
      <c r="AM408" s="272"/>
      <c r="AN408" s="272"/>
      <c r="AO408" s="272"/>
      <c r="AP408" s="272"/>
      <c r="AQ408" s="272"/>
      <c r="AR408" s="272"/>
      <c r="AS408" s="272"/>
      <c r="AT408" s="272"/>
      <c r="AU408" s="286"/>
    </row>
    <row r="409" spans="1:47" ht="60" customHeight="1" x14ac:dyDescent="0.35">
      <c r="A409" s="282" t="s">
        <v>7455</v>
      </c>
      <c r="B409" s="260" t="s">
        <v>7487</v>
      </c>
      <c r="C409" s="261" t="s">
        <v>7534</v>
      </c>
      <c r="D409" s="264" t="s">
        <v>7535</v>
      </c>
      <c r="E409" s="265" t="s">
        <v>6856</v>
      </c>
      <c r="F409" s="268" t="s">
        <v>7536</v>
      </c>
      <c r="G409" s="271" t="str">
        <f>IF(COUNTIF(H409:AU409,"&lt;&gt;")=0,"",SUMPRODUCT(((Recommendations[ImplStatus]="Implemented")+(Recommendations[ImplStatus]="Compensated"))*ISNUMBER(MATCH(Recommendations[Id],H409:AU409,0)))/COUNTIF(H409:AU409,"&lt;&gt;"))</f>
        <v/>
      </c>
      <c r="H409" s="272"/>
      <c r="I409" s="272"/>
      <c r="J409" s="272"/>
      <c r="K409" s="272"/>
      <c r="L409" s="272"/>
      <c r="M409" s="272"/>
      <c r="N409" s="272"/>
      <c r="O409" s="272"/>
      <c r="P409" s="272"/>
      <c r="Q409" s="272"/>
      <c r="R409" s="272"/>
      <c r="S409" s="272"/>
      <c r="T409" s="272"/>
      <c r="U409" s="272"/>
      <c r="V409" s="272"/>
      <c r="W409" s="272"/>
      <c r="X409" s="272"/>
      <c r="Y409" s="272"/>
      <c r="Z409" s="272"/>
      <c r="AA409" s="272"/>
      <c r="AB409" s="272"/>
      <c r="AC409" s="272"/>
      <c r="AD409" s="272"/>
      <c r="AE409" s="272"/>
      <c r="AF409" s="272"/>
      <c r="AG409" s="272"/>
      <c r="AH409" s="272"/>
      <c r="AI409" s="272"/>
      <c r="AJ409" s="272"/>
      <c r="AK409" s="272"/>
      <c r="AL409" s="272"/>
      <c r="AM409" s="272"/>
      <c r="AN409" s="272"/>
      <c r="AO409" s="272"/>
      <c r="AP409" s="272"/>
      <c r="AQ409" s="272"/>
      <c r="AR409" s="272"/>
      <c r="AS409" s="272"/>
      <c r="AT409" s="272"/>
      <c r="AU409" s="286"/>
    </row>
    <row r="410" spans="1:47" ht="60" customHeight="1" outlineLevel="2" x14ac:dyDescent="0.35">
      <c r="A410" s="281" t="s">
        <v>7455</v>
      </c>
      <c r="B410" s="259" t="s">
        <v>7537</v>
      </c>
      <c r="C410" s="259"/>
      <c r="D410" s="263"/>
      <c r="E410" s="259"/>
      <c r="F410" s="267"/>
      <c r="G410" s="270" t="str">
        <f>IF(COUNTIF(H410:AU410,"&lt;&gt;")=0,"",SUMPRODUCT(((Recommendations[ImplStatus]="Implemented")+(Recommendations[ImplStatus]="Compensated"))*ISNUMBER(MATCH(Recommendations[Id],H410:AU410,0)))/COUNTIF(H410:AU410,"&lt;&gt;"))</f>
        <v/>
      </c>
      <c r="H410" s="267"/>
      <c r="I410" s="267"/>
      <c r="J410" s="267"/>
      <c r="K410" s="267"/>
      <c r="L410" s="267"/>
      <c r="M410" s="267"/>
      <c r="N410" s="267"/>
      <c r="O410" s="267"/>
      <c r="P410" s="267"/>
      <c r="Q410" s="267"/>
      <c r="R410" s="267"/>
      <c r="S410" s="267"/>
      <c r="T410" s="267"/>
      <c r="U410" s="267"/>
      <c r="V410" s="267"/>
      <c r="W410" s="267"/>
      <c r="X410" s="267"/>
      <c r="Y410" s="267"/>
      <c r="Z410" s="267"/>
      <c r="AA410" s="267"/>
      <c r="AB410" s="267"/>
      <c r="AC410" s="267"/>
      <c r="AD410" s="267"/>
      <c r="AE410" s="267"/>
      <c r="AF410" s="267"/>
      <c r="AG410" s="267"/>
      <c r="AH410" s="267"/>
      <c r="AI410" s="267"/>
      <c r="AJ410" s="267"/>
      <c r="AK410" s="267"/>
      <c r="AL410" s="267"/>
      <c r="AM410" s="267"/>
      <c r="AN410" s="267"/>
      <c r="AO410" s="267"/>
      <c r="AP410" s="267"/>
      <c r="AQ410" s="267"/>
      <c r="AR410" s="267"/>
      <c r="AS410" s="267"/>
      <c r="AT410" s="267"/>
      <c r="AU410" s="285"/>
    </row>
    <row r="411" spans="1:47" ht="60" customHeight="1" x14ac:dyDescent="0.35">
      <c r="A411" s="282" t="s">
        <v>7455</v>
      </c>
      <c r="B411" s="260" t="s">
        <v>7537</v>
      </c>
      <c r="C411" s="261" t="s">
        <v>7538</v>
      </c>
      <c r="D411" s="264" t="s">
        <v>7539</v>
      </c>
      <c r="E411" s="265" t="s">
        <v>6712</v>
      </c>
      <c r="F411" s="268" t="s">
        <v>7462</v>
      </c>
      <c r="G411" s="271" t="str">
        <f>IF(COUNTIF(H411:AU411,"&lt;&gt;")=0,"",SUMPRODUCT(((Recommendations[ImplStatus]="Implemented")+(Recommendations[ImplStatus]="Compensated"))*ISNUMBER(MATCH(Recommendations[Id],H411:AU411,0)))/COUNTIF(H411:AU411,"&lt;&gt;"))</f>
        <v/>
      </c>
      <c r="H411" s="272"/>
      <c r="I411" s="272"/>
      <c r="J411" s="272"/>
      <c r="K411" s="272"/>
      <c r="L411" s="272"/>
      <c r="M411" s="272"/>
      <c r="N411" s="272"/>
      <c r="O411" s="272"/>
      <c r="P411" s="272"/>
      <c r="Q411" s="272"/>
      <c r="R411" s="272"/>
      <c r="S411" s="272"/>
      <c r="T411" s="272"/>
      <c r="U411" s="272"/>
      <c r="V411" s="272"/>
      <c r="W411" s="272"/>
      <c r="X411" s="272"/>
      <c r="Y411" s="272"/>
      <c r="Z411" s="272"/>
      <c r="AA411" s="272"/>
      <c r="AB411" s="272"/>
      <c r="AC411" s="272"/>
      <c r="AD411" s="272"/>
      <c r="AE411" s="272"/>
      <c r="AF411" s="272"/>
      <c r="AG411" s="272"/>
      <c r="AH411" s="272"/>
      <c r="AI411" s="272"/>
      <c r="AJ411" s="272"/>
      <c r="AK411" s="272"/>
      <c r="AL411" s="272"/>
      <c r="AM411" s="272"/>
      <c r="AN411" s="272"/>
      <c r="AO411" s="272"/>
      <c r="AP411" s="272"/>
      <c r="AQ411" s="272"/>
      <c r="AR411" s="272"/>
      <c r="AS411" s="272"/>
      <c r="AT411" s="272"/>
      <c r="AU411" s="286"/>
    </row>
    <row r="412" spans="1:47" ht="60" customHeight="1" x14ac:dyDescent="0.35">
      <c r="A412" s="282" t="s">
        <v>7455</v>
      </c>
      <c r="B412" s="260" t="s">
        <v>7537</v>
      </c>
      <c r="C412" s="261" t="s">
        <v>7540</v>
      </c>
      <c r="D412" s="264" t="s">
        <v>7541</v>
      </c>
      <c r="E412" s="265" t="s">
        <v>6712</v>
      </c>
      <c r="F412" s="268" t="s">
        <v>7462</v>
      </c>
      <c r="G412" s="271" t="str">
        <f>IF(COUNTIF(H412:AU412,"&lt;&gt;")=0,"",SUMPRODUCT(((Recommendations[ImplStatus]="Implemented")+(Recommendations[ImplStatus]="Compensated"))*ISNUMBER(MATCH(Recommendations[Id],H412:AU412,0)))/COUNTIF(H412:AU412,"&lt;&gt;"))</f>
        <v/>
      </c>
      <c r="H412" s="272"/>
      <c r="I412" s="272"/>
      <c r="J412" s="272"/>
      <c r="K412" s="272"/>
      <c r="L412" s="272"/>
      <c r="M412" s="272"/>
      <c r="N412" s="272"/>
      <c r="O412" s="272"/>
      <c r="P412" s="272"/>
      <c r="Q412" s="272"/>
      <c r="R412" s="272"/>
      <c r="S412" s="272"/>
      <c r="T412" s="272"/>
      <c r="U412" s="272"/>
      <c r="V412" s="272"/>
      <c r="W412" s="272"/>
      <c r="X412" s="272"/>
      <c r="Y412" s="272"/>
      <c r="Z412" s="272"/>
      <c r="AA412" s="272"/>
      <c r="AB412" s="272"/>
      <c r="AC412" s="272"/>
      <c r="AD412" s="272"/>
      <c r="AE412" s="272"/>
      <c r="AF412" s="272"/>
      <c r="AG412" s="272"/>
      <c r="AH412" s="272"/>
      <c r="AI412" s="272"/>
      <c r="AJ412" s="272"/>
      <c r="AK412" s="272"/>
      <c r="AL412" s="272"/>
      <c r="AM412" s="272"/>
      <c r="AN412" s="272"/>
      <c r="AO412" s="272"/>
      <c r="AP412" s="272"/>
      <c r="AQ412" s="272"/>
      <c r="AR412" s="272"/>
      <c r="AS412" s="272"/>
      <c r="AT412" s="272"/>
      <c r="AU412" s="286"/>
    </row>
    <row r="413" spans="1:47" ht="60" customHeight="1" x14ac:dyDescent="0.35">
      <c r="A413" s="282" t="s">
        <v>7455</v>
      </c>
      <c r="B413" s="260" t="s">
        <v>7537</v>
      </c>
      <c r="C413" s="261" t="s">
        <v>7542</v>
      </c>
      <c r="D413" s="264" t="s">
        <v>7543</v>
      </c>
      <c r="E413" s="265" t="s">
        <v>6712</v>
      </c>
      <c r="F413" s="268" t="s">
        <v>7462</v>
      </c>
      <c r="G413" s="271" t="str">
        <f>IF(COUNTIF(H413:AU413,"&lt;&gt;")=0,"",SUMPRODUCT(((Recommendations[ImplStatus]="Implemented")+(Recommendations[ImplStatus]="Compensated"))*ISNUMBER(MATCH(Recommendations[Id],H413:AU413,0)))/COUNTIF(H413:AU413,"&lt;&gt;"))</f>
        <v/>
      </c>
      <c r="H413" s="272"/>
      <c r="I413" s="272"/>
      <c r="J413" s="272"/>
      <c r="K413" s="272"/>
      <c r="L413" s="272"/>
      <c r="M413" s="272"/>
      <c r="N413" s="272"/>
      <c r="O413" s="272"/>
      <c r="P413" s="272"/>
      <c r="Q413" s="272"/>
      <c r="R413" s="272"/>
      <c r="S413" s="272"/>
      <c r="T413" s="272"/>
      <c r="U413" s="272"/>
      <c r="V413" s="272"/>
      <c r="W413" s="272"/>
      <c r="X413" s="272"/>
      <c r="Y413" s="272"/>
      <c r="Z413" s="272"/>
      <c r="AA413" s="272"/>
      <c r="AB413" s="272"/>
      <c r="AC413" s="272"/>
      <c r="AD413" s="272"/>
      <c r="AE413" s="272"/>
      <c r="AF413" s="272"/>
      <c r="AG413" s="272"/>
      <c r="AH413" s="272"/>
      <c r="AI413" s="272"/>
      <c r="AJ413" s="272"/>
      <c r="AK413" s="272"/>
      <c r="AL413" s="272"/>
      <c r="AM413" s="272"/>
      <c r="AN413" s="272"/>
      <c r="AO413" s="272"/>
      <c r="AP413" s="272"/>
      <c r="AQ413" s="272"/>
      <c r="AR413" s="272"/>
      <c r="AS413" s="272"/>
      <c r="AT413" s="272"/>
      <c r="AU413" s="286"/>
    </row>
    <row r="414" spans="1:47" ht="60" customHeight="1" x14ac:dyDescent="0.35">
      <c r="A414" s="282" t="s">
        <v>7455</v>
      </c>
      <c r="B414" s="260" t="s">
        <v>7537</v>
      </c>
      <c r="C414" s="261" t="s">
        <v>7544</v>
      </c>
      <c r="D414" s="264" t="s">
        <v>7545</v>
      </c>
      <c r="E414" s="265" t="s">
        <v>6712</v>
      </c>
      <c r="F414" s="268" t="s">
        <v>7462</v>
      </c>
      <c r="G414" s="271" t="str">
        <f>IF(COUNTIF(H414:AU414,"&lt;&gt;")=0,"",SUMPRODUCT(((Recommendations[ImplStatus]="Implemented")+(Recommendations[ImplStatus]="Compensated"))*ISNUMBER(MATCH(Recommendations[Id],H414:AU414,0)))/COUNTIF(H414:AU414,"&lt;&gt;"))</f>
        <v/>
      </c>
      <c r="H414" s="272"/>
      <c r="I414" s="272"/>
      <c r="J414" s="272"/>
      <c r="K414" s="272"/>
      <c r="L414" s="272"/>
      <c r="M414" s="272"/>
      <c r="N414" s="272"/>
      <c r="O414" s="272"/>
      <c r="P414" s="272"/>
      <c r="Q414" s="272"/>
      <c r="R414" s="272"/>
      <c r="S414" s="272"/>
      <c r="T414" s="272"/>
      <c r="U414" s="272"/>
      <c r="V414" s="272"/>
      <c r="W414" s="272"/>
      <c r="X414" s="272"/>
      <c r="Y414" s="272"/>
      <c r="Z414" s="272"/>
      <c r="AA414" s="272"/>
      <c r="AB414" s="272"/>
      <c r="AC414" s="272"/>
      <c r="AD414" s="272"/>
      <c r="AE414" s="272"/>
      <c r="AF414" s="272"/>
      <c r="AG414" s="272"/>
      <c r="AH414" s="272"/>
      <c r="AI414" s="272"/>
      <c r="AJ414" s="272"/>
      <c r="AK414" s="272"/>
      <c r="AL414" s="272"/>
      <c r="AM414" s="272"/>
      <c r="AN414" s="272"/>
      <c r="AO414" s="272"/>
      <c r="AP414" s="272"/>
      <c r="AQ414" s="272"/>
      <c r="AR414" s="272"/>
      <c r="AS414" s="272"/>
      <c r="AT414" s="272"/>
      <c r="AU414" s="286"/>
    </row>
    <row r="415" spans="1:47" ht="60" customHeight="1" x14ac:dyDescent="0.35">
      <c r="A415" s="282" t="s">
        <v>7455</v>
      </c>
      <c r="B415" s="260" t="s">
        <v>7537</v>
      </c>
      <c r="C415" s="261" t="s">
        <v>7546</v>
      </c>
      <c r="D415" s="264" t="s">
        <v>7547</v>
      </c>
      <c r="E415" s="265" t="s">
        <v>6741</v>
      </c>
      <c r="F415" s="268" t="s">
        <v>7462</v>
      </c>
      <c r="G415" s="271" t="str">
        <f>IF(COUNTIF(H415:AU415,"&lt;&gt;")=0,"",SUMPRODUCT(((Recommendations[ImplStatus]="Implemented")+(Recommendations[ImplStatus]="Compensated"))*ISNUMBER(MATCH(Recommendations[Id],H415:AU415,0)))/COUNTIF(H415:AU415,"&lt;&gt;"))</f>
        <v/>
      </c>
      <c r="H415" s="272"/>
      <c r="I415" s="272"/>
      <c r="J415" s="272"/>
      <c r="K415" s="272"/>
      <c r="L415" s="272"/>
      <c r="M415" s="272"/>
      <c r="N415" s="272"/>
      <c r="O415" s="272"/>
      <c r="P415" s="272"/>
      <c r="Q415" s="272"/>
      <c r="R415" s="272"/>
      <c r="S415" s="272"/>
      <c r="T415" s="272"/>
      <c r="U415" s="272"/>
      <c r="V415" s="272"/>
      <c r="W415" s="272"/>
      <c r="X415" s="272"/>
      <c r="Y415" s="272"/>
      <c r="Z415" s="272"/>
      <c r="AA415" s="272"/>
      <c r="AB415" s="272"/>
      <c r="AC415" s="272"/>
      <c r="AD415" s="272"/>
      <c r="AE415" s="272"/>
      <c r="AF415" s="272"/>
      <c r="AG415" s="272"/>
      <c r="AH415" s="272"/>
      <c r="AI415" s="272"/>
      <c r="AJ415" s="272"/>
      <c r="AK415" s="272"/>
      <c r="AL415" s="272"/>
      <c r="AM415" s="272"/>
      <c r="AN415" s="272"/>
      <c r="AO415" s="272"/>
      <c r="AP415" s="272"/>
      <c r="AQ415" s="272"/>
      <c r="AR415" s="272"/>
      <c r="AS415" s="272"/>
      <c r="AT415" s="272"/>
      <c r="AU415" s="286"/>
    </row>
    <row r="416" spans="1:47" ht="60" customHeight="1" x14ac:dyDescent="0.35">
      <c r="A416" s="282" t="s">
        <v>7455</v>
      </c>
      <c r="B416" s="260" t="s">
        <v>7537</v>
      </c>
      <c r="C416" s="261" t="s">
        <v>7548</v>
      </c>
      <c r="D416" s="264" t="s">
        <v>7549</v>
      </c>
      <c r="E416" s="265" t="s">
        <v>6741</v>
      </c>
      <c r="F416" s="268" t="s">
        <v>7550</v>
      </c>
      <c r="G416" s="271" t="str">
        <f>IF(COUNTIF(H416:AU416,"&lt;&gt;")=0,"",SUMPRODUCT(((Recommendations[ImplStatus]="Implemented")+(Recommendations[ImplStatus]="Compensated"))*ISNUMBER(MATCH(Recommendations[Id],H416:AU416,0)))/COUNTIF(H416:AU416,"&lt;&gt;"))</f>
        <v/>
      </c>
      <c r="H416" s="272"/>
      <c r="I416" s="272"/>
      <c r="J416" s="272"/>
      <c r="K416" s="272"/>
      <c r="L416" s="272"/>
      <c r="M416" s="272"/>
      <c r="N416" s="272"/>
      <c r="O416" s="272"/>
      <c r="P416" s="272"/>
      <c r="Q416" s="272"/>
      <c r="R416" s="272"/>
      <c r="S416" s="272"/>
      <c r="T416" s="272"/>
      <c r="U416" s="272"/>
      <c r="V416" s="272"/>
      <c r="W416" s="272"/>
      <c r="X416" s="272"/>
      <c r="Y416" s="272"/>
      <c r="Z416" s="272"/>
      <c r="AA416" s="272"/>
      <c r="AB416" s="272"/>
      <c r="AC416" s="272"/>
      <c r="AD416" s="272"/>
      <c r="AE416" s="272"/>
      <c r="AF416" s="272"/>
      <c r="AG416" s="272"/>
      <c r="AH416" s="272"/>
      <c r="AI416" s="272"/>
      <c r="AJ416" s="272"/>
      <c r="AK416" s="272"/>
      <c r="AL416" s="272"/>
      <c r="AM416" s="272"/>
      <c r="AN416" s="272"/>
      <c r="AO416" s="272"/>
      <c r="AP416" s="272"/>
      <c r="AQ416" s="272"/>
      <c r="AR416" s="272"/>
      <c r="AS416" s="272"/>
      <c r="AT416" s="272"/>
      <c r="AU416" s="286"/>
    </row>
    <row r="417" spans="1:47" ht="60" customHeight="1" x14ac:dyDescent="0.35">
      <c r="A417" s="282" t="s">
        <v>7455</v>
      </c>
      <c r="B417" s="260" t="s">
        <v>7537</v>
      </c>
      <c r="C417" s="261" t="s">
        <v>7551</v>
      </c>
      <c r="D417" s="264" t="s">
        <v>7552</v>
      </c>
      <c r="E417" s="265" t="s">
        <v>6741</v>
      </c>
      <c r="F417" s="268" t="s">
        <v>7550</v>
      </c>
      <c r="G417" s="271" t="str">
        <f>IF(COUNTIF(H417:AU417,"&lt;&gt;")=0,"",SUMPRODUCT(((Recommendations[ImplStatus]="Implemented")+(Recommendations[ImplStatus]="Compensated"))*ISNUMBER(MATCH(Recommendations[Id],H417:AU417,0)))/COUNTIF(H417:AU417,"&lt;&gt;"))</f>
        <v/>
      </c>
      <c r="H417" s="272"/>
      <c r="I417" s="272"/>
      <c r="J417" s="272"/>
      <c r="K417" s="272"/>
      <c r="L417" s="272"/>
      <c r="M417" s="272"/>
      <c r="N417" s="272"/>
      <c r="O417" s="272"/>
      <c r="P417" s="272"/>
      <c r="Q417" s="272"/>
      <c r="R417" s="272"/>
      <c r="S417" s="272"/>
      <c r="T417" s="272"/>
      <c r="U417" s="272"/>
      <c r="V417" s="272"/>
      <c r="W417" s="272"/>
      <c r="X417" s="272"/>
      <c r="Y417" s="272"/>
      <c r="Z417" s="272"/>
      <c r="AA417" s="272"/>
      <c r="AB417" s="272"/>
      <c r="AC417" s="272"/>
      <c r="AD417" s="272"/>
      <c r="AE417" s="272"/>
      <c r="AF417" s="272"/>
      <c r="AG417" s="272"/>
      <c r="AH417" s="272"/>
      <c r="AI417" s="272"/>
      <c r="AJ417" s="272"/>
      <c r="AK417" s="272"/>
      <c r="AL417" s="272"/>
      <c r="AM417" s="272"/>
      <c r="AN417" s="272"/>
      <c r="AO417" s="272"/>
      <c r="AP417" s="272"/>
      <c r="AQ417" s="272"/>
      <c r="AR417" s="272"/>
      <c r="AS417" s="272"/>
      <c r="AT417" s="272"/>
      <c r="AU417" s="286"/>
    </row>
    <row r="418" spans="1:47" ht="60" customHeight="1" x14ac:dyDescent="0.35">
      <c r="A418" s="282" t="s">
        <v>7455</v>
      </c>
      <c r="B418" s="260" t="s">
        <v>7537</v>
      </c>
      <c r="C418" s="261" t="s">
        <v>7553</v>
      </c>
      <c r="D418" s="264" t="s">
        <v>7554</v>
      </c>
      <c r="E418" s="265" t="s">
        <v>6991</v>
      </c>
      <c r="F418" s="268" t="s">
        <v>7550</v>
      </c>
      <c r="G418" s="271" t="str">
        <f>IF(COUNTIF(H418:AU418,"&lt;&gt;")=0,"",SUMPRODUCT(((Recommendations[ImplStatus]="Implemented")+(Recommendations[ImplStatus]="Compensated"))*ISNUMBER(MATCH(Recommendations[Id],H418:AU418,0)))/COUNTIF(H418:AU418,"&lt;&gt;"))</f>
        <v/>
      </c>
      <c r="H418" s="272"/>
      <c r="I418" s="272"/>
      <c r="J418" s="272"/>
      <c r="K418" s="272"/>
      <c r="L418" s="272"/>
      <c r="M418" s="272"/>
      <c r="N418" s="272"/>
      <c r="O418" s="272"/>
      <c r="P418" s="272"/>
      <c r="Q418" s="272"/>
      <c r="R418" s="272"/>
      <c r="S418" s="272"/>
      <c r="T418" s="272"/>
      <c r="U418" s="272"/>
      <c r="V418" s="272"/>
      <c r="W418" s="272"/>
      <c r="X418" s="272"/>
      <c r="Y418" s="272"/>
      <c r="Z418" s="272"/>
      <c r="AA418" s="272"/>
      <c r="AB418" s="272"/>
      <c r="AC418" s="272"/>
      <c r="AD418" s="272"/>
      <c r="AE418" s="272"/>
      <c r="AF418" s="272"/>
      <c r="AG418" s="272"/>
      <c r="AH418" s="272"/>
      <c r="AI418" s="272"/>
      <c r="AJ418" s="272"/>
      <c r="AK418" s="272"/>
      <c r="AL418" s="272"/>
      <c r="AM418" s="272"/>
      <c r="AN418" s="272"/>
      <c r="AO418" s="272"/>
      <c r="AP418" s="272"/>
      <c r="AQ418" s="272"/>
      <c r="AR418" s="272"/>
      <c r="AS418" s="272"/>
      <c r="AT418" s="272"/>
      <c r="AU418" s="286"/>
    </row>
    <row r="419" spans="1:47" ht="60" customHeight="1" x14ac:dyDescent="0.35">
      <c r="A419" s="282" t="s">
        <v>7455</v>
      </c>
      <c r="B419" s="260" t="s">
        <v>7537</v>
      </c>
      <c r="C419" s="261" t="s">
        <v>7555</v>
      </c>
      <c r="D419" s="264" t="s">
        <v>7556</v>
      </c>
      <c r="E419" s="265" t="s">
        <v>6741</v>
      </c>
      <c r="F419" s="268" t="s">
        <v>7550</v>
      </c>
      <c r="G419" s="271" t="str">
        <f>IF(COUNTIF(H419:AU419,"&lt;&gt;")=0,"",SUMPRODUCT(((Recommendations[ImplStatus]="Implemented")+(Recommendations[ImplStatus]="Compensated"))*ISNUMBER(MATCH(Recommendations[Id],H419:AU419,0)))/COUNTIF(H419:AU419,"&lt;&gt;"))</f>
        <v/>
      </c>
      <c r="H419" s="272"/>
      <c r="I419" s="272"/>
      <c r="J419" s="272"/>
      <c r="K419" s="272"/>
      <c r="L419" s="272"/>
      <c r="M419" s="272"/>
      <c r="N419" s="272"/>
      <c r="O419" s="272"/>
      <c r="P419" s="272"/>
      <c r="Q419" s="272"/>
      <c r="R419" s="272"/>
      <c r="S419" s="272"/>
      <c r="T419" s="272"/>
      <c r="U419" s="272"/>
      <c r="V419" s="272"/>
      <c r="W419" s="272"/>
      <c r="X419" s="272"/>
      <c r="Y419" s="272"/>
      <c r="Z419" s="272"/>
      <c r="AA419" s="272"/>
      <c r="AB419" s="272"/>
      <c r="AC419" s="272"/>
      <c r="AD419" s="272"/>
      <c r="AE419" s="272"/>
      <c r="AF419" s="272"/>
      <c r="AG419" s="272"/>
      <c r="AH419" s="272"/>
      <c r="AI419" s="272"/>
      <c r="AJ419" s="272"/>
      <c r="AK419" s="272"/>
      <c r="AL419" s="272"/>
      <c r="AM419" s="272"/>
      <c r="AN419" s="272"/>
      <c r="AO419" s="272"/>
      <c r="AP419" s="272"/>
      <c r="AQ419" s="272"/>
      <c r="AR419" s="272"/>
      <c r="AS419" s="272"/>
      <c r="AT419" s="272"/>
      <c r="AU419" s="286"/>
    </row>
    <row r="420" spans="1:47" ht="60" customHeight="1" x14ac:dyDescent="0.35">
      <c r="A420" s="282" t="s">
        <v>7455</v>
      </c>
      <c r="B420" s="260" t="s">
        <v>7537</v>
      </c>
      <c r="C420" s="261" t="s">
        <v>7557</v>
      </c>
      <c r="D420" s="264" t="s">
        <v>7558</v>
      </c>
      <c r="E420" s="265" t="s">
        <v>6991</v>
      </c>
      <c r="F420" s="268" t="s">
        <v>7550</v>
      </c>
      <c r="G420" s="271" t="str">
        <f>IF(COUNTIF(H420:AU420,"&lt;&gt;")=0,"",SUMPRODUCT(((Recommendations[ImplStatus]="Implemented")+(Recommendations[ImplStatus]="Compensated"))*ISNUMBER(MATCH(Recommendations[Id],H420:AU420,0)))/COUNTIF(H420:AU420,"&lt;&gt;"))</f>
        <v/>
      </c>
      <c r="H420" s="272"/>
      <c r="I420" s="272"/>
      <c r="J420" s="272"/>
      <c r="K420" s="272"/>
      <c r="L420" s="272"/>
      <c r="M420" s="272"/>
      <c r="N420" s="272"/>
      <c r="O420" s="272"/>
      <c r="P420" s="272"/>
      <c r="Q420" s="272"/>
      <c r="R420" s="272"/>
      <c r="S420" s="272"/>
      <c r="T420" s="272"/>
      <c r="U420" s="272"/>
      <c r="V420" s="272"/>
      <c r="W420" s="272"/>
      <c r="X420" s="272"/>
      <c r="Y420" s="272"/>
      <c r="Z420" s="272"/>
      <c r="AA420" s="272"/>
      <c r="AB420" s="272"/>
      <c r="AC420" s="272"/>
      <c r="AD420" s="272"/>
      <c r="AE420" s="272"/>
      <c r="AF420" s="272"/>
      <c r="AG420" s="272"/>
      <c r="AH420" s="272"/>
      <c r="AI420" s="272"/>
      <c r="AJ420" s="272"/>
      <c r="AK420" s="272"/>
      <c r="AL420" s="272"/>
      <c r="AM420" s="272"/>
      <c r="AN420" s="272"/>
      <c r="AO420" s="272"/>
      <c r="AP420" s="272"/>
      <c r="AQ420" s="272"/>
      <c r="AR420" s="272"/>
      <c r="AS420" s="272"/>
      <c r="AT420" s="272"/>
      <c r="AU420" s="286"/>
    </row>
    <row r="421" spans="1:47" ht="60" customHeight="1" x14ac:dyDescent="0.35">
      <c r="A421" s="282" t="s">
        <v>7455</v>
      </c>
      <c r="B421" s="260" t="s">
        <v>7537</v>
      </c>
      <c r="C421" s="261" t="s">
        <v>7559</v>
      </c>
      <c r="D421" s="264" t="s">
        <v>7560</v>
      </c>
      <c r="E421" s="265" t="s">
        <v>6991</v>
      </c>
      <c r="F421" s="268" t="s">
        <v>7550</v>
      </c>
      <c r="G421" s="271" t="str">
        <f>IF(COUNTIF(H421:AU421,"&lt;&gt;")=0,"",SUMPRODUCT(((Recommendations[ImplStatus]="Implemented")+(Recommendations[ImplStatus]="Compensated"))*ISNUMBER(MATCH(Recommendations[Id],H421:AU421,0)))/COUNTIF(H421:AU421,"&lt;&gt;"))</f>
        <v/>
      </c>
      <c r="H421" s="272"/>
      <c r="I421" s="272"/>
      <c r="J421" s="272"/>
      <c r="K421" s="272"/>
      <c r="L421" s="272"/>
      <c r="M421" s="272"/>
      <c r="N421" s="272"/>
      <c r="O421" s="272"/>
      <c r="P421" s="272"/>
      <c r="Q421" s="272"/>
      <c r="R421" s="272"/>
      <c r="S421" s="272"/>
      <c r="T421" s="272"/>
      <c r="U421" s="272"/>
      <c r="V421" s="272"/>
      <c r="W421" s="272"/>
      <c r="X421" s="272"/>
      <c r="Y421" s="272"/>
      <c r="Z421" s="272"/>
      <c r="AA421" s="272"/>
      <c r="AB421" s="272"/>
      <c r="AC421" s="272"/>
      <c r="AD421" s="272"/>
      <c r="AE421" s="272"/>
      <c r="AF421" s="272"/>
      <c r="AG421" s="272"/>
      <c r="AH421" s="272"/>
      <c r="AI421" s="272"/>
      <c r="AJ421" s="272"/>
      <c r="AK421" s="272"/>
      <c r="AL421" s="272"/>
      <c r="AM421" s="272"/>
      <c r="AN421" s="272"/>
      <c r="AO421" s="272"/>
      <c r="AP421" s="272"/>
      <c r="AQ421" s="272"/>
      <c r="AR421" s="272"/>
      <c r="AS421" s="272"/>
      <c r="AT421" s="272"/>
      <c r="AU421" s="286"/>
    </row>
    <row r="422" spans="1:47" ht="60" customHeight="1" x14ac:dyDescent="0.35">
      <c r="A422" s="282" t="s">
        <v>7455</v>
      </c>
      <c r="B422" s="260" t="s">
        <v>7537</v>
      </c>
      <c r="C422" s="261" t="s">
        <v>7561</v>
      </c>
      <c r="D422" s="264" t="s">
        <v>7562</v>
      </c>
      <c r="E422" s="265" t="s">
        <v>6741</v>
      </c>
      <c r="F422" s="268" t="s">
        <v>7550</v>
      </c>
      <c r="G422" s="271" t="str">
        <f>IF(COUNTIF(H422:AU422,"&lt;&gt;")=0,"",SUMPRODUCT(((Recommendations[ImplStatus]="Implemented")+(Recommendations[ImplStatus]="Compensated"))*ISNUMBER(MATCH(Recommendations[Id],H422:AU422,0)))/COUNTIF(H422:AU422,"&lt;&gt;"))</f>
        <v/>
      </c>
      <c r="H422" s="272"/>
      <c r="I422" s="272"/>
      <c r="J422" s="272"/>
      <c r="K422" s="272"/>
      <c r="L422" s="272"/>
      <c r="M422" s="272"/>
      <c r="N422" s="272"/>
      <c r="O422" s="272"/>
      <c r="P422" s="272"/>
      <c r="Q422" s="272"/>
      <c r="R422" s="272"/>
      <c r="S422" s="272"/>
      <c r="T422" s="272"/>
      <c r="U422" s="272"/>
      <c r="V422" s="272"/>
      <c r="W422" s="272"/>
      <c r="X422" s="272"/>
      <c r="Y422" s="272"/>
      <c r="Z422" s="272"/>
      <c r="AA422" s="272"/>
      <c r="AB422" s="272"/>
      <c r="AC422" s="272"/>
      <c r="AD422" s="272"/>
      <c r="AE422" s="272"/>
      <c r="AF422" s="272"/>
      <c r="AG422" s="272"/>
      <c r="AH422" s="272"/>
      <c r="AI422" s="272"/>
      <c r="AJ422" s="272"/>
      <c r="AK422" s="272"/>
      <c r="AL422" s="272"/>
      <c r="AM422" s="272"/>
      <c r="AN422" s="272"/>
      <c r="AO422" s="272"/>
      <c r="AP422" s="272"/>
      <c r="AQ422" s="272"/>
      <c r="AR422" s="272"/>
      <c r="AS422" s="272"/>
      <c r="AT422" s="272"/>
      <c r="AU422" s="286"/>
    </row>
    <row r="423" spans="1:47" ht="60" customHeight="1" x14ac:dyDescent="0.35">
      <c r="A423" s="282" t="s">
        <v>7455</v>
      </c>
      <c r="B423" s="260" t="s">
        <v>7537</v>
      </c>
      <c r="C423" s="261" t="s">
        <v>7563</v>
      </c>
      <c r="D423" s="264" t="s">
        <v>7564</v>
      </c>
      <c r="E423" s="265" t="s">
        <v>6741</v>
      </c>
      <c r="F423" s="268" t="s">
        <v>7550</v>
      </c>
      <c r="G423" s="271" t="str">
        <f>IF(COUNTIF(H423:AU423,"&lt;&gt;")=0,"",SUMPRODUCT(((Recommendations[ImplStatus]="Implemented")+(Recommendations[ImplStatus]="Compensated"))*ISNUMBER(MATCH(Recommendations[Id],H423:AU423,0)))/COUNTIF(H423:AU423,"&lt;&gt;"))</f>
        <v/>
      </c>
      <c r="H423" s="272"/>
      <c r="I423" s="272"/>
      <c r="J423" s="272"/>
      <c r="K423" s="272"/>
      <c r="L423" s="272"/>
      <c r="M423" s="272"/>
      <c r="N423" s="272"/>
      <c r="O423" s="272"/>
      <c r="P423" s="272"/>
      <c r="Q423" s="272"/>
      <c r="R423" s="272"/>
      <c r="S423" s="272"/>
      <c r="T423" s="272"/>
      <c r="U423" s="272"/>
      <c r="V423" s="272"/>
      <c r="W423" s="272"/>
      <c r="X423" s="272"/>
      <c r="Y423" s="272"/>
      <c r="Z423" s="272"/>
      <c r="AA423" s="272"/>
      <c r="AB423" s="272"/>
      <c r="AC423" s="272"/>
      <c r="AD423" s="272"/>
      <c r="AE423" s="272"/>
      <c r="AF423" s="272"/>
      <c r="AG423" s="272"/>
      <c r="AH423" s="272"/>
      <c r="AI423" s="272"/>
      <c r="AJ423" s="272"/>
      <c r="AK423" s="272"/>
      <c r="AL423" s="272"/>
      <c r="AM423" s="272"/>
      <c r="AN423" s="272"/>
      <c r="AO423" s="272"/>
      <c r="AP423" s="272"/>
      <c r="AQ423" s="272"/>
      <c r="AR423" s="272"/>
      <c r="AS423" s="272"/>
      <c r="AT423" s="272"/>
      <c r="AU423" s="286"/>
    </row>
    <row r="424" spans="1:47" ht="60" customHeight="1" outlineLevel="1" x14ac:dyDescent="0.35">
      <c r="A424" s="280" t="s">
        <v>7565</v>
      </c>
      <c r="B424" s="258"/>
      <c r="C424" s="258"/>
      <c r="D424" s="262"/>
      <c r="E424" s="258"/>
      <c r="F424" s="266"/>
      <c r="G424" s="269" t="str">
        <f>IF(COUNTIF(H424:AU424,"&lt;&gt;")=0,"",SUMPRODUCT(((Recommendations[ImplStatus]="Implemented")+(Recommendations[ImplStatus]="Compensated"))*ISNUMBER(MATCH(Recommendations[Id],H424:AU424,0)))/COUNTIF(H424:AU424,"&lt;&gt;"))</f>
        <v/>
      </c>
      <c r="H424" s="266"/>
      <c r="I424" s="266"/>
      <c r="J424" s="266"/>
      <c r="K424" s="266"/>
      <c r="L424" s="266"/>
      <c r="M424" s="266"/>
      <c r="N424" s="266"/>
      <c r="O424" s="266"/>
      <c r="P424" s="266"/>
      <c r="Q424" s="266"/>
      <c r="R424" s="266"/>
      <c r="S424" s="266"/>
      <c r="T424" s="266"/>
      <c r="U424" s="266"/>
      <c r="V424" s="266"/>
      <c r="W424" s="266"/>
      <c r="X424" s="266"/>
      <c r="Y424" s="266"/>
      <c r="Z424" s="266"/>
      <c r="AA424" s="266"/>
      <c r="AB424" s="266"/>
      <c r="AC424" s="266"/>
      <c r="AD424" s="266"/>
      <c r="AE424" s="266"/>
      <c r="AF424" s="266"/>
      <c r="AG424" s="266"/>
      <c r="AH424" s="266"/>
      <c r="AI424" s="266"/>
      <c r="AJ424" s="266"/>
      <c r="AK424" s="266"/>
      <c r="AL424" s="266"/>
      <c r="AM424" s="266"/>
      <c r="AN424" s="266"/>
      <c r="AO424" s="266"/>
      <c r="AP424" s="266"/>
      <c r="AQ424" s="266"/>
      <c r="AR424" s="266"/>
      <c r="AS424" s="266"/>
      <c r="AT424" s="266"/>
      <c r="AU424" s="284"/>
    </row>
    <row r="425" spans="1:47" ht="60" customHeight="1" outlineLevel="2" x14ac:dyDescent="0.35">
      <c r="A425" s="281" t="s">
        <v>7565</v>
      </c>
      <c r="B425" s="259" t="s">
        <v>7566</v>
      </c>
      <c r="C425" s="259"/>
      <c r="D425" s="263"/>
      <c r="E425" s="259"/>
      <c r="F425" s="267"/>
      <c r="G425" s="270" t="str">
        <f>IF(COUNTIF(H425:AU425,"&lt;&gt;")=0,"",SUMPRODUCT(((Recommendations[ImplStatus]="Implemented")+(Recommendations[ImplStatus]="Compensated"))*ISNUMBER(MATCH(Recommendations[Id],H425:AU425,0)))/COUNTIF(H425:AU425,"&lt;&gt;"))</f>
        <v/>
      </c>
      <c r="H425" s="267"/>
      <c r="I425" s="267"/>
      <c r="J425" s="267"/>
      <c r="K425" s="267"/>
      <c r="L425" s="267"/>
      <c r="M425" s="267"/>
      <c r="N425" s="267"/>
      <c r="O425" s="267"/>
      <c r="P425" s="267"/>
      <c r="Q425" s="267"/>
      <c r="R425" s="267"/>
      <c r="S425" s="267"/>
      <c r="T425" s="267"/>
      <c r="U425" s="267"/>
      <c r="V425" s="267"/>
      <c r="W425" s="267"/>
      <c r="X425" s="267"/>
      <c r="Y425" s="267"/>
      <c r="Z425" s="267"/>
      <c r="AA425" s="267"/>
      <c r="AB425" s="267"/>
      <c r="AC425" s="267"/>
      <c r="AD425" s="267"/>
      <c r="AE425" s="267"/>
      <c r="AF425" s="267"/>
      <c r="AG425" s="267"/>
      <c r="AH425" s="267"/>
      <c r="AI425" s="267"/>
      <c r="AJ425" s="267"/>
      <c r="AK425" s="267"/>
      <c r="AL425" s="267"/>
      <c r="AM425" s="267"/>
      <c r="AN425" s="267"/>
      <c r="AO425" s="267"/>
      <c r="AP425" s="267"/>
      <c r="AQ425" s="267"/>
      <c r="AR425" s="267"/>
      <c r="AS425" s="267"/>
      <c r="AT425" s="267"/>
      <c r="AU425" s="285"/>
    </row>
    <row r="426" spans="1:47" ht="60" customHeight="1" x14ac:dyDescent="0.35">
      <c r="A426" s="282" t="s">
        <v>7565</v>
      </c>
      <c r="B426" s="260" t="s">
        <v>7566</v>
      </c>
      <c r="C426" s="261" t="s">
        <v>7567</v>
      </c>
      <c r="D426" s="264" t="s">
        <v>7568</v>
      </c>
      <c r="E426" s="265" t="s">
        <v>6712</v>
      </c>
      <c r="F426" s="268" t="s">
        <v>7529</v>
      </c>
      <c r="G426" s="271" t="str">
        <f>IF(COUNTIF(H426:AU426,"&lt;&gt;")=0,"",SUMPRODUCT(((Recommendations[ImplStatus]="Implemented")+(Recommendations[ImplStatus]="Compensated"))*ISNUMBER(MATCH(Recommendations[Id],H426:AU426,0)))/COUNTIF(H426:AU426,"&lt;&gt;"))</f>
        <v/>
      </c>
      <c r="H426" s="272"/>
      <c r="I426" s="272"/>
      <c r="J426" s="272"/>
      <c r="K426" s="272"/>
      <c r="L426" s="272"/>
      <c r="M426" s="272"/>
      <c r="N426" s="272"/>
      <c r="O426" s="272"/>
      <c r="P426" s="272"/>
      <c r="Q426" s="272"/>
      <c r="R426" s="272"/>
      <c r="S426" s="272"/>
      <c r="T426" s="272"/>
      <c r="U426" s="272"/>
      <c r="V426" s="272"/>
      <c r="W426" s="272"/>
      <c r="X426" s="272"/>
      <c r="Y426" s="272"/>
      <c r="Z426" s="272"/>
      <c r="AA426" s="272"/>
      <c r="AB426" s="272"/>
      <c r="AC426" s="272"/>
      <c r="AD426" s="272"/>
      <c r="AE426" s="272"/>
      <c r="AF426" s="272"/>
      <c r="AG426" s="272"/>
      <c r="AH426" s="272"/>
      <c r="AI426" s="272"/>
      <c r="AJ426" s="272"/>
      <c r="AK426" s="272"/>
      <c r="AL426" s="272"/>
      <c r="AM426" s="272"/>
      <c r="AN426" s="272"/>
      <c r="AO426" s="272"/>
      <c r="AP426" s="272"/>
      <c r="AQ426" s="272"/>
      <c r="AR426" s="272"/>
      <c r="AS426" s="272"/>
      <c r="AT426" s="272"/>
      <c r="AU426" s="286"/>
    </row>
    <row r="427" spans="1:47" ht="60" customHeight="1" x14ac:dyDescent="0.35">
      <c r="A427" s="282" t="s">
        <v>7565</v>
      </c>
      <c r="B427" s="260" t="s">
        <v>7566</v>
      </c>
      <c r="C427" s="261" t="s">
        <v>7569</v>
      </c>
      <c r="D427" s="264" t="s">
        <v>7570</v>
      </c>
      <c r="E427" s="265" t="s">
        <v>6712</v>
      </c>
      <c r="F427" s="268" t="s">
        <v>7529</v>
      </c>
      <c r="G427" s="271" t="str">
        <f>IF(COUNTIF(H427:AU427,"&lt;&gt;")=0,"",SUMPRODUCT(((Recommendations[ImplStatus]="Implemented")+(Recommendations[ImplStatus]="Compensated"))*ISNUMBER(MATCH(Recommendations[Id],H427:AU427,0)))/COUNTIF(H427:AU427,"&lt;&gt;"))</f>
        <v/>
      </c>
      <c r="H427" s="272"/>
      <c r="I427" s="272"/>
      <c r="J427" s="272"/>
      <c r="K427" s="272"/>
      <c r="L427" s="272"/>
      <c r="M427" s="272"/>
      <c r="N427" s="272"/>
      <c r="O427" s="272"/>
      <c r="P427" s="272"/>
      <c r="Q427" s="272"/>
      <c r="R427" s="272"/>
      <c r="S427" s="272"/>
      <c r="T427" s="272"/>
      <c r="U427" s="272"/>
      <c r="V427" s="272"/>
      <c r="W427" s="272"/>
      <c r="X427" s="272"/>
      <c r="Y427" s="272"/>
      <c r="Z427" s="272"/>
      <c r="AA427" s="272"/>
      <c r="AB427" s="272"/>
      <c r="AC427" s="272"/>
      <c r="AD427" s="272"/>
      <c r="AE427" s="272"/>
      <c r="AF427" s="272"/>
      <c r="AG427" s="272"/>
      <c r="AH427" s="272"/>
      <c r="AI427" s="272"/>
      <c r="AJ427" s="272"/>
      <c r="AK427" s="272"/>
      <c r="AL427" s="272"/>
      <c r="AM427" s="272"/>
      <c r="AN427" s="272"/>
      <c r="AO427" s="272"/>
      <c r="AP427" s="272"/>
      <c r="AQ427" s="272"/>
      <c r="AR427" s="272"/>
      <c r="AS427" s="272"/>
      <c r="AT427" s="272"/>
      <c r="AU427" s="286"/>
    </row>
    <row r="428" spans="1:47" ht="60" customHeight="1" x14ac:dyDescent="0.35">
      <c r="A428" s="282" t="s">
        <v>7565</v>
      </c>
      <c r="B428" s="260" t="s">
        <v>7566</v>
      </c>
      <c r="C428" s="261" t="s">
        <v>7571</v>
      </c>
      <c r="D428" s="264" t="s">
        <v>7572</v>
      </c>
      <c r="E428" s="265" t="s">
        <v>6991</v>
      </c>
      <c r="F428" s="268" t="s">
        <v>7529</v>
      </c>
      <c r="G428" s="271" t="str">
        <f>IF(COUNTIF(H428:AU428,"&lt;&gt;")=0,"",SUMPRODUCT(((Recommendations[ImplStatus]="Implemented")+(Recommendations[ImplStatus]="Compensated"))*ISNUMBER(MATCH(Recommendations[Id],H428:AU428,0)))/COUNTIF(H428:AU428,"&lt;&gt;"))</f>
        <v/>
      </c>
      <c r="H428" s="272"/>
      <c r="I428" s="272"/>
      <c r="J428" s="272"/>
      <c r="K428" s="272"/>
      <c r="L428" s="272"/>
      <c r="M428" s="272"/>
      <c r="N428" s="272"/>
      <c r="O428" s="272"/>
      <c r="P428" s="272"/>
      <c r="Q428" s="272"/>
      <c r="R428" s="272"/>
      <c r="S428" s="272"/>
      <c r="T428" s="272"/>
      <c r="U428" s="272"/>
      <c r="V428" s="272"/>
      <c r="W428" s="272"/>
      <c r="X428" s="272"/>
      <c r="Y428" s="272"/>
      <c r="Z428" s="272"/>
      <c r="AA428" s="272"/>
      <c r="AB428" s="272"/>
      <c r="AC428" s="272"/>
      <c r="AD428" s="272"/>
      <c r="AE428" s="272"/>
      <c r="AF428" s="272"/>
      <c r="AG428" s="272"/>
      <c r="AH428" s="272"/>
      <c r="AI428" s="272"/>
      <c r="AJ428" s="272"/>
      <c r="AK428" s="272"/>
      <c r="AL428" s="272"/>
      <c r="AM428" s="272"/>
      <c r="AN428" s="272"/>
      <c r="AO428" s="272"/>
      <c r="AP428" s="272"/>
      <c r="AQ428" s="272"/>
      <c r="AR428" s="272"/>
      <c r="AS428" s="272"/>
      <c r="AT428" s="272"/>
      <c r="AU428" s="286"/>
    </row>
    <row r="429" spans="1:47" ht="60" customHeight="1" x14ac:dyDescent="0.35">
      <c r="A429" s="282" t="s">
        <v>7565</v>
      </c>
      <c r="B429" s="260" t="s">
        <v>7566</v>
      </c>
      <c r="C429" s="261" t="s">
        <v>7573</v>
      </c>
      <c r="D429" s="264" t="s">
        <v>7574</v>
      </c>
      <c r="E429" s="265" t="s">
        <v>6741</v>
      </c>
      <c r="F429" s="268" t="s">
        <v>7529</v>
      </c>
      <c r="G429" s="271" t="str">
        <f>IF(COUNTIF(H429:AU429,"&lt;&gt;")=0,"",SUMPRODUCT(((Recommendations[ImplStatus]="Implemented")+(Recommendations[ImplStatus]="Compensated"))*ISNUMBER(MATCH(Recommendations[Id],H429:AU429,0)))/COUNTIF(H429:AU429,"&lt;&gt;"))</f>
        <v/>
      </c>
      <c r="H429" s="272"/>
      <c r="I429" s="272"/>
      <c r="J429" s="272"/>
      <c r="K429" s="272"/>
      <c r="L429" s="272"/>
      <c r="M429" s="272"/>
      <c r="N429" s="272"/>
      <c r="O429" s="272"/>
      <c r="P429" s="272"/>
      <c r="Q429" s="272"/>
      <c r="R429" s="272"/>
      <c r="S429" s="272"/>
      <c r="T429" s="272"/>
      <c r="U429" s="272"/>
      <c r="V429" s="272"/>
      <c r="W429" s="272"/>
      <c r="X429" s="272"/>
      <c r="Y429" s="272"/>
      <c r="Z429" s="272"/>
      <c r="AA429" s="272"/>
      <c r="AB429" s="272"/>
      <c r="AC429" s="272"/>
      <c r="AD429" s="272"/>
      <c r="AE429" s="272"/>
      <c r="AF429" s="272"/>
      <c r="AG429" s="272"/>
      <c r="AH429" s="272"/>
      <c r="AI429" s="272"/>
      <c r="AJ429" s="272"/>
      <c r="AK429" s="272"/>
      <c r="AL429" s="272"/>
      <c r="AM429" s="272"/>
      <c r="AN429" s="272"/>
      <c r="AO429" s="272"/>
      <c r="AP429" s="272"/>
      <c r="AQ429" s="272"/>
      <c r="AR429" s="272"/>
      <c r="AS429" s="272"/>
      <c r="AT429" s="272"/>
      <c r="AU429" s="286"/>
    </row>
    <row r="430" spans="1:47" ht="60" customHeight="1" x14ac:dyDescent="0.35">
      <c r="A430" s="282" t="s">
        <v>7565</v>
      </c>
      <c r="B430" s="260" t="s">
        <v>7566</v>
      </c>
      <c r="C430" s="261" t="s">
        <v>7575</v>
      </c>
      <c r="D430" s="264" t="s">
        <v>7576</v>
      </c>
      <c r="E430" s="265" t="s">
        <v>6741</v>
      </c>
      <c r="F430" s="268" t="s">
        <v>7529</v>
      </c>
      <c r="G430" s="271" t="str">
        <f>IF(COUNTIF(H430:AU430,"&lt;&gt;")=0,"",SUMPRODUCT(((Recommendations[ImplStatus]="Implemented")+(Recommendations[ImplStatus]="Compensated"))*ISNUMBER(MATCH(Recommendations[Id],H430:AU430,0)))/COUNTIF(H430:AU430,"&lt;&gt;"))</f>
        <v/>
      </c>
      <c r="H430" s="272"/>
      <c r="I430" s="272"/>
      <c r="J430" s="272"/>
      <c r="K430" s="272"/>
      <c r="L430" s="272"/>
      <c r="M430" s="272"/>
      <c r="N430" s="272"/>
      <c r="O430" s="272"/>
      <c r="P430" s="272"/>
      <c r="Q430" s="272"/>
      <c r="R430" s="272"/>
      <c r="S430" s="272"/>
      <c r="T430" s="272"/>
      <c r="U430" s="272"/>
      <c r="V430" s="272"/>
      <c r="W430" s="272"/>
      <c r="X430" s="272"/>
      <c r="Y430" s="272"/>
      <c r="Z430" s="272"/>
      <c r="AA430" s="272"/>
      <c r="AB430" s="272"/>
      <c r="AC430" s="272"/>
      <c r="AD430" s="272"/>
      <c r="AE430" s="272"/>
      <c r="AF430" s="272"/>
      <c r="AG430" s="272"/>
      <c r="AH430" s="272"/>
      <c r="AI430" s="272"/>
      <c r="AJ430" s="272"/>
      <c r="AK430" s="272"/>
      <c r="AL430" s="272"/>
      <c r="AM430" s="272"/>
      <c r="AN430" s="272"/>
      <c r="AO430" s="272"/>
      <c r="AP430" s="272"/>
      <c r="AQ430" s="272"/>
      <c r="AR430" s="272"/>
      <c r="AS430" s="272"/>
      <c r="AT430" s="272"/>
      <c r="AU430" s="286"/>
    </row>
    <row r="431" spans="1:47" ht="60" customHeight="1" x14ac:dyDescent="0.35">
      <c r="A431" s="282" t="s">
        <v>7565</v>
      </c>
      <c r="B431" s="260" t="s">
        <v>7566</v>
      </c>
      <c r="C431" s="261" t="s">
        <v>7577</v>
      </c>
      <c r="D431" s="264" t="s">
        <v>7578</v>
      </c>
      <c r="E431" s="265" t="s">
        <v>6991</v>
      </c>
      <c r="F431" s="268" t="s">
        <v>7529</v>
      </c>
      <c r="G431" s="271" t="str">
        <f>IF(COUNTIF(H431:AU431,"&lt;&gt;")=0,"",SUMPRODUCT(((Recommendations[ImplStatus]="Implemented")+(Recommendations[ImplStatus]="Compensated"))*ISNUMBER(MATCH(Recommendations[Id],H431:AU431,0)))/COUNTIF(H431:AU431,"&lt;&gt;"))</f>
        <v/>
      </c>
      <c r="H431" s="272"/>
      <c r="I431" s="272"/>
      <c r="J431" s="272"/>
      <c r="K431" s="272"/>
      <c r="L431" s="272"/>
      <c r="M431" s="272"/>
      <c r="N431" s="272"/>
      <c r="O431" s="272"/>
      <c r="P431" s="272"/>
      <c r="Q431" s="272"/>
      <c r="R431" s="272"/>
      <c r="S431" s="272"/>
      <c r="T431" s="272"/>
      <c r="U431" s="272"/>
      <c r="V431" s="272"/>
      <c r="W431" s="272"/>
      <c r="X431" s="272"/>
      <c r="Y431" s="272"/>
      <c r="Z431" s="272"/>
      <c r="AA431" s="272"/>
      <c r="AB431" s="272"/>
      <c r="AC431" s="272"/>
      <c r="AD431" s="272"/>
      <c r="AE431" s="272"/>
      <c r="AF431" s="272"/>
      <c r="AG431" s="272"/>
      <c r="AH431" s="272"/>
      <c r="AI431" s="272"/>
      <c r="AJ431" s="272"/>
      <c r="AK431" s="272"/>
      <c r="AL431" s="272"/>
      <c r="AM431" s="272"/>
      <c r="AN431" s="272"/>
      <c r="AO431" s="272"/>
      <c r="AP431" s="272"/>
      <c r="AQ431" s="272"/>
      <c r="AR431" s="272"/>
      <c r="AS431" s="272"/>
      <c r="AT431" s="272"/>
      <c r="AU431" s="286"/>
    </row>
    <row r="432" spans="1:47" ht="60" customHeight="1" x14ac:dyDescent="0.35">
      <c r="A432" s="282" t="s">
        <v>7565</v>
      </c>
      <c r="B432" s="260" t="s">
        <v>7566</v>
      </c>
      <c r="C432" s="261" t="s">
        <v>7579</v>
      </c>
      <c r="D432" s="264" t="s">
        <v>7580</v>
      </c>
      <c r="E432" s="265" t="s">
        <v>6991</v>
      </c>
      <c r="F432" s="268" t="s">
        <v>7529</v>
      </c>
      <c r="G432" s="271" t="str">
        <f>IF(COUNTIF(H432:AU432,"&lt;&gt;")=0,"",SUMPRODUCT(((Recommendations[ImplStatus]="Implemented")+(Recommendations[ImplStatus]="Compensated"))*ISNUMBER(MATCH(Recommendations[Id],H432:AU432,0)))/COUNTIF(H432:AU432,"&lt;&gt;"))</f>
        <v/>
      </c>
      <c r="H432" s="272"/>
      <c r="I432" s="272"/>
      <c r="J432" s="272"/>
      <c r="K432" s="272"/>
      <c r="L432" s="272"/>
      <c r="M432" s="272"/>
      <c r="N432" s="272"/>
      <c r="O432" s="272"/>
      <c r="P432" s="272"/>
      <c r="Q432" s="272"/>
      <c r="R432" s="272"/>
      <c r="S432" s="272"/>
      <c r="T432" s="272"/>
      <c r="U432" s="272"/>
      <c r="V432" s="272"/>
      <c r="W432" s="272"/>
      <c r="X432" s="272"/>
      <c r="Y432" s="272"/>
      <c r="Z432" s="272"/>
      <c r="AA432" s="272"/>
      <c r="AB432" s="272"/>
      <c r="AC432" s="272"/>
      <c r="AD432" s="272"/>
      <c r="AE432" s="272"/>
      <c r="AF432" s="272"/>
      <c r="AG432" s="272"/>
      <c r="AH432" s="272"/>
      <c r="AI432" s="272"/>
      <c r="AJ432" s="272"/>
      <c r="AK432" s="272"/>
      <c r="AL432" s="272"/>
      <c r="AM432" s="272"/>
      <c r="AN432" s="272"/>
      <c r="AO432" s="272"/>
      <c r="AP432" s="272"/>
      <c r="AQ432" s="272"/>
      <c r="AR432" s="272"/>
      <c r="AS432" s="272"/>
      <c r="AT432" s="272"/>
      <c r="AU432" s="286"/>
    </row>
    <row r="433" spans="1:47" ht="60" customHeight="1" x14ac:dyDescent="0.35">
      <c r="A433" s="282" t="s">
        <v>7565</v>
      </c>
      <c r="B433" s="260" t="s">
        <v>7566</v>
      </c>
      <c r="C433" s="261" t="s">
        <v>7581</v>
      </c>
      <c r="D433" s="264" t="s">
        <v>7582</v>
      </c>
      <c r="E433" s="265" t="s">
        <v>6808</v>
      </c>
      <c r="F433" s="268" t="s">
        <v>7529</v>
      </c>
      <c r="G433" s="271" t="str">
        <f>IF(COUNTIF(H433:AU433,"&lt;&gt;")=0,"",SUMPRODUCT(((Recommendations[ImplStatus]="Implemented")+(Recommendations[ImplStatus]="Compensated"))*ISNUMBER(MATCH(Recommendations[Id],H433:AU433,0)))/COUNTIF(H433:AU433,"&lt;&gt;"))</f>
        <v/>
      </c>
      <c r="H433" s="272"/>
      <c r="I433" s="272"/>
      <c r="J433" s="272"/>
      <c r="K433" s="272"/>
      <c r="L433" s="272"/>
      <c r="M433" s="272"/>
      <c r="N433" s="272"/>
      <c r="O433" s="272"/>
      <c r="P433" s="272"/>
      <c r="Q433" s="272"/>
      <c r="R433" s="272"/>
      <c r="S433" s="272"/>
      <c r="T433" s="272"/>
      <c r="U433" s="272"/>
      <c r="V433" s="272"/>
      <c r="W433" s="272"/>
      <c r="X433" s="272"/>
      <c r="Y433" s="272"/>
      <c r="Z433" s="272"/>
      <c r="AA433" s="272"/>
      <c r="AB433" s="272"/>
      <c r="AC433" s="272"/>
      <c r="AD433" s="272"/>
      <c r="AE433" s="272"/>
      <c r="AF433" s="272"/>
      <c r="AG433" s="272"/>
      <c r="AH433" s="272"/>
      <c r="AI433" s="272"/>
      <c r="AJ433" s="272"/>
      <c r="AK433" s="272"/>
      <c r="AL433" s="272"/>
      <c r="AM433" s="272"/>
      <c r="AN433" s="272"/>
      <c r="AO433" s="272"/>
      <c r="AP433" s="272"/>
      <c r="AQ433" s="272"/>
      <c r="AR433" s="272"/>
      <c r="AS433" s="272"/>
      <c r="AT433" s="272"/>
      <c r="AU433" s="286"/>
    </row>
    <row r="434" spans="1:47" ht="60" customHeight="1" x14ac:dyDescent="0.35">
      <c r="A434" s="282" t="s">
        <v>7565</v>
      </c>
      <c r="B434" s="260" t="s">
        <v>7566</v>
      </c>
      <c r="C434" s="261" t="s">
        <v>7583</v>
      </c>
      <c r="D434" s="264" t="s">
        <v>7584</v>
      </c>
      <c r="E434" s="265" t="s">
        <v>6808</v>
      </c>
      <c r="F434" s="268" t="s">
        <v>7529</v>
      </c>
      <c r="G434" s="271" t="str">
        <f>IF(COUNTIF(H434:AU434,"&lt;&gt;")=0,"",SUMPRODUCT(((Recommendations[ImplStatus]="Implemented")+(Recommendations[ImplStatus]="Compensated"))*ISNUMBER(MATCH(Recommendations[Id],H434:AU434,0)))/COUNTIF(H434:AU434,"&lt;&gt;"))</f>
        <v/>
      </c>
      <c r="H434" s="272"/>
      <c r="I434" s="272"/>
      <c r="J434" s="272"/>
      <c r="K434" s="272"/>
      <c r="L434" s="272"/>
      <c r="M434" s="272"/>
      <c r="N434" s="272"/>
      <c r="O434" s="272"/>
      <c r="P434" s="272"/>
      <c r="Q434" s="272"/>
      <c r="R434" s="272"/>
      <c r="S434" s="272"/>
      <c r="T434" s="272"/>
      <c r="U434" s="272"/>
      <c r="V434" s="272"/>
      <c r="W434" s="272"/>
      <c r="X434" s="272"/>
      <c r="Y434" s="272"/>
      <c r="Z434" s="272"/>
      <c r="AA434" s="272"/>
      <c r="AB434" s="272"/>
      <c r="AC434" s="272"/>
      <c r="AD434" s="272"/>
      <c r="AE434" s="272"/>
      <c r="AF434" s="272"/>
      <c r="AG434" s="272"/>
      <c r="AH434" s="272"/>
      <c r="AI434" s="272"/>
      <c r="AJ434" s="272"/>
      <c r="AK434" s="272"/>
      <c r="AL434" s="272"/>
      <c r="AM434" s="272"/>
      <c r="AN434" s="272"/>
      <c r="AO434" s="272"/>
      <c r="AP434" s="272"/>
      <c r="AQ434" s="272"/>
      <c r="AR434" s="272"/>
      <c r="AS434" s="272"/>
      <c r="AT434" s="272"/>
      <c r="AU434" s="286"/>
    </row>
    <row r="435" spans="1:47" ht="60" customHeight="1" x14ac:dyDescent="0.35">
      <c r="A435" s="282" t="s">
        <v>7565</v>
      </c>
      <c r="B435" s="260" t="s">
        <v>7566</v>
      </c>
      <c r="C435" s="261" t="s">
        <v>7585</v>
      </c>
      <c r="D435" s="264" t="s">
        <v>7586</v>
      </c>
      <c r="E435" s="265" t="s">
        <v>6741</v>
      </c>
      <c r="F435" s="268" t="s">
        <v>7529</v>
      </c>
      <c r="G435" s="271" t="str">
        <f>IF(COUNTIF(H435:AU435,"&lt;&gt;")=0,"",SUMPRODUCT(((Recommendations[ImplStatus]="Implemented")+(Recommendations[ImplStatus]="Compensated"))*ISNUMBER(MATCH(Recommendations[Id],H435:AU435,0)))/COUNTIF(H435:AU435,"&lt;&gt;"))</f>
        <v/>
      </c>
      <c r="H435" s="272"/>
      <c r="I435" s="272"/>
      <c r="J435" s="272"/>
      <c r="K435" s="272"/>
      <c r="L435" s="272"/>
      <c r="M435" s="272"/>
      <c r="N435" s="272"/>
      <c r="O435" s="272"/>
      <c r="P435" s="272"/>
      <c r="Q435" s="272"/>
      <c r="R435" s="272"/>
      <c r="S435" s="272"/>
      <c r="T435" s="272"/>
      <c r="U435" s="272"/>
      <c r="V435" s="272"/>
      <c r="W435" s="272"/>
      <c r="X435" s="272"/>
      <c r="Y435" s="272"/>
      <c r="Z435" s="272"/>
      <c r="AA435" s="272"/>
      <c r="AB435" s="272"/>
      <c r="AC435" s="272"/>
      <c r="AD435" s="272"/>
      <c r="AE435" s="272"/>
      <c r="AF435" s="272"/>
      <c r="AG435" s="272"/>
      <c r="AH435" s="272"/>
      <c r="AI435" s="272"/>
      <c r="AJ435" s="272"/>
      <c r="AK435" s="272"/>
      <c r="AL435" s="272"/>
      <c r="AM435" s="272"/>
      <c r="AN435" s="272"/>
      <c r="AO435" s="272"/>
      <c r="AP435" s="272"/>
      <c r="AQ435" s="272"/>
      <c r="AR435" s="272"/>
      <c r="AS435" s="272"/>
      <c r="AT435" s="272"/>
      <c r="AU435" s="286"/>
    </row>
    <row r="436" spans="1:47" ht="60" customHeight="1" x14ac:dyDescent="0.35">
      <c r="A436" s="282" t="s">
        <v>7565</v>
      </c>
      <c r="B436" s="260" t="s">
        <v>7566</v>
      </c>
      <c r="C436" s="261" t="s">
        <v>7587</v>
      </c>
      <c r="D436" s="264" t="s">
        <v>7588</v>
      </c>
      <c r="E436" s="265" t="s">
        <v>6808</v>
      </c>
      <c r="F436" s="268" t="s">
        <v>7529</v>
      </c>
      <c r="G436" s="271" t="str">
        <f>IF(COUNTIF(H436:AU436,"&lt;&gt;")=0,"",SUMPRODUCT(((Recommendations[ImplStatus]="Implemented")+(Recommendations[ImplStatus]="Compensated"))*ISNUMBER(MATCH(Recommendations[Id],H436:AU436,0)))/COUNTIF(H436:AU436,"&lt;&gt;"))</f>
        <v/>
      </c>
      <c r="H436" s="272"/>
      <c r="I436" s="272"/>
      <c r="J436" s="272"/>
      <c r="K436" s="272"/>
      <c r="L436" s="272"/>
      <c r="M436" s="272"/>
      <c r="N436" s="272"/>
      <c r="O436" s="272"/>
      <c r="P436" s="272"/>
      <c r="Q436" s="272"/>
      <c r="R436" s="272"/>
      <c r="S436" s="272"/>
      <c r="T436" s="272"/>
      <c r="U436" s="272"/>
      <c r="V436" s="272"/>
      <c r="W436" s="272"/>
      <c r="X436" s="272"/>
      <c r="Y436" s="272"/>
      <c r="Z436" s="272"/>
      <c r="AA436" s="272"/>
      <c r="AB436" s="272"/>
      <c r="AC436" s="272"/>
      <c r="AD436" s="272"/>
      <c r="AE436" s="272"/>
      <c r="AF436" s="272"/>
      <c r="AG436" s="272"/>
      <c r="AH436" s="272"/>
      <c r="AI436" s="272"/>
      <c r="AJ436" s="272"/>
      <c r="AK436" s="272"/>
      <c r="AL436" s="272"/>
      <c r="AM436" s="272"/>
      <c r="AN436" s="272"/>
      <c r="AO436" s="272"/>
      <c r="AP436" s="272"/>
      <c r="AQ436" s="272"/>
      <c r="AR436" s="272"/>
      <c r="AS436" s="272"/>
      <c r="AT436" s="272"/>
      <c r="AU436" s="286"/>
    </row>
    <row r="437" spans="1:47" ht="60" customHeight="1" x14ac:dyDescent="0.35">
      <c r="A437" s="282" t="s">
        <v>7565</v>
      </c>
      <c r="B437" s="260" t="s">
        <v>7566</v>
      </c>
      <c r="C437" s="261" t="s">
        <v>7589</v>
      </c>
      <c r="D437" s="264" t="s">
        <v>7590</v>
      </c>
      <c r="E437" s="265" t="s">
        <v>6741</v>
      </c>
      <c r="F437" s="268" t="s">
        <v>7529</v>
      </c>
      <c r="G437" s="271" t="str">
        <f>IF(COUNTIF(H437:AU437,"&lt;&gt;")=0,"",SUMPRODUCT(((Recommendations[ImplStatus]="Implemented")+(Recommendations[ImplStatus]="Compensated"))*ISNUMBER(MATCH(Recommendations[Id],H437:AU437,0)))/COUNTIF(H437:AU437,"&lt;&gt;"))</f>
        <v/>
      </c>
      <c r="H437" s="272"/>
      <c r="I437" s="272"/>
      <c r="J437" s="272"/>
      <c r="K437" s="272"/>
      <c r="L437" s="272"/>
      <c r="M437" s="272"/>
      <c r="N437" s="272"/>
      <c r="O437" s="272"/>
      <c r="P437" s="272"/>
      <c r="Q437" s="272"/>
      <c r="R437" s="272"/>
      <c r="S437" s="272"/>
      <c r="T437" s="272"/>
      <c r="U437" s="272"/>
      <c r="V437" s="272"/>
      <c r="W437" s="272"/>
      <c r="X437" s="272"/>
      <c r="Y437" s="272"/>
      <c r="Z437" s="272"/>
      <c r="AA437" s="272"/>
      <c r="AB437" s="272"/>
      <c r="AC437" s="272"/>
      <c r="AD437" s="272"/>
      <c r="AE437" s="272"/>
      <c r="AF437" s="272"/>
      <c r="AG437" s="272"/>
      <c r="AH437" s="272"/>
      <c r="AI437" s="272"/>
      <c r="AJ437" s="272"/>
      <c r="AK437" s="272"/>
      <c r="AL437" s="272"/>
      <c r="AM437" s="272"/>
      <c r="AN437" s="272"/>
      <c r="AO437" s="272"/>
      <c r="AP437" s="272"/>
      <c r="AQ437" s="272"/>
      <c r="AR437" s="272"/>
      <c r="AS437" s="272"/>
      <c r="AT437" s="272"/>
      <c r="AU437" s="286"/>
    </row>
    <row r="438" spans="1:47" ht="60" customHeight="1" outlineLevel="2" x14ac:dyDescent="0.35">
      <c r="A438" s="281" t="s">
        <v>7565</v>
      </c>
      <c r="B438" s="259" t="s">
        <v>7591</v>
      </c>
      <c r="C438" s="259"/>
      <c r="D438" s="263"/>
      <c r="E438" s="259"/>
      <c r="F438" s="267"/>
      <c r="G438" s="270" t="str">
        <f>IF(COUNTIF(H438:AU438,"&lt;&gt;")=0,"",SUMPRODUCT(((Recommendations[ImplStatus]="Implemented")+(Recommendations[ImplStatus]="Compensated"))*ISNUMBER(MATCH(Recommendations[Id],H438:AU438,0)))/COUNTIF(H438:AU438,"&lt;&gt;"))</f>
        <v/>
      </c>
      <c r="H438" s="267"/>
      <c r="I438" s="267"/>
      <c r="J438" s="267"/>
      <c r="K438" s="267"/>
      <c r="L438" s="267"/>
      <c r="M438" s="267"/>
      <c r="N438" s="267"/>
      <c r="O438" s="267"/>
      <c r="P438" s="267"/>
      <c r="Q438" s="267"/>
      <c r="R438" s="267"/>
      <c r="S438" s="267"/>
      <c r="T438" s="267"/>
      <c r="U438" s="267"/>
      <c r="V438" s="267"/>
      <c r="W438" s="267"/>
      <c r="X438" s="267"/>
      <c r="Y438" s="267"/>
      <c r="Z438" s="267"/>
      <c r="AA438" s="267"/>
      <c r="AB438" s="267"/>
      <c r="AC438" s="267"/>
      <c r="AD438" s="267"/>
      <c r="AE438" s="267"/>
      <c r="AF438" s="267"/>
      <c r="AG438" s="267"/>
      <c r="AH438" s="267"/>
      <c r="AI438" s="267"/>
      <c r="AJ438" s="267"/>
      <c r="AK438" s="267"/>
      <c r="AL438" s="267"/>
      <c r="AM438" s="267"/>
      <c r="AN438" s="267"/>
      <c r="AO438" s="267"/>
      <c r="AP438" s="267"/>
      <c r="AQ438" s="267"/>
      <c r="AR438" s="267"/>
      <c r="AS438" s="267"/>
      <c r="AT438" s="267"/>
      <c r="AU438" s="285"/>
    </row>
    <row r="439" spans="1:47" ht="60" customHeight="1" x14ac:dyDescent="0.35">
      <c r="A439" s="282" t="s">
        <v>7565</v>
      </c>
      <c r="B439" s="260" t="s">
        <v>7591</v>
      </c>
      <c r="C439" s="261" t="s">
        <v>7592</v>
      </c>
      <c r="D439" s="264" t="s">
        <v>7593</v>
      </c>
      <c r="E439" s="265" t="s">
        <v>6712</v>
      </c>
      <c r="F439" s="268" t="s">
        <v>7594</v>
      </c>
      <c r="G439" s="271" t="str">
        <f>IF(COUNTIF(H439:AU439,"&lt;&gt;")=0,"",SUMPRODUCT(((Recommendations[ImplStatus]="Implemented")+(Recommendations[ImplStatus]="Compensated"))*ISNUMBER(MATCH(Recommendations[Id],H439:AU439,0)))/COUNTIF(H439:AU439,"&lt;&gt;"))</f>
        <v/>
      </c>
      <c r="H439" s="272"/>
      <c r="I439" s="272"/>
      <c r="J439" s="272"/>
      <c r="K439" s="272"/>
      <c r="L439" s="272"/>
      <c r="M439" s="272"/>
      <c r="N439" s="272"/>
      <c r="O439" s="272"/>
      <c r="P439" s="272"/>
      <c r="Q439" s="272"/>
      <c r="R439" s="272"/>
      <c r="S439" s="272"/>
      <c r="T439" s="272"/>
      <c r="U439" s="272"/>
      <c r="V439" s="272"/>
      <c r="W439" s="272"/>
      <c r="X439" s="272"/>
      <c r="Y439" s="272"/>
      <c r="Z439" s="272"/>
      <c r="AA439" s="272"/>
      <c r="AB439" s="272"/>
      <c r="AC439" s="272"/>
      <c r="AD439" s="272"/>
      <c r="AE439" s="272"/>
      <c r="AF439" s="272"/>
      <c r="AG439" s="272"/>
      <c r="AH439" s="272"/>
      <c r="AI439" s="272"/>
      <c r="AJ439" s="272"/>
      <c r="AK439" s="272"/>
      <c r="AL439" s="272"/>
      <c r="AM439" s="272"/>
      <c r="AN439" s="272"/>
      <c r="AO439" s="272"/>
      <c r="AP439" s="272"/>
      <c r="AQ439" s="272"/>
      <c r="AR439" s="272"/>
      <c r="AS439" s="272"/>
      <c r="AT439" s="272"/>
      <c r="AU439" s="286"/>
    </row>
    <row r="440" spans="1:47" ht="60" customHeight="1" x14ac:dyDescent="0.35">
      <c r="A440" s="282" t="s">
        <v>7565</v>
      </c>
      <c r="B440" s="260" t="s">
        <v>7591</v>
      </c>
      <c r="C440" s="261" t="s">
        <v>7595</v>
      </c>
      <c r="D440" s="264" t="s">
        <v>7596</v>
      </c>
      <c r="E440" s="265" t="s">
        <v>6712</v>
      </c>
      <c r="F440" s="268" t="s">
        <v>7594</v>
      </c>
      <c r="G440" s="271" t="str">
        <f>IF(COUNTIF(H440:AU440,"&lt;&gt;")=0,"",SUMPRODUCT(((Recommendations[ImplStatus]="Implemented")+(Recommendations[ImplStatus]="Compensated"))*ISNUMBER(MATCH(Recommendations[Id],H440:AU440,0)))/COUNTIF(H440:AU440,"&lt;&gt;"))</f>
        <v/>
      </c>
      <c r="H440" s="272"/>
      <c r="I440" s="272"/>
      <c r="J440" s="272"/>
      <c r="K440" s="272"/>
      <c r="L440" s="272"/>
      <c r="M440" s="272"/>
      <c r="N440" s="272"/>
      <c r="O440" s="272"/>
      <c r="P440" s="272"/>
      <c r="Q440" s="272"/>
      <c r="R440" s="272"/>
      <c r="S440" s="272"/>
      <c r="T440" s="272"/>
      <c r="U440" s="272"/>
      <c r="V440" s="272"/>
      <c r="W440" s="272"/>
      <c r="X440" s="272"/>
      <c r="Y440" s="272"/>
      <c r="Z440" s="272"/>
      <c r="AA440" s="272"/>
      <c r="AB440" s="272"/>
      <c r="AC440" s="272"/>
      <c r="AD440" s="272"/>
      <c r="AE440" s="272"/>
      <c r="AF440" s="272"/>
      <c r="AG440" s="272"/>
      <c r="AH440" s="272"/>
      <c r="AI440" s="272"/>
      <c r="AJ440" s="272"/>
      <c r="AK440" s="272"/>
      <c r="AL440" s="272"/>
      <c r="AM440" s="272"/>
      <c r="AN440" s="272"/>
      <c r="AO440" s="272"/>
      <c r="AP440" s="272"/>
      <c r="AQ440" s="272"/>
      <c r="AR440" s="272"/>
      <c r="AS440" s="272"/>
      <c r="AT440" s="272"/>
      <c r="AU440" s="286"/>
    </row>
    <row r="441" spans="1:47" ht="60" customHeight="1" x14ac:dyDescent="0.35">
      <c r="A441" s="282" t="s">
        <v>7565</v>
      </c>
      <c r="B441" s="260" t="s">
        <v>7591</v>
      </c>
      <c r="C441" s="261" t="s">
        <v>7597</v>
      </c>
      <c r="D441" s="264" t="s">
        <v>7598</v>
      </c>
      <c r="E441" s="265" t="s">
        <v>6712</v>
      </c>
      <c r="F441" s="268" t="s">
        <v>7594</v>
      </c>
      <c r="G441" s="271" t="str">
        <f>IF(COUNTIF(H441:AU441,"&lt;&gt;")=0,"",SUMPRODUCT(((Recommendations[ImplStatus]="Implemented")+(Recommendations[ImplStatus]="Compensated"))*ISNUMBER(MATCH(Recommendations[Id],H441:AU441,0)))/COUNTIF(H441:AU441,"&lt;&gt;"))</f>
        <v/>
      </c>
      <c r="H441" s="272"/>
      <c r="I441" s="272"/>
      <c r="J441" s="272"/>
      <c r="K441" s="272"/>
      <c r="L441" s="272"/>
      <c r="M441" s="272"/>
      <c r="N441" s="272"/>
      <c r="O441" s="272"/>
      <c r="P441" s="272"/>
      <c r="Q441" s="272"/>
      <c r="R441" s="272"/>
      <c r="S441" s="272"/>
      <c r="T441" s="272"/>
      <c r="U441" s="272"/>
      <c r="V441" s="272"/>
      <c r="W441" s="272"/>
      <c r="X441" s="272"/>
      <c r="Y441" s="272"/>
      <c r="Z441" s="272"/>
      <c r="AA441" s="272"/>
      <c r="AB441" s="272"/>
      <c r="AC441" s="272"/>
      <c r="AD441" s="272"/>
      <c r="AE441" s="272"/>
      <c r="AF441" s="272"/>
      <c r="AG441" s="272"/>
      <c r="AH441" s="272"/>
      <c r="AI441" s="272"/>
      <c r="AJ441" s="272"/>
      <c r="AK441" s="272"/>
      <c r="AL441" s="272"/>
      <c r="AM441" s="272"/>
      <c r="AN441" s="272"/>
      <c r="AO441" s="272"/>
      <c r="AP441" s="272"/>
      <c r="AQ441" s="272"/>
      <c r="AR441" s="272"/>
      <c r="AS441" s="272"/>
      <c r="AT441" s="272"/>
      <c r="AU441" s="286"/>
    </row>
    <row r="442" spans="1:47" ht="60" customHeight="1" x14ac:dyDescent="0.35">
      <c r="A442" s="282" t="s">
        <v>7565</v>
      </c>
      <c r="B442" s="260" t="s">
        <v>7591</v>
      </c>
      <c r="C442" s="261" t="s">
        <v>7599</v>
      </c>
      <c r="D442" s="264" t="s">
        <v>7600</v>
      </c>
      <c r="E442" s="265" t="s">
        <v>6712</v>
      </c>
      <c r="F442" s="268" t="s">
        <v>7594</v>
      </c>
      <c r="G442" s="271" t="str">
        <f>IF(COUNTIF(H442:AU442,"&lt;&gt;")=0,"",SUMPRODUCT(((Recommendations[ImplStatus]="Implemented")+(Recommendations[ImplStatus]="Compensated"))*ISNUMBER(MATCH(Recommendations[Id],H442:AU442,0)))/COUNTIF(H442:AU442,"&lt;&gt;"))</f>
        <v/>
      </c>
      <c r="H442" s="272"/>
      <c r="I442" s="272"/>
      <c r="J442" s="272"/>
      <c r="K442" s="272"/>
      <c r="L442" s="272"/>
      <c r="M442" s="272"/>
      <c r="N442" s="272"/>
      <c r="O442" s="272"/>
      <c r="P442" s="272"/>
      <c r="Q442" s="272"/>
      <c r="R442" s="272"/>
      <c r="S442" s="272"/>
      <c r="T442" s="272"/>
      <c r="U442" s="272"/>
      <c r="V442" s="272"/>
      <c r="W442" s="272"/>
      <c r="X442" s="272"/>
      <c r="Y442" s="272"/>
      <c r="Z442" s="272"/>
      <c r="AA442" s="272"/>
      <c r="AB442" s="272"/>
      <c r="AC442" s="272"/>
      <c r="AD442" s="272"/>
      <c r="AE442" s="272"/>
      <c r="AF442" s="272"/>
      <c r="AG442" s="272"/>
      <c r="AH442" s="272"/>
      <c r="AI442" s="272"/>
      <c r="AJ442" s="272"/>
      <c r="AK442" s="272"/>
      <c r="AL442" s="272"/>
      <c r="AM442" s="272"/>
      <c r="AN442" s="272"/>
      <c r="AO442" s="272"/>
      <c r="AP442" s="272"/>
      <c r="AQ442" s="272"/>
      <c r="AR442" s="272"/>
      <c r="AS442" s="272"/>
      <c r="AT442" s="272"/>
      <c r="AU442" s="286"/>
    </row>
    <row r="443" spans="1:47" ht="60" customHeight="1" x14ac:dyDescent="0.35">
      <c r="A443" s="282" t="s">
        <v>7565</v>
      </c>
      <c r="B443" s="260" t="s">
        <v>7591</v>
      </c>
      <c r="C443" s="261" t="s">
        <v>7601</v>
      </c>
      <c r="D443" s="264" t="s">
        <v>7602</v>
      </c>
      <c r="E443" s="265" t="s">
        <v>6741</v>
      </c>
      <c r="F443" s="268" t="s">
        <v>7594</v>
      </c>
      <c r="G443" s="271" t="str">
        <f>IF(COUNTIF(H443:AU443,"&lt;&gt;")=0,"",SUMPRODUCT(((Recommendations[ImplStatus]="Implemented")+(Recommendations[ImplStatus]="Compensated"))*ISNUMBER(MATCH(Recommendations[Id],H443:AU443,0)))/COUNTIF(H443:AU443,"&lt;&gt;"))</f>
        <v/>
      </c>
      <c r="H443" s="272"/>
      <c r="I443" s="272"/>
      <c r="J443" s="272"/>
      <c r="K443" s="272"/>
      <c r="L443" s="272"/>
      <c r="M443" s="272"/>
      <c r="N443" s="272"/>
      <c r="O443" s="272"/>
      <c r="P443" s="272"/>
      <c r="Q443" s="272"/>
      <c r="R443" s="272"/>
      <c r="S443" s="272"/>
      <c r="T443" s="272"/>
      <c r="U443" s="272"/>
      <c r="V443" s="272"/>
      <c r="W443" s="272"/>
      <c r="X443" s="272"/>
      <c r="Y443" s="272"/>
      <c r="Z443" s="272"/>
      <c r="AA443" s="272"/>
      <c r="AB443" s="272"/>
      <c r="AC443" s="272"/>
      <c r="AD443" s="272"/>
      <c r="AE443" s="272"/>
      <c r="AF443" s="272"/>
      <c r="AG443" s="272"/>
      <c r="AH443" s="272"/>
      <c r="AI443" s="272"/>
      <c r="AJ443" s="272"/>
      <c r="AK443" s="272"/>
      <c r="AL443" s="272"/>
      <c r="AM443" s="272"/>
      <c r="AN443" s="272"/>
      <c r="AO443" s="272"/>
      <c r="AP443" s="272"/>
      <c r="AQ443" s="272"/>
      <c r="AR443" s="272"/>
      <c r="AS443" s="272"/>
      <c r="AT443" s="272"/>
      <c r="AU443" s="286"/>
    </row>
    <row r="444" spans="1:47" ht="60" customHeight="1" x14ac:dyDescent="0.35">
      <c r="A444" s="282" t="s">
        <v>7565</v>
      </c>
      <c r="B444" s="260" t="s">
        <v>7591</v>
      </c>
      <c r="C444" s="261" t="s">
        <v>7603</v>
      </c>
      <c r="D444" s="264" t="s">
        <v>7604</v>
      </c>
      <c r="E444" s="265" t="s">
        <v>6741</v>
      </c>
      <c r="F444" s="268" t="s">
        <v>7594</v>
      </c>
      <c r="G444" s="271" t="str">
        <f>IF(COUNTIF(H444:AU444,"&lt;&gt;")=0,"",SUMPRODUCT(((Recommendations[ImplStatus]="Implemented")+(Recommendations[ImplStatus]="Compensated"))*ISNUMBER(MATCH(Recommendations[Id],H444:AU444,0)))/COUNTIF(H444:AU444,"&lt;&gt;"))</f>
        <v/>
      </c>
      <c r="H444" s="272"/>
      <c r="I444" s="272"/>
      <c r="J444" s="272"/>
      <c r="K444" s="272"/>
      <c r="L444" s="272"/>
      <c r="M444" s="272"/>
      <c r="N444" s="272"/>
      <c r="O444" s="272"/>
      <c r="P444" s="272"/>
      <c r="Q444" s="272"/>
      <c r="R444" s="272"/>
      <c r="S444" s="272"/>
      <c r="T444" s="272"/>
      <c r="U444" s="272"/>
      <c r="V444" s="272"/>
      <c r="W444" s="272"/>
      <c r="X444" s="272"/>
      <c r="Y444" s="272"/>
      <c r="Z444" s="272"/>
      <c r="AA444" s="272"/>
      <c r="AB444" s="272"/>
      <c r="AC444" s="272"/>
      <c r="AD444" s="272"/>
      <c r="AE444" s="272"/>
      <c r="AF444" s="272"/>
      <c r="AG444" s="272"/>
      <c r="AH444" s="272"/>
      <c r="AI444" s="272"/>
      <c r="AJ444" s="272"/>
      <c r="AK444" s="272"/>
      <c r="AL444" s="272"/>
      <c r="AM444" s="272"/>
      <c r="AN444" s="272"/>
      <c r="AO444" s="272"/>
      <c r="AP444" s="272"/>
      <c r="AQ444" s="272"/>
      <c r="AR444" s="272"/>
      <c r="AS444" s="272"/>
      <c r="AT444" s="272"/>
      <c r="AU444" s="286"/>
    </row>
    <row r="445" spans="1:47" ht="60" customHeight="1" x14ac:dyDescent="0.35">
      <c r="A445" s="282" t="s">
        <v>7565</v>
      </c>
      <c r="B445" s="260" t="s">
        <v>7591</v>
      </c>
      <c r="C445" s="261" t="s">
        <v>7605</v>
      </c>
      <c r="D445" s="264" t="s">
        <v>7606</v>
      </c>
      <c r="E445" s="265" t="s">
        <v>6741</v>
      </c>
      <c r="F445" s="268" t="s">
        <v>7594</v>
      </c>
      <c r="G445" s="271" t="str">
        <f>IF(COUNTIF(H445:AU445,"&lt;&gt;")=0,"",SUMPRODUCT(((Recommendations[ImplStatus]="Implemented")+(Recommendations[ImplStatus]="Compensated"))*ISNUMBER(MATCH(Recommendations[Id],H445:AU445,0)))/COUNTIF(H445:AU445,"&lt;&gt;"))</f>
        <v/>
      </c>
      <c r="H445" s="272"/>
      <c r="I445" s="272"/>
      <c r="J445" s="272"/>
      <c r="K445" s="272"/>
      <c r="L445" s="272"/>
      <c r="M445" s="272"/>
      <c r="N445" s="272"/>
      <c r="O445" s="272"/>
      <c r="P445" s="272"/>
      <c r="Q445" s="272"/>
      <c r="R445" s="272"/>
      <c r="S445" s="272"/>
      <c r="T445" s="272"/>
      <c r="U445" s="272"/>
      <c r="V445" s="272"/>
      <c r="W445" s="272"/>
      <c r="X445" s="272"/>
      <c r="Y445" s="272"/>
      <c r="Z445" s="272"/>
      <c r="AA445" s="272"/>
      <c r="AB445" s="272"/>
      <c r="AC445" s="272"/>
      <c r="AD445" s="272"/>
      <c r="AE445" s="272"/>
      <c r="AF445" s="272"/>
      <c r="AG445" s="272"/>
      <c r="AH445" s="272"/>
      <c r="AI445" s="272"/>
      <c r="AJ445" s="272"/>
      <c r="AK445" s="272"/>
      <c r="AL445" s="272"/>
      <c r="AM445" s="272"/>
      <c r="AN445" s="272"/>
      <c r="AO445" s="272"/>
      <c r="AP445" s="272"/>
      <c r="AQ445" s="272"/>
      <c r="AR445" s="272"/>
      <c r="AS445" s="272"/>
      <c r="AT445" s="272"/>
      <c r="AU445" s="286"/>
    </row>
    <row r="446" spans="1:47" ht="60" customHeight="1" x14ac:dyDescent="0.35">
      <c r="A446" s="282" t="s">
        <v>7565</v>
      </c>
      <c r="B446" s="260" t="s">
        <v>7591</v>
      </c>
      <c r="C446" s="261" t="s">
        <v>7607</v>
      </c>
      <c r="D446" s="264" t="s">
        <v>7608</v>
      </c>
      <c r="E446" s="265" t="s">
        <v>6856</v>
      </c>
      <c r="F446" s="268" t="s">
        <v>7594</v>
      </c>
      <c r="G446" s="271" t="str">
        <f>IF(COUNTIF(H446:AU446,"&lt;&gt;")=0,"",SUMPRODUCT(((Recommendations[ImplStatus]="Implemented")+(Recommendations[ImplStatus]="Compensated"))*ISNUMBER(MATCH(Recommendations[Id],H446:AU446,0)))/COUNTIF(H446:AU446,"&lt;&gt;"))</f>
        <v/>
      </c>
      <c r="H446" s="272"/>
      <c r="I446" s="272"/>
      <c r="J446" s="272"/>
      <c r="K446" s="272"/>
      <c r="L446" s="272"/>
      <c r="M446" s="272"/>
      <c r="N446" s="272"/>
      <c r="O446" s="272"/>
      <c r="P446" s="272"/>
      <c r="Q446" s="272"/>
      <c r="R446" s="272"/>
      <c r="S446" s="272"/>
      <c r="T446" s="272"/>
      <c r="U446" s="272"/>
      <c r="V446" s="272"/>
      <c r="W446" s="272"/>
      <c r="X446" s="272"/>
      <c r="Y446" s="272"/>
      <c r="Z446" s="272"/>
      <c r="AA446" s="272"/>
      <c r="AB446" s="272"/>
      <c r="AC446" s="272"/>
      <c r="AD446" s="272"/>
      <c r="AE446" s="272"/>
      <c r="AF446" s="272"/>
      <c r="AG446" s="272"/>
      <c r="AH446" s="272"/>
      <c r="AI446" s="272"/>
      <c r="AJ446" s="272"/>
      <c r="AK446" s="272"/>
      <c r="AL446" s="272"/>
      <c r="AM446" s="272"/>
      <c r="AN446" s="272"/>
      <c r="AO446" s="272"/>
      <c r="AP446" s="272"/>
      <c r="AQ446" s="272"/>
      <c r="AR446" s="272"/>
      <c r="AS446" s="272"/>
      <c r="AT446" s="272"/>
      <c r="AU446" s="286"/>
    </row>
    <row r="447" spans="1:47" ht="60" customHeight="1" x14ac:dyDescent="0.35">
      <c r="A447" s="282" t="s">
        <v>7565</v>
      </c>
      <c r="B447" s="260" t="s">
        <v>7591</v>
      </c>
      <c r="C447" s="261" t="s">
        <v>7609</v>
      </c>
      <c r="D447" s="264" t="s">
        <v>7610</v>
      </c>
      <c r="E447" s="265" t="s">
        <v>6741</v>
      </c>
      <c r="F447" s="268" t="s">
        <v>7594</v>
      </c>
      <c r="G447" s="271" t="str">
        <f>IF(COUNTIF(H447:AU447,"&lt;&gt;")=0,"",SUMPRODUCT(((Recommendations[ImplStatus]="Implemented")+(Recommendations[ImplStatus]="Compensated"))*ISNUMBER(MATCH(Recommendations[Id],H447:AU447,0)))/COUNTIF(H447:AU447,"&lt;&gt;"))</f>
        <v/>
      </c>
      <c r="H447" s="272"/>
      <c r="I447" s="272"/>
      <c r="J447" s="272"/>
      <c r="K447" s="272"/>
      <c r="L447" s="272"/>
      <c r="M447" s="272"/>
      <c r="N447" s="272"/>
      <c r="O447" s="272"/>
      <c r="P447" s="272"/>
      <c r="Q447" s="272"/>
      <c r="R447" s="272"/>
      <c r="S447" s="272"/>
      <c r="T447" s="272"/>
      <c r="U447" s="272"/>
      <c r="V447" s="272"/>
      <c r="W447" s="272"/>
      <c r="X447" s="272"/>
      <c r="Y447" s="272"/>
      <c r="Z447" s="272"/>
      <c r="AA447" s="272"/>
      <c r="AB447" s="272"/>
      <c r="AC447" s="272"/>
      <c r="AD447" s="272"/>
      <c r="AE447" s="272"/>
      <c r="AF447" s="272"/>
      <c r="AG447" s="272"/>
      <c r="AH447" s="272"/>
      <c r="AI447" s="272"/>
      <c r="AJ447" s="272"/>
      <c r="AK447" s="272"/>
      <c r="AL447" s="272"/>
      <c r="AM447" s="272"/>
      <c r="AN447" s="272"/>
      <c r="AO447" s="272"/>
      <c r="AP447" s="272"/>
      <c r="AQ447" s="272"/>
      <c r="AR447" s="272"/>
      <c r="AS447" s="272"/>
      <c r="AT447" s="272"/>
      <c r="AU447" s="286"/>
    </row>
    <row r="448" spans="1:47" ht="60" customHeight="1" x14ac:dyDescent="0.35">
      <c r="A448" s="282" t="s">
        <v>7565</v>
      </c>
      <c r="B448" s="260" t="s">
        <v>7591</v>
      </c>
      <c r="C448" s="261" t="s">
        <v>7611</v>
      </c>
      <c r="D448" s="264" t="s">
        <v>7612</v>
      </c>
      <c r="E448" s="265" t="s">
        <v>6856</v>
      </c>
      <c r="F448" s="268" t="s">
        <v>7594</v>
      </c>
      <c r="G448" s="271" t="str">
        <f>IF(COUNTIF(H448:AU448,"&lt;&gt;")=0,"",SUMPRODUCT(((Recommendations[ImplStatus]="Implemented")+(Recommendations[ImplStatus]="Compensated"))*ISNUMBER(MATCH(Recommendations[Id],H448:AU448,0)))/COUNTIF(H448:AU448,"&lt;&gt;"))</f>
        <v/>
      </c>
      <c r="H448" s="272"/>
      <c r="I448" s="272"/>
      <c r="J448" s="272"/>
      <c r="K448" s="272"/>
      <c r="L448" s="272"/>
      <c r="M448" s="272"/>
      <c r="N448" s="272"/>
      <c r="O448" s="272"/>
      <c r="P448" s="272"/>
      <c r="Q448" s="272"/>
      <c r="R448" s="272"/>
      <c r="S448" s="272"/>
      <c r="T448" s="272"/>
      <c r="U448" s="272"/>
      <c r="V448" s="272"/>
      <c r="W448" s="272"/>
      <c r="X448" s="272"/>
      <c r="Y448" s="272"/>
      <c r="Z448" s="272"/>
      <c r="AA448" s="272"/>
      <c r="AB448" s="272"/>
      <c r="AC448" s="272"/>
      <c r="AD448" s="272"/>
      <c r="AE448" s="272"/>
      <c r="AF448" s="272"/>
      <c r="AG448" s="272"/>
      <c r="AH448" s="272"/>
      <c r="AI448" s="272"/>
      <c r="AJ448" s="272"/>
      <c r="AK448" s="272"/>
      <c r="AL448" s="272"/>
      <c r="AM448" s="272"/>
      <c r="AN448" s="272"/>
      <c r="AO448" s="272"/>
      <c r="AP448" s="272"/>
      <c r="AQ448" s="272"/>
      <c r="AR448" s="272"/>
      <c r="AS448" s="272"/>
      <c r="AT448" s="272"/>
      <c r="AU448" s="286"/>
    </row>
    <row r="449" spans="1:47" ht="60" customHeight="1" x14ac:dyDescent="0.35">
      <c r="A449" s="282" t="s">
        <v>7565</v>
      </c>
      <c r="B449" s="260" t="s">
        <v>7591</v>
      </c>
      <c r="C449" s="261" t="s">
        <v>7613</v>
      </c>
      <c r="D449" s="264" t="s">
        <v>7614</v>
      </c>
      <c r="E449" s="265" t="s">
        <v>6856</v>
      </c>
      <c r="F449" s="268" t="s">
        <v>7594</v>
      </c>
      <c r="G449" s="271" t="str">
        <f>IF(COUNTIF(H449:AU449,"&lt;&gt;")=0,"",SUMPRODUCT(((Recommendations[ImplStatus]="Implemented")+(Recommendations[ImplStatus]="Compensated"))*ISNUMBER(MATCH(Recommendations[Id],H449:AU449,0)))/COUNTIF(H449:AU449,"&lt;&gt;"))</f>
        <v/>
      </c>
      <c r="H449" s="272"/>
      <c r="I449" s="272"/>
      <c r="J449" s="272"/>
      <c r="K449" s="272"/>
      <c r="L449" s="272"/>
      <c r="M449" s="272"/>
      <c r="N449" s="272"/>
      <c r="O449" s="272"/>
      <c r="P449" s="272"/>
      <c r="Q449" s="272"/>
      <c r="R449" s="272"/>
      <c r="S449" s="272"/>
      <c r="T449" s="272"/>
      <c r="U449" s="272"/>
      <c r="V449" s="272"/>
      <c r="W449" s="272"/>
      <c r="X449" s="272"/>
      <c r="Y449" s="272"/>
      <c r="Z449" s="272"/>
      <c r="AA449" s="272"/>
      <c r="AB449" s="272"/>
      <c r="AC449" s="272"/>
      <c r="AD449" s="272"/>
      <c r="AE449" s="272"/>
      <c r="AF449" s="272"/>
      <c r="AG449" s="272"/>
      <c r="AH449" s="272"/>
      <c r="AI449" s="272"/>
      <c r="AJ449" s="272"/>
      <c r="AK449" s="272"/>
      <c r="AL449" s="272"/>
      <c r="AM449" s="272"/>
      <c r="AN449" s="272"/>
      <c r="AO449" s="272"/>
      <c r="AP449" s="272"/>
      <c r="AQ449" s="272"/>
      <c r="AR449" s="272"/>
      <c r="AS449" s="272"/>
      <c r="AT449" s="272"/>
      <c r="AU449" s="286"/>
    </row>
    <row r="450" spans="1:47" ht="60" customHeight="1" outlineLevel="1" x14ac:dyDescent="0.35">
      <c r="A450" s="280" t="s">
        <v>7615</v>
      </c>
      <c r="B450" s="258"/>
      <c r="C450" s="258"/>
      <c r="D450" s="262"/>
      <c r="E450" s="258"/>
      <c r="F450" s="266"/>
      <c r="G450" s="269" t="str">
        <f>IF(COUNTIF(H450:AU450,"&lt;&gt;")=0,"",SUMPRODUCT(((Recommendations[ImplStatus]="Implemented")+(Recommendations[ImplStatus]="Compensated"))*ISNUMBER(MATCH(Recommendations[Id],H450:AU450,0)))/COUNTIF(H450:AU450,"&lt;&gt;"))</f>
        <v/>
      </c>
      <c r="H450" s="266"/>
      <c r="I450" s="266"/>
      <c r="J450" s="266"/>
      <c r="K450" s="266"/>
      <c r="L450" s="266"/>
      <c r="M450" s="266"/>
      <c r="N450" s="266"/>
      <c r="O450" s="266"/>
      <c r="P450" s="266"/>
      <c r="Q450" s="266"/>
      <c r="R450" s="266"/>
      <c r="S450" s="266"/>
      <c r="T450" s="266"/>
      <c r="U450" s="266"/>
      <c r="V450" s="266"/>
      <c r="W450" s="266"/>
      <c r="X450" s="266"/>
      <c r="Y450" s="266"/>
      <c r="Z450" s="266"/>
      <c r="AA450" s="266"/>
      <c r="AB450" s="266"/>
      <c r="AC450" s="266"/>
      <c r="AD450" s="266"/>
      <c r="AE450" s="266"/>
      <c r="AF450" s="266"/>
      <c r="AG450" s="266"/>
      <c r="AH450" s="266"/>
      <c r="AI450" s="266"/>
      <c r="AJ450" s="266"/>
      <c r="AK450" s="266"/>
      <c r="AL450" s="266"/>
      <c r="AM450" s="266"/>
      <c r="AN450" s="266"/>
      <c r="AO450" s="266"/>
      <c r="AP450" s="266"/>
      <c r="AQ450" s="266"/>
      <c r="AR450" s="266"/>
      <c r="AS450" s="266"/>
      <c r="AT450" s="266"/>
      <c r="AU450" s="284"/>
    </row>
    <row r="451" spans="1:47" ht="60" customHeight="1" outlineLevel="2" x14ac:dyDescent="0.35">
      <c r="A451" s="281" t="s">
        <v>7615</v>
      </c>
      <c r="B451" s="259" t="s">
        <v>7616</v>
      </c>
      <c r="C451" s="259"/>
      <c r="D451" s="263"/>
      <c r="E451" s="259"/>
      <c r="F451" s="267"/>
      <c r="G451" s="270" t="str">
        <f>IF(COUNTIF(H451:AU451,"&lt;&gt;")=0,"",SUMPRODUCT(((Recommendations[ImplStatus]="Implemented")+(Recommendations[ImplStatus]="Compensated"))*ISNUMBER(MATCH(Recommendations[Id],H451:AU451,0)))/COUNTIF(H451:AU451,"&lt;&gt;"))</f>
        <v/>
      </c>
      <c r="H451" s="267"/>
      <c r="I451" s="267"/>
      <c r="J451" s="267"/>
      <c r="K451" s="267"/>
      <c r="L451" s="267"/>
      <c r="M451" s="267"/>
      <c r="N451" s="267"/>
      <c r="O451" s="267"/>
      <c r="P451" s="267"/>
      <c r="Q451" s="267"/>
      <c r="R451" s="267"/>
      <c r="S451" s="267"/>
      <c r="T451" s="267"/>
      <c r="U451" s="267"/>
      <c r="V451" s="267"/>
      <c r="W451" s="267"/>
      <c r="X451" s="267"/>
      <c r="Y451" s="267"/>
      <c r="Z451" s="267"/>
      <c r="AA451" s="267"/>
      <c r="AB451" s="267"/>
      <c r="AC451" s="267"/>
      <c r="AD451" s="267"/>
      <c r="AE451" s="267"/>
      <c r="AF451" s="267"/>
      <c r="AG451" s="267"/>
      <c r="AH451" s="267"/>
      <c r="AI451" s="267"/>
      <c r="AJ451" s="267"/>
      <c r="AK451" s="267"/>
      <c r="AL451" s="267"/>
      <c r="AM451" s="267"/>
      <c r="AN451" s="267"/>
      <c r="AO451" s="267"/>
      <c r="AP451" s="267"/>
      <c r="AQ451" s="267"/>
      <c r="AR451" s="267"/>
      <c r="AS451" s="267"/>
      <c r="AT451" s="267"/>
      <c r="AU451" s="285"/>
    </row>
    <row r="452" spans="1:47" ht="60" customHeight="1" x14ac:dyDescent="0.35">
      <c r="A452" s="282" t="s">
        <v>7615</v>
      </c>
      <c r="B452" s="260" t="s">
        <v>7616</v>
      </c>
      <c r="C452" s="261" t="s">
        <v>7617</v>
      </c>
      <c r="D452" s="264" t="s">
        <v>7618</v>
      </c>
      <c r="E452" s="265" t="s">
        <v>6712</v>
      </c>
      <c r="F452" s="268" t="s">
        <v>7619</v>
      </c>
      <c r="G452" s="271" t="str">
        <f>IF(COUNTIF(H452:AU452,"&lt;&gt;")=0,"",SUMPRODUCT(((Recommendations[ImplStatus]="Implemented")+(Recommendations[ImplStatus]="Compensated"))*ISNUMBER(MATCH(Recommendations[Id],H452:AU452,0)))/COUNTIF(H452:AU452,"&lt;&gt;"))</f>
        <v/>
      </c>
      <c r="H452" s="272"/>
      <c r="I452" s="272"/>
      <c r="J452" s="272"/>
      <c r="K452" s="272"/>
      <c r="L452" s="272"/>
      <c r="M452" s="272"/>
      <c r="N452" s="272"/>
      <c r="O452" s="272"/>
      <c r="P452" s="272"/>
      <c r="Q452" s="272"/>
      <c r="R452" s="272"/>
      <c r="S452" s="272"/>
      <c r="T452" s="272"/>
      <c r="U452" s="272"/>
      <c r="V452" s="272"/>
      <c r="W452" s="272"/>
      <c r="X452" s="272"/>
      <c r="Y452" s="272"/>
      <c r="Z452" s="272"/>
      <c r="AA452" s="272"/>
      <c r="AB452" s="272"/>
      <c r="AC452" s="272"/>
      <c r="AD452" s="272"/>
      <c r="AE452" s="272"/>
      <c r="AF452" s="272"/>
      <c r="AG452" s="272"/>
      <c r="AH452" s="272"/>
      <c r="AI452" s="272"/>
      <c r="AJ452" s="272"/>
      <c r="AK452" s="272"/>
      <c r="AL452" s="272"/>
      <c r="AM452" s="272"/>
      <c r="AN452" s="272"/>
      <c r="AO452" s="272"/>
      <c r="AP452" s="272"/>
      <c r="AQ452" s="272"/>
      <c r="AR452" s="272"/>
      <c r="AS452" s="272"/>
      <c r="AT452" s="272"/>
      <c r="AU452" s="286"/>
    </row>
    <row r="453" spans="1:47" ht="60" customHeight="1" x14ac:dyDescent="0.35">
      <c r="A453" s="282" t="s">
        <v>7615</v>
      </c>
      <c r="B453" s="260" t="s">
        <v>7616</v>
      </c>
      <c r="C453" s="261" t="s">
        <v>7620</v>
      </c>
      <c r="D453" s="264" t="s">
        <v>7621</v>
      </c>
      <c r="E453" s="265" t="s">
        <v>6712</v>
      </c>
      <c r="F453" s="268" t="s">
        <v>7619</v>
      </c>
      <c r="G453" s="271" t="str">
        <f>IF(COUNTIF(H453:AU453,"&lt;&gt;")=0,"",SUMPRODUCT(((Recommendations[ImplStatus]="Implemented")+(Recommendations[ImplStatus]="Compensated"))*ISNUMBER(MATCH(Recommendations[Id],H453:AU453,0)))/COUNTIF(H453:AU453,"&lt;&gt;"))</f>
        <v/>
      </c>
      <c r="H453" s="272"/>
      <c r="I453" s="272"/>
      <c r="J453" s="272"/>
      <c r="K453" s="272"/>
      <c r="L453" s="272"/>
      <c r="M453" s="272"/>
      <c r="N453" s="272"/>
      <c r="O453" s="272"/>
      <c r="P453" s="272"/>
      <c r="Q453" s="272"/>
      <c r="R453" s="272"/>
      <c r="S453" s="272"/>
      <c r="T453" s="272"/>
      <c r="U453" s="272"/>
      <c r="V453" s="272"/>
      <c r="W453" s="272"/>
      <c r="X453" s="272"/>
      <c r="Y453" s="272"/>
      <c r="Z453" s="272"/>
      <c r="AA453" s="272"/>
      <c r="AB453" s="272"/>
      <c r="AC453" s="272"/>
      <c r="AD453" s="272"/>
      <c r="AE453" s="272"/>
      <c r="AF453" s="272"/>
      <c r="AG453" s="272"/>
      <c r="AH453" s="272"/>
      <c r="AI453" s="272"/>
      <c r="AJ453" s="272"/>
      <c r="AK453" s="272"/>
      <c r="AL453" s="272"/>
      <c r="AM453" s="272"/>
      <c r="AN453" s="272"/>
      <c r="AO453" s="272"/>
      <c r="AP453" s="272"/>
      <c r="AQ453" s="272"/>
      <c r="AR453" s="272"/>
      <c r="AS453" s="272"/>
      <c r="AT453" s="272"/>
      <c r="AU453" s="286"/>
    </row>
    <row r="454" spans="1:47" ht="60" customHeight="1" x14ac:dyDescent="0.35">
      <c r="A454" s="282" t="s">
        <v>7615</v>
      </c>
      <c r="B454" s="260" t="s">
        <v>7616</v>
      </c>
      <c r="C454" s="261" t="s">
        <v>7622</v>
      </c>
      <c r="D454" s="264" t="s">
        <v>7623</v>
      </c>
      <c r="E454" s="265" t="s">
        <v>6712</v>
      </c>
      <c r="F454" s="268" t="s">
        <v>7619</v>
      </c>
      <c r="G454" s="271" t="str">
        <f>IF(COUNTIF(H454:AU454,"&lt;&gt;")=0,"",SUMPRODUCT(((Recommendations[ImplStatus]="Implemented")+(Recommendations[ImplStatus]="Compensated"))*ISNUMBER(MATCH(Recommendations[Id],H454:AU454,0)))/COUNTIF(H454:AU454,"&lt;&gt;"))</f>
        <v/>
      </c>
      <c r="H454" s="272"/>
      <c r="I454" s="272"/>
      <c r="J454" s="272"/>
      <c r="K454" s="272"/>
      <c r="L454" s="272"/>
      <c r="M454" s="272"/>
      <c r="N454" s="272"/>
      <c r="O454" s="272"/>
      <c r="P454" s="272"/>
      <c r="Q454" s="272"/>
      <c r="R454" s="272"/>
      <c r="S454" s="272"/>
      <c r="T454" s="272"/>
      <c r="U454" s="272"/>
      <c r="V454" s="272"/>
      <c r="W454" s="272"/>
      <c r="X454" s="272"/>
      <c r="Y454" s="272"/>
      <c r="Z454" s="272"/>
      <c r="AA454" s="272"/>
      <c r="AB454" s="272"/>
      <c r="AC454" s="272"/>
      <c r="AD454" s="272"/>
      <c r="AE454" s="272"/>
      <c r="AF454" s="272"/>
      <c r="AG454" s="272"/>
      <c r="AH454" s="272"/>
      <c r="AI454" s="272"/>
      <c r="AJ454" s="272"/>
      <c r="AK454" s="272"/>
      <c r="AL454" s="272"/>
      <c r="AM454" s="272"/>
      <c r="AN454" s="272"/>
      <c r="AO454" s="272"/>
      <c r="AP454" s="272"/>
      <c r="AQ454" s="272"/>
      <c r="AR454" s="272"/>
      <c r="AS454" s="272"/>
      <c r="AT454" s="272"/>
      <c r="AU454" s="286"/>
    </row>
    <row r="455" spans="1:47" ht="60" customHeight="1" x14ac:dyDescent="0.35">
      <c r="A455" s="282" t="s">
        <v>7615</v>
      </c>
      <c r="B455" s="260" t="s">
        <v>7616</v>
      </c>
      <c r="C455" s="261" t="s">
        <v>7624</v>
      </c>
      <c r="D455" s="264" t="s">
        <v>7625</v>
      </c>
      <c r="E455" s="265" t="s">
        <v>6712</v>
      </c>
      <c r="F455" s="268" t="s">
        <v>7619</v>
      </c>
      <c r="G455" s="271" t="str">
        <f>IF(COUNTIF(H455:AU455,"&lt;&gt;")=0,"",SUMPRODUCT(((Recommendations[ImplStatus]="Implemented")+(Recommendations[ImplStatus]="Compensated"))*ISNUMBER(MATCH(Recommendations[Id],H455:AU455,0)))/COUNTIF(H455:AU455,"&lt;&gt;"))</f>
        <v/>
      </c>
      <c r="H455" s="272"/>
      <c r="I455" s="272"/>
      <c r="J455" s="272"/>
      <c r="K455" s="272"/>
      <c r="L455" s="272"/>
      <c r="M455" s="272"/>
      <c r="N455" s="272"/>
      <c r="O455" s="272"/>
      <c r="P455" s="272"/>
      <c r="Q455" s="272"/>
      <c r="R455" s="272"/>
      <c r="S455" s="272"/>
      <c r="T455" s="272"/>
      <c r="U455" s="272"/>
      <c r="V455" s="272"/>
      <c r="W455" s="272"/>
      <c r="X455" s="272"/>
      <c r="Y455" s="272"/>
      <c r="Z455" s="272"/>
      <c r="AA455" s="272"/>
      <c r="AB455" s="272"/>
      <c r="AC455" s="272"/>
      <c r="AD455" s="272"/>
      <c r="AE455" s="272"/>
      <c r="AF455" s="272"/>
      <c r="AG455" s="272"/>
      <c r="AH455" s="272"/>
      <c r="AI455" s="272"/>
      <c r="AJ455" s="272"/>
      <c r="AK455" s="272"/>
      <c r="AL455" s="272"/>
      <c r="AM455" s="272"/>
      <c r="AN455" s="272"/>
      <c r="AO455" s="272"/>
      <c r="AP455" s="272"/>
      <c r="AQ455" s="272"/>
      <c r="AR455" s="272"/>
      <c r="AS455" s="272"/>
      <c r="AT455" s="272"/>
      <c r="AU455" s="286"/>
    </row>
    <row r="456" spans="1:47" ht="60" customHeight="1" x14ac:dyDescent="0.35">
      <c r="A456" s="282" t="s">
        <v>7615</v>
      </c>
      <c r="B456" s="260" t="s">
        <v>7616</v>
      </c>
      <c r="C456" s="261" t="s">
        <v>7626</v>
      </c>
      <c r="D456" s="264" t="s">
        <v>7627</v>
      </c>
      <c r="E456" s="265" t="s">
        <v>6712</v>
      </c>
      <c r="F456" s="268" t="s">
        <v>7619</v>
      </c>
      <c r="G456" s="271" t="str">
        <f>IF(COUNTIF(H456:AU456,"&lt;&gt;")=0,"",SUMPRODUCT(((Recommendations[ImplStatus]="Implemented")+(Recommendations[ImplStatus]="Compensated"))*ISNUMBER(MATCH(Recommendations[Id],H456:AU456,0)))/COUNTIF(H456:AU456,"&lt;&gt;"))</f>
        <v/>
      </c>
      <c r="H456" s="272"/>
      <c r="I456" s="272"/>
      <c r="J456" s="272"/>
      <c r="K456" s="272"/>
      <c r="L456" s="272"/>
      <c r="M456" s="272"/>
      <c r="N456" s="272"/>
      <c r="O456" s="272"/>
      <c r="P456" s="272"/>
      <c r="Q456" s="272"/>
      <c r="R456" s="272"/>
      <c r="S456" s="272"/>
      <c r="T456" s="272"/>
      <c r="U456" s="272"/>
      <c r="V456" s="272"/>
      <c r="W456" s="272"/>
      <c r="X456" s="272"/>
      <c r="Y456" s="272"/>
      <c r="Z456" s="272"/>
      <c r="AA456" s="272"/>
      <c r="AB456" s="272"/>
      <c r="AC456" s="272"/>
      <c r="AD456" s="272"/>
      <c r="AE456" s="272"/>
      <c r="AF456" s="272"/>
      <c r="AG456" s="272"/>
      <c r="AH456" s="272"/>
      <c r="AI456" s="272"/>
      <c r="AJ456" s="272"/>
      <c r="AK456" s="272"/>
      <c r="AL456" s="272"/>
      <c r="AM456" s="272"/>
      <c r="AN456" s="272"/>
      <c r="AO456" s="272"/>
      <c r="AP456" s="272"/>
      <c r="AQ456" s="272"/>
      <c r="AR456" s="272"/>
      <c r="AS456" s="272"/>
      <c r="AT456" s="272"/>
      <c r="AU456" s="286"/>
    </row>
    <row r="457" spans="1:47" ht="60" customHeight="1" x14ac:dyDescent="0.35">
      <c r="A457" s="282" t="s">
        <v>7615</v>
      </c>
      <c r="B457" s="260" t="s">
        <v>7616</v>
      </c>
      <c r="C457" s="261" t="s">
        <v>7628</v>
      </c>
      <c r="D457" s="264" t="s">
        <v>7629</v>
      </c>
      <c r="E457" s="265" t="s">
        <v>6741</v>
      </c>
      <c r="F457" s="268" t="s">
        <v>7619</v>
      </c>
      <c r="G457" s="271" t="str">
        <f>IF(COUNTIF(H457:AU457,"&lt;&gt;")=0,"",SUMPRODUCT(((Recommendations[ImplStatus]="Implemented")+(Recommendations[ImplStatus]="Compensated"))*ISNUMBER(MATCH(Recommendations[Id],H457:AU457,0)))/COUNTIF(H457:AU457,"&lt;&gt;"))</f>
        <v/>
      </c>
      <c r="H457" s="272"/>
      <c r="I457" s="272"/>
      <c r="J457" s="272"/>
      <c r="K457" s="272"/>
      <c r="L457" s="272"/>
      <c r="M457" s="272"/>
      <c r="N457" s="272"/>
      <c r="O457" s="272"/>
      <c r="P457" s="272"/>
      <c r="Q457" s="272"/>
      <c r="R457" s="272"/>
      <c r="S457" s="272"/>
      <c r="T457" s="272"/>
      <c r="U457" s="272"/>
      <c r="V457" s="272"/>
      <c r="W457" s="272"/>
      <c r="X457" s="272"/>
      <c r="Y457" s="272"/>
      <c r="Z457" s="272"/>
      <c r="AA457" s="272"/>
      <c r="AB457" s="272"/>
      <c r="AC457" s="272"/>
      <c r="AD457" s="272"/>
      <c r="AE457" s="272"/>
      <c r="AF457" s="272"/>
      <c r="AG457" s="272"/>
      <c r="AH457" s="272"/>
      <c r="AI457" s="272"/>
      <c r="AJ457" s="272"/>
      <c r="AK457" s="272"/>
      <c r="AL457" s="272"/>
      <c r="AM457" s="272"/>
      <c r="AN457" s="272"/>
      <c r="AO457" s="272"/>
      <c r="AP457" s="272"/>
      <c r="AQ457" s="272"/>
      <c r="AR457" s="272"/>
      <c r="AS457" s="272"/>
      <c r="AT457" s="272"/>
      <c r="AU457" s="286"/>
    </row>
    <row r="458" spans="1:47" ht="60" customHeight="1" x14ac:dyDescent="0.35">
      <c r="A458" s="282" t="s">
        <v>7615</v>
      </c>
      <c r="B458" s="260" t="s">
        <v>7616</v>
      </c>
      <c r="C458" s="261" t="s">
        <v>7630</v>
      </c>
      <c r="D458" s="264" t="s">
        <v>7631</v>
      </c>
      <c r="E458" s="265" t="s">
        <v>6741</v>
      </c>
      <c r="F458" s="268" t="s">
        <v>7619</v>
      </c>
      <c r="G458" s="271" t="str">
        <f>IF(COUNTIF(H458:AU458,"&lt;&gt;")=0,"",SUMPRODUCT(((Recommendations[ImplStatus]="Implemented")+(Recommendations[ImplStatus]="Compensated"))*ISNUMBER(MATCH(Recommendations[Id],H458:AU458,0)))/COUNTIF(H458:AU458,"&lt;&gt;"))</f>
        <v/>
      </c>
      <c r="H458" s="272"/>
      <c r="I458" s="272"/>
      <c r="J458" s="272"/>
      <c r="K458" s="272"/>
      <c r="L458" s="272"/>
      <c r="M458" s="272"/>
      <c r="N458" s="272"/>
      <c r="O458" s="272"/>
      <c r="P458" s="272"/>
      <c r="Q458" s="272"/>
      <c r="R458" s="272"/>
      <c r="S458" s="272"/>
      <c r="T458" s="272"/>
      <c r="U458" s="272"/>
      <c r="V458" s="272"/>
      <c r="W458" s="272"/>
      <c r="X458" s="272"/>
      <c r="Y458" s="272"/>
      <c r="Z458" s="272"/>
      <c r="AA458" s="272"/>
      <c r="AB458" s="272"/>
      <c r="AC458" s="272"/>
      <c r="AD458" s="272"/>
      <c r="AE458" s="272"/>
      <c r="AF458" s="272"/>
      <c r="AG458" s="272"/>
      <c r="AH458" s="272"/>
      <c r="AI458" s="272"/>
      <c r="AJ458" s="272"/>
      <c r="AK458" s="272"/>
      <c r="AL458" s="272"/>
      <c r="AM458" s="272"/>
      <c r="AN458" s="272"/>
      <c r="AO458" s="272"/>
      <c r="AP458" s="272"/>
      <c r="AQ458" s="272"/>
      <c r="AR458" s="272"/>
      <c r="AS458" s="272"/>
      <c r="AT458" s="272"/>
      <c r="AU458" s="286"/>
    </row>
    <row r="459" spans="1:47" ht="60" customHeight="1" x14ac:dyDescent="0.35">
      <c r="A459" s="282" t="s">
        <v>7615</v>
      </c>
      <c r="B459" s="260" t="s">
        <v>7616</v>
      </c>
      <c r="C459" s="261" t="s">
        <v>7632</v>
      </c>
      <c r="D459" s="264" t="s">
        <v>7633</v>
      </c>
      <c r="E459" s="265" t="s">
        <v>6741</v>
      </c>
      <c r="F459" s="268" t="s">
        <v>7619</v>
      </c>
      <c r="G459" s="271" t="str">
        <f>IF(COUNTIF(H459:AU459,"&lt;&gt;")=0,"",SUMPRODUCT(((Recommendations[ImplStatus]="Implemented")+(Recommendations[ImplStatus]="Compensated"))*ISNUMBER(MATCH(Recommendations[Id],H459:AU459,0)))/COUNTIF(H459:AU459,"&lt;&gt;"))</f>
        <v/>
      </c>
      <c r="H459" s="272"/>
      <c r="I459" s="272"/>
      <c r="J459" s="272"/>
      <c r="K459" s="272"/>
      <c r="L459" s="272"/>
      <c r="M459" s="272"/>
      <c r="N459" s="272"/>
      <c r="O459" s="272"/>
      <c r="P459" s="272"/>
      <c r="Q459" s="272"/>
      <c r="R459" s="272"/>
      <c r="S459" s="272"/>
      <c r="T459" s="272"/>
      <c r="U459" s="272"/>
      <c r="V459" s="272"/>
      <c r="W459" s="272"/>
      <c r="X459" s="272"/>
      <c r="Y459" s="272"/>
      <c r="Z459" s="272"/>
      <c r="AA459" s="272"/>
      <c r="AB459" s="272"/>
      <c r="AC459" s="272"/>
      <c r="AD459" s="272"/>
      <c r="AE459" s="272"/>
      <c r="AF459" s="272"/>
      <c r="AG459" s="272"/>
      <c r="AH459" s="272"/>
      <c r="AI459" s="272"/>
      <c r="AJ459" s="272"/>
      <c r="AK459" s="272"/>
      <c r="AL459" s="272"/>
      <c r="AM459" s="272"/>
      <c r="AN459" s="272"/>
      <c r="AO459" s="272"/>
      <c r="AP459" s="272"/>
      <c r="AQ459" s="272"/>
      <c r="AR459" s="272"/>
      <c r="AS459" s="272"/>
      <c r="AT459" s="272"/>
      <c r="AU459" s="286"/>
    </row>
    <row r="460" spans="1:47" ht="60" customHeight="1" x14ac:dyDescent="0.35">
      <c r="A460" s="282" t="s">
        <v>7615</v>
      </c>
      <c r="B460" s="260" t="s">
        <v>7616</v>
      </c>
      <c r="C460" s="261" t="s">
        <v>7634</v>
      </c>
      <c r="D460" s="264" t="s">
        <v>7635</v>
      </c>
      <c r="E460" s="265" t="s">
        <v>6741</v>
      </c>
      <c r="F460" s="268" t="s">
        <v>7619</v>
      </c>
      <c r="G460" s="271" t="str">
        <f>IF(COUNTIF(H460:AU460,"&lt;&gt;")=0,"",SUMPRODUCT(((Recommendations[ImplStatus]="Implemented")+(Recommendations[ImplStatus]="Compensated"))*ISNUMBER(MATCH(Recommendations[Id],H460:AU460,0)))/COUNTIF(H460:AU460,"&lt;&gt;"))</f>
        <v/>
      </c>
      <c r="H460" s="272"/>
      <c r="I460" s="272"/>
      <c r="J460" s="272"/>
      <c r="K460" s="272"/>
      <c r="L460" s="272"/>
      <c r="M460" s="272"/>
      <c r="N460" s="272"/>
      <c r="O460" s="272"/>
      <c r="P460" s="272"/>
      <c r="Q460" s="272"/>
      <c r="R460" s="272"/>
      <c r="S460" s="272"/>
      <c r="T460" s="272"/>
      <c r="U460" s="272"/>
      <c r="V460" s="272"/>
      <c r="W460" s="272"/>
      <c r="X460" s="272"/>
      <c r="Y460" s="272"/>
      <c r="Z460" s="272"/>
      <c r="AA460" s="272"/>
      <c r="AB460" s="272"/>
      <c r="AC460" s="272"/>
      <c r="AD460" s="272"/>
      <c r="AE460" s="272"/>
      <c r="AF460" s="272"/>
      <c r="AG460" s="272"/>
      <c r="AH460" s="272"/>
      <c r="AI460" s="272"/>
      <c r="AJ460" s="272"/>
      <c r="AK460" s="272"/>
      <c r="AL460" s="272"/>
      <c r="AM460" s="272"/>
      <c r="AN460" s="272"/>
      <c r="AO460" s="272"/>
      <c r="AP460" s="272"/>
      <c r="AQ460" s="272"/>
      <c r="AR460" s="272"/>
      <c r="AS460" s="272"/>
      <c r="AT460" s="272"/>
      <c r="AU460" s="286"/>
    </row>
    <row r="461" spans="1:47" ht="60" customHeight="1" x14ac:dyDescent="0.35">
      <c r="A461" s="282" t="s">
        <v>7615</v>
      </c>
      <c r="B461" s="260" t="s">
        <v>7616</v>
      </c>
      <c r="C461" s="261" t="s">
        <v>7636</v>
      </c>
      <c r="D461" s="264" t="s">
        <v>7637</v>
      </c>
      <c r="E461" s="265" t="s">
        <v>6741</v>
      </c>
      <c r="F461" s="268" t="s">
        <v>7619</v>
      </c>
      <c r="G461" s="271" t="str">
        <f>IF(COUNTIF(H461:AU461,"&lt;&gt;")=0,"",SUMPRODUCT(((Recommendations[ImplStatus]="Implemented")+(Recommendations[ImplStatus]="Compensated"))*ISNUMBER(MATCH(Recommendations[Id],H461:AU461,0)))/COUNTIF(H461:AU461,"&lt;&gt;"))</f>
        <v/>
      </c>
      <c r="H461" s="272"/>
      <c r="I461" s="272"/>
      <c r="J461" s="272"/>
      <c r="K461" s="272"/>
      <c r="L461" s="272"/>
      <c r="M461" s="272"/>
      <c r="N461" s="272"/>
      <c r="O461" s="272"/>
      <c r="P461" s="272"/>
      <c r="Q461" s="272"/>
      <c r="R461" s="272"/>
      <c r="S461" s="272"/>
      <c r="T461" s="272"/>
      <c r="U461" s="272"/>
      <c r="V461" s="272"/>
      <c r="W461" s="272"/>
      <c r="X461" s="272"/>
      <c r="Y461" s="272"/>
      <c r="Z461" s="272"/>
      <c r="AA461" s="272"/>
      <c r="AB461" s="272"/>
      <c r="AC461" s="272"/>
      <c r="AD461" s="272"/>
      <c r="AE461" s="272"/>
      <c r="AF461" s="272"/>
      <c r="AG461" s="272"/>
      <c r="AH461" s="272"/>
      <c r="AI461" s="272"/>
      <c r="AJ461" s="272"/>
      <c r="AK461" s="272"/>
      <c r="AL461" s="272"/>
      <c r="AM461" s="272"/>
      <c r="AN461" s="272"/>
      <c r="AO461" s="272"/>
      <c r="AP461" s="272"/>
      <c r="AQ461" s="272"/>
      <c r="AR461" s="272"/>
      <c r="AS461" s="272"/>
      <c r="AT461" s="272"/>
      <c r="AU461" s="286"/>
    </row>
    <row r="462" spans="1:47" ht="60" customHeight="1" x14ac:dyDescent="0.35">
      <c r="A462" s="282" t="s">
        <v>7615</v>
      </c>
      <c r="B462" s="260" t="s">
        <v>7616</v>
      </c>
      <c r="C462" s="261" t="s">
        <v>7638</v>
      </c>
      <c r="D462" s="264" t="s">
        <v>7639</v>
      </c>
      <c r="E462" s="265" t="s">
        <v>6741</v>
      </c>
      <c r="F462" s="268" t="s">
        <v>7619</v>
      </c>
      <c r="G462" s="271" t="str">
        <f>IF(COUNTIF(H462:AU462,"&lt;&gt;")=0,"",SUMPRODUCT(((Recommendations[ImplStatus]="Implemented")+(Recommendations[ImplStatus]="Compensated"))*ISNUMBER(MATCH(Recommendations[Id],H462:AU462,0)))/COUNTIF(H462:AU462,"&lt;&gt;"))</f>
        <v/>
      </c>
      <c r="H462" s="272"/>
      <c r="I462" s="272"/>
      <c r="J462" s="272"/>
      <c r="K462" s="272"/>
      <c r="L462" s="272"/>
      <c r="M462" s="272"/>
      <c r="N462" s="272"/>
      <c r="O462" s="272"/>
      <c r="P462" s="272"/>
      <c r="Q462" s="272"/>
      <c r="R462" s="272"/>
      <c r="S462" s="272"/>
      <c r="T462" s="272"/>
      <c r="U462" s="272"/>
      <c r="V462" s="272"/>
      <c r="W462" s="272"/>
      <c r="X462" s="272"/>
      <c r="Y462" s="272"/>
      <c r="Z462" s="272"/>
      <c r="AA462" s="272"/>
      <c r="AB462" s="272"/>
      <c r="AC462" s="272"/>
      <c r="AD462" s="272"/>
      <c r="AE462" s="272"/>
      <c r="AF462" s="272"/>
      <c r="AG462" s="272"/>
      <c r="AH462" s="272"/>
      <c r="AI462" s="272"/>
      <c r="AJ462" s="272"/>
      <c r="AK462" s="272"/>
      <c r="AL462" s="272"/>
      <c r="AM462" s="272"/>
      <c r="AN462" s="272"/>
      <c r="AO462" s="272"/>
      <c r="AP462" s="272"/>
      <c r="AQ462" s="272"/>
      <c r="AR462" s="272"/>
      <c r="AS462" s="272"/>
      <c r="AT462" s="272"/>
      <c r="AU462" s="286"/>
    </row>
    <row r="463" spans="1:47" ht="60" customHeight="1" x14ac:dyDescent="0.35">
      <c r="A463" s="282" t="s">
        <v>7615</v>
      </c>
      <c r="B463" s="260" t="s">
        <v>7616</v>
      </c>
      <c r="C463" s="261" t="s">
        <v>7640</v>
      </c>
      <c r="D463" s="264" t="s">
        <v>7641</v>
      </c>
      <c r="E463" s="265" t="s">
        <v>6741</v>
      </c>
      <c r="F463" s="268" t="s">
        <v>7619</v>
      </c>
      <c r="G463" s="271" t="str">
        <f>IF(COUNTIF(H463:AU463,"&lt;&gt;")=0,"",SUMPRODUCT(((Recommendations[ImplStatus]="Implemented")+(Recommendations[ImplStatus]="Compensated"))*ISNUMBER(MATCH(Recommendations[Id],H463:AU463,0)))/COUNTIF(H463:AU463,"&lt;&gt;"))</f>
        <v/>
      </c>
      <c r="H463" s="272"/>
      <c r="I463" s="272"/>
      <c r="J463" s="272"/>
      <c r="K463" s="272"/>
      <c r="L463" s="272"/>
      <c r="M463" s="272"/>
      <c r="N463" s="272"/>
      <c r="O463" s="272"/>
      <c r="P463" s="272"/>
      <c r="Q463" s="272"/>
      <c r="R463" s="272"/>
      <c r="S463" s="272"/>
      <c r="T463" s="272"/>
      <c r="U463" s="272"/>
      <c r="V463" s="272"/>
      <c r="W463" s="272"/>
      <c r="X463" s="272"/>
      <c r="Y463" s="272"/>
      <c r="Z463" s="272"/>
      <c r="AA463" s="272"/>
      <c r="AB463" s="272"/>
      <c r="AC463" s="272"/>
      <c r="AD463" s="272"/>
      <c r="AE463" s="272"/>
      <c r="AF463" s="272"/>
      <c r="AG463" s="272"/>
      <c r="AH463" s="272"/>
      <c r="AI463" s="272"/>
      <c r="AJ463" s="272"/>
      <c r="AK463" s="272"/>
      <c r="AL463" s="272"/>
      <c r="AM463" s="272"/>
      <c r="AN463" s="272"/>
      <c r="AO463" s="272"/>
      <c r="AP463" s="272"/>
      <c r="AQ463" s="272"/>
      <c r="AR463" s="272"/>
      <c r="AS463" s="272"/>
      <c r="AT463" s="272"/>
      <c r="AU463" s="286"/>
    </row>
    <row r="464" spans="1:47" ht="60" customHeight="1" x14ac:dyDescent="0.35">
      <c r="A464" s="282" t="s">
        <v>7615</v>
      </c>
      <c r="B464" s="260" t="s">
        <v>7616</v>
      </c>
      <c r="C464" s="261" t="s">
        <v>7642</v>
      </c>
      <c r="D464" s="264" t="s">
        <v>7643</v>
      </c>
      <c r="E464" s="265" t="s">
        <v>6741</v>
      </c>
      <c r="F464" s="268" t="s">
        <v>7619</v>
      </c>
      <c r="G464" s="271" t="str">
        <f>IF(COUNTIF(H464:AU464,"&lt;&gt;")=0,"",SUMPRODUCT(((Recommendations[ImplStatus]="Implemented")+(Recommendations[ImplStatus]="Compensated"))*ISNUMBER(MATCH(Recommendations[Id],H464:AU464,0)))/COUNTIF(H464:AU464,"&lt;&gt;"))</f>
        <v/>
      </c>
      <c r="H464" s="272"/>
      <c r="I464" s="272"/>
      <c r="J464" s="272"/>
      <c r="K464" s="272"/>
      <c r="L464" s="272"/>
      <c r="M464" s="272"/>
      <c r="N464" s="272"/>
      <c r="O464" s="272"/>
      <c r="P464" s="272"/>
      <c r="Q464" s="272"/>
      <c r="R464" s="272"/>
      <c r="S464" s="272"/>
      <c r="T464" s="272"/>
      <c r="U464" s="272"/>
      <c r="V464" s="272"/>
      <c r="W464" s="272"/>
      <c r="X464" s="272"/>
      <c r="Y464" s="272"/>
      <c r="Z464" s="272"/>
      <c r="AA464" s="272"/>
      <c r="AB464" s="272"/>
      <c r="AC464" s="272"/>
      <c r="AD464" s="272"/>
      <c r="AE464" s="272"/>
      <c r="AF464" s="272"/>
      <c r="AG464" s="272"/>
      <c r="AH464" s="272"/>
      <c r="AI464" s="272"/>
      <c r="AJ464" s="272"/>
      <c r="AK464" s="272"/>
      <c r="AL464" s="272"/>
      <c r="AM464" s="272"/>
      <c r="AN464" s="272"/>
      <c r="AO464" s="272"/>
      <c r="AP464" s="272"/>
      <c r="AQ464" s="272"/>
      <c r="AR464" s="272"/>
      <c r="AS464" s="272"/>
      <c r="AT464" s="272"/>
      <c r="AU464" s="286"/>
    </row>
    <row r="465" spans="1:47" ht="60" customHeight="1" x14ac:dyDescent="0.35">
      <c r="A465" s="282" t="s">
        <v>7615</v>
      </c>
      <c r="B465" s="260" t="s">
        <v>7616</v>
      </c>
      <c r="C465" s="261" t="s">
        <v>7644</v>
      </c>
      <c r="D465" s="264" t="s">
        <v>7645</v>
      </c>
      <c r="E465" s="265" t="s">
        <v>6741</v>
      </c>
      <c r="F465" s="268" t="s">
        <v>7619</v>
      </c>
      <c r="G465" s="271" t="str">
        <f>IF(COUNTIF(H465:AU465,"&lt;&gt;")=0,"",SUMPRODUCT(((Recommendations[ImplStatus]="Implemented")+(Recommendations[ImplStatus]="Compensated"))*ISNUMBER(MATCH(Recommendations[Id],H465:AU465,0)))/COUNTIF(H465:AU465,"&lt;&gt;"))</f>
        <v/>
      </c>
      <c r="H465" s="272"/>
      <c r="I465" s="272"/>
      <c r="J465" s="272"/>
      <c r="K465" s="272"/>
      <c r="L465" s="272"/>
      <c r="M465" s="272"/>
      <c r="N465" s="272"/>
      <c r="O465" s="272"/>
      <c r="P465" s="272"/>
      <c r="Q465" s="272"/>
      <c r="R465" s="272"/>
      <c r="S465" s="272"/>
      <c r="T465" s="272"/>
      <c r="U465" s="272"/>
      <c r="V465" s="272"/>
      <c r="W465" s="272"/>
      <c r="X465" s="272"/>
      <c r="Y465" s="272"/>
      <c r="Z465" s="272"/>
      <c r="AA465" s="272"/>
      <c r="AB465" s="272"/>
      <c r="AC465" s="272"/>
      <c r="AD465" s="272"/>
      <c r="AE465" s="272"/>
      <c r="AF465" s="272"/>
      <c r="AG465" s="272"/>
      <c r="AH465" s="272"/>
      <c r="AI465" s="272"/>
      <c r="AJ465" s="272"/>
      <c r="AK465" s="272"/>
      <c r="AL465" s="272"/>
      <c r="AM465" s="272"/>
      <c r="AN465" s="272"/>
      <c r="AO465" s="272"/>
      <c r="AP465" s="272"/>
      <c r="AQ465" s="272"/>
      <c r="AR465" s="272"/>
      <c r="AS465" s="272"/>
      <c r="AT465" s="272"/>
      <c r="AU465" s="286"/>
    </row>
    <row r="466" spans="1:47" ht="60" customHeight="1" outlineLevel="2" x14ac:dyDescent="0.35">
      <c r="A466" s="281" t="s">
        <v>7615</v>
      </c>
      <c r="B466" s="259" t="s">
        <v>7646</v>
      </c>
      <c r="C466" s="259"/>
      <c r="D466" s="263"/>
      <c r="E466" s="259"/>
      <c r="F466" s="267"/>
      <c r="G466" s="270" t="str">
        <f>IF(COUNTIF(H466:AU466,"&lt;&gt;")=0,"",SUMPRODUCT(((Recommendations[ImplStatus]="Implemented")+(Recommendations[ImplStatus]="Compensated"))*ISNUMBER(MATCH(Recommendations[Id],H466:AU466,0)))/COUNTIF(H466:AU466,"&lt;&gt;"))</f>
        <v/>
      </c>
      <c r="H466" s="267"/>
      <c r="I466" s="267"/>
      <c r="J466" s="267"/>
      <c r="K466" s="267"/>
      <c r="L466" s="267"/>
      <c r="M466" s="267"/>
      <c r="N466" s="267"/>
      <c r="O466" s="267"/>
      <c r="P466" s="267"/>
      <c r="Q466" s="267"/>
      <c r="R466" s="267"/>
      <c r="S466" s="267"/>
      <c r="T466" s="267"/>
      <c r="U466" s="267"/>
      <c r="V466" s="267"/>
      <c r="W466" s="267"/>
      <c r="X466" s="267"/>
      <c r="Y466" s="267"/>
      <c r="Z466" s="267"/>
      <c r="AA466" s="267"/>
      <c r="AB466" s="267"/>
      <c r="AC466" s="267"/>
      <c r="AD466" s="267"/>
      <c r="AE466" s="267"/>
      <c r="AF466" s="267"/>
      <c r="AG466" s="267"/>
      <c r="AH466" s="267"/>
      <c r="AI466" s="267"/>
      <c r="AJ466" s="267"/>
      <c r="AK466" s="267"/>
      <c r="AL466" s="267"/>
      <c r="AM466" s="267"/>
      <c r="AN466" s="267"/>
      <c r="AO466" s="267"/>
      <c r="AP466" s="267"/>
      <c r="AQ466" s="267"/>
      <c r="AR466" s="267"/>
      <c r="AS466" s="267"/>
      <c r="AT466" s="267"/>
      <c r="AU466" s="285"/>
    </row>
    <row r="467" spans="1:47" ht="60" customHeight="1" x14ac:dyDescent="0.35">
      <c r="A467" s="282" t="s">
        <v>7615</v>
      </c>
      <c r="B467" s="260" t="s">
        <v>7646</v>
      </c>
      <c r="C467" s="261" t="s">
        <v>7647</v>
      </c>
      <c r="D467" s="264" t="s">
        <v>7648</v>
      </c>
      <c r="E467" s="265" t="s">
        <v>6712</v>
      </c>
      <c r="F467" s="268" t="s">
        <v>6851</v>
      </c>
      <c r="G467" s="271" t="str">
        <f>IF(COUNTIF(H467:AU467,"&lt;&gt;")=0,"",SUMPRODUCT(((Recommendations[ImplStatus]="Implemented")+(Recommendations[ImplStatus]="Compensated"))*ISNUMBER(MATCH(Recommendations[Id],H467:AU467,0)))/COUNTIF(H467:AU467,"&lt;&gt;"))</f>
        <v/>
      </c>
      <c r="H467" s="272"/>
      <c r="I467" s="272"/>
      <c r="J467" s="272"/>
      <c r="K467" s="272"/>
      <c r="L467" s="272"/>
      <c r="M467" s="272"/>
      <c r="N467" s="272"/>
      <c r="O467" s="272"/>
      <c r="P467" s="272"/>
      <c r="Q467" s="272"/>
      <c r="R467" s="272"/>
      <c r="S467" s="272"/>
      <c r="T467" s="272"/>
      <c r="U467" s="272"/>
      <c r="V467" s="272"/>
      <c r="W467" s="272"/>
      <c r="X467" s="272"/>
      <c r="Y467" s="272"/>
      <c r="Z467" s="272"/>
      <c r="AA467" s="272"/>
      <c r="AB467" s="272"/>
      <c r="AC467" s="272"/>
      <c r="AD467" s="272"/>
      <c r="AE467" s="272"/>
      <c r="AF467" s="272"/>
      <c r="AG467" s="272"/>
      <c r="AH467" s="272"/>
      <c r="AI467" s="272"/>
      <c r="AJ467" s="272"/>
      <c r="AK467" s="272"/>
      <c r="AL467" s="272"/>
      <c r="AM467" s="272"/>
      <c r="AN467" s="272"/>
      <c r="AO467" s="272"/>
      <c r="AP467" s="272"/>
      <c r="AQ467" s="272"/>
      <c r="AR467" s="272"/>
      <c r="AS467" s="272"/>
      <c r="AT467" s="272"/>
      <c r="AU467" s="286"/>
    </row>
    <row r="468" spans="1:47" ht="60" customHeight="1" x14ac:dyDescent="0.35">
      <c r="A468" s="282" t="s">
        <v>7615</v>
      </c>
      <c r="B468" s="260" t="s">
        <v>7646</v>
      </c>
      <c r="C468" s="261" t="s">
        <v>7649</v>
      </c>
      <c r="D468" s="264" t="s">
        <v>7650</v>
      </c>
      <c r="E468" s="265" t="s">
        <v>6712</v>
      </c>
      <c r="F468" s="268" t="s">
        <v>6851</v>
      </c>
      <c r="G468" s="271" t="str">
        <f>IF(COUNTIF(H468:AU468,"&lt;&gt;")=0,"",SUMPRODUCT(((Recommendations[ImplStatus]="Implemented")+(Recommendations[ImplStatus]="Compensated"))*ISNUMBER(MATCH(Recommendations[Id],H468:AU468,0)))/COUNTIF(H468:AU468,"&lt;&gt;"))</f>
        <v/>
      </c>
      <c r="H468" s="272"/>
      <c r="I468" s="272"/>
      <c r="J468" s="272"/>
      <c r="K468" s="272"/>
      <c r="L468" s="272"/>
      <c r="M468" s="272"/>
      <c r="N468" s="272"/>
      <c r="O468" s="272"/>
      <c r="P468" s="272"/>
      <c r="Q468" s="272"/>
      <c r="R468" s="272"/>
      <c r="S468" s="272"/>
      <c r="T468" s="272"/>
      <c r="U468" s="272"/>
      <c r="V468" s="272"/>
      <c r="W468" s="272"/>
      <c r="X468" s="272"/>
      <c r="Y468" s="272"/>
      <c r="Z468" s="272"/>
      <c r="AA468" s="272"/>
      <c r="AB468" s="272"/>
      <c r="AC468" s="272"/>
      <c r="AD468" s="272"/>
      <c r="AE468" s="272"/>
      <c r="AF468" s="272"/>
      <c r="AG468" s="272"/>
      <c r="AH468" s="272"/>
      <c r="AI468" s="272"/>
      <c r="AJ468" s="272"/>
      <c r="AK468" s="272"/>
      <c r="AL468" s="272"/>
      <c r="AM468" s="272"/>
      <c r="AN468" s="272"/>
      <c r="AO468" s="272"/>
      <c r="AP468" s="272"/>
      <c r="AQ468" s="272"/>
      <c r="AR468" s="272"/>
      <c r="AS468" s="272"/>
      <c r="AT468" s="272"/>
      <c r="AU468" s="286"/>
    </row>
    <row r="469" spans="1:47" ht="60" customHeight="1" x14ac:dyDescent="0.35">
      <c r="A469" s="282" t="s">
        <v>7615</v>
      </c>
      <c r="B469" s="260" t="s">
        <v>7646</v>
      </c>
      <c r="C469" s="261" t="s">
        <v>7651</v>
      </c>
      <c r="D469" s="264" t="s">
        <v>7652</v>
      </c>
      <c r="E469" s="265" t="s">
        <v>6712</v>
      </c>
      <c r="F469" s="268" t="s">
        <v>6851</v>
      </c>
      <c r="G469" s="271" t="str">
        <f>IF(COUNTIF(H469:AU469,"&lt;&gt;")=0,"",SUMPRODUCT(((Recommendations[ImplStatus]="Implemented")+(Recommendations[ImplStatus]="Compensated"))*ISNUMBER(MATCH(Recommendations[Id],H469:AU469,0)))/COUNTIF(H469:AU469,"&lt;&gt;"))</f>
        <v/>
      </c>
      <c r="H469" s="272"/>
      <c r="I469" s="272"/>
      <c r="J469" s="272"/>
      <c r="K469" s="272"/>
      <c r="L469" s="272"/>
      <c r="M469" s="272"/>
      <c r="N469" s="272"/>
      <c r="O469" s="272"/>
      <c r="P469" s="272"/>
      <c r="Q469" s="272"/>
      <c r="R469" s="272"/>
      <c r="S469" s="272"/>
      <c r="T469" s="272"/>
      <c r="U469" s="272"/>
      <c r="V469" s="272"/>
      <c r="W469" s="272"/>
      <c r="X469" s="272"/>
      <c r="Y469" s="272"/>
      <c r="Z469" s="272"/>
      <c r="AA469" s="272"/>
      <c r="AB469" s="272"/>
      <c r="AC469" s="272"/>
      <c r="AD469" s="272"/>
      <c r="AE469" s="272"/>
      <c r="AF469" s="272"/>
      <c r="AG469" s="272"/>
      <c r="AH469" s="272"/>
      <c r="AI469" s="272"/>
      <c r="AJ469" s="272"/>
      <c r="AK469" s="272"/>
      <c r="AL469" s="272"/>
      <c r="AM469" s="272"/>
      <c r="AN469" s="272"/>
      <c r="AO469" s="272"/>
      <c r="AP469" s="272"/>
      <c r="AQ469" s="272"/>
      <c r="AR469" s="272"/>
      <c r="AS469" s="272"/>
      <c r="AT469" s="272"/>
      <c r="AU469" s="286"/>
    </row>
    <row r="470" spans="1:47" ht="60" customHeight="1" x14ac:dyDescent="0.35">
      <c r="A470" s="282" t="s">
        <v>7615</v>
      </c>
      <c r="B470" s="260" t="s">
        <v>7646</v>
      </c>
      <c r="C470" s="261" t="s">
        <v>7653</v>
      </c>
      <c r="D470" s="264" t="s">
        <v>7654</v>
      </c>
      <c r="E470" s="265" t="s">
        <v>6808</v>
      </c>
      <c r="F470" s="268" t="s">
        <v>7220</v>
      </c>
      <c r="G470" s="271" t="str">
        <f>IF(COUNTIF(H470:AU470,"&lt;&gt;")=0,"",SUMPRODUCT(((Recommendations[ImplStatus]="Implemented")+(Recommendations[ImplStatus]="Compensated"))*ISNUMBER(MATCH(Recommendations[Id],H470:AU470,0)))/COUNTIF(H470:AU470,"&lt;&gt;"))</f>
        <v/>
      </c>
      <c r="H470" s="272"/>
      <c r="I470" s="272"/>
      <c r="J470" s="272"/>
      <c r="K470" s="272"/>
      <c r="L470" s="272"/>
      <c r="M470" s="272"/>
      <c r="N470" s="272"/>
      <c r="O470" s="272"/>
      <c r="P470" s="272"/>
      <c r="Q470" s="272"/>
      <c r="R470" s="272"/>
      <c r="S470" s="272"/>
      <c r="T470" s="272"/>
      <c r="U470" s="272"/>
      <c r="V470" s="272"/>
      <c r="W470" s="272"/>
      <c r="X470" s="272"/>
      <c r="Y470" s="272"/>
      <c r="Z470" s="272"/>
      <c r="AA470" s="272"/>
      <c r="AB470" s="272"/>
      <c r="AC470" s="272"/>
      <c r="AD470" s="272"/>
      <c r="AE470" s="272"/>
      <c r="AF470" s="272"/>
      <c r="AG470" s="272"/>
      <c r="AH470" s="272"/>
      <c r="AI470" s="272"/>
      <c r="AJ470" s="272"/>
      <c r="AK470" s="272"/>
      <c r="AL470" s="272"/>
      <c r="AM470" s="272"/>
      <c r="AN470" s="272"/>
      <c r="AO470" s="272"/>
      <c r="AP470" s="272"/>
      <c r="AQ470" s="272"/>
      <c r="AR470" s="272"/>
      <c r="AS470" s="272"/>
      <c r="AT470" s="272"/>
      <c r="AU470" s="286"/>
    </row>
    <row r="471" spans="1:47" ht="60" customHeight="1" x14ac:dyDescent="0.35">
      <c r="A471" s="282" t="s">
        <v>7615</v>
      </c>
      <c r="B471" s="260" t="s">
        <v>7646</v>
      </c>
      <c r="C471" s="261" t="s">
        <v>7655</v>
      </c>
      <c r="D471" s="264" t="s">
        <v>7656</v>
      </c>
      <c r="E471" s="265" t="s">
        <v>6808</v>
      </c>
      <c r="F471" s="268" t="s">
        <v>7220</v>
      </c>
      <c r="G471" s="271" t="str">
        <f>IF(COUNTIF(H471:AU471,"&lt;&gt;")=0,"",SUMPRODUCT(((Recommendations[ImplStatus]="Implemented")+(Recommendations[ImplStatus]="Compensated"))*ISNUMBER(MATCH(Recommendations[Id],H471:AU471,0)))/COUNTIF(H471:AU471,"&lt;&gt;"))</f>
        <v/>
      </c>
      <c r="H471" s="272"/>
      <c r="I471" s="272"/>
      <c r="J471" s="272"/>
      <c r="K471" s="272"/>
      <c r="L471" s="272"/>
      <c r="M471" s="272"/>
      <c r="N471" s="272"/>
      <c r="O471" s="272"/>
      <c r="P471" s="272"/>
      <c r="Q471" s="272"/>
      <c r="R471" s="272"/>
      <c r="S471" s="272"/>
      <c r="T471" s="272"/>
      <c r="U471" s="272"/>
      <c r="V471" s="272"/>
      <c r="W471" s="272"/>
      <c r="X471" s="272"/>
      <c r="Y471" s="272"/>
      <c r="Z471" s="272"/>
      <c r="AA471" s="272"/>
      <c r="AB471" s="272"/>
      <c r="AC471" s="272"/>
      <c r="AD471" s="272"/>
      <c r="AE471" s="272"/>
      <c r="AF471" s="272"/>
      <c r="AG471" s="272"/>
      <c r="AH471" s="272"/>
      <c r="AI471" s="272"/>
      <c r="AJ471" s="272"/>
      <c r="AK471" s="272"/>
      <c r="AL471" s="272"/>
      <c r="AM471" s="272"/>
      <c r="AN471" s="272"/>
      <c r="AO471" s="272"/>
      <c r="AP471" s="272"/>
      <c r="AQ471" s="272"/>
      <c r="AR471" s="272"/>
      <c r="AS471" s="272"/>
      <c r="AT471" s="272"/>
      <c r="AU471" s="286"/>
    </row>
    <row r="472" spans="1:47" ht="60" customHeight="1" x14ac:dyDescent="0.35">
      <c r="A472" s="282" t="s">
        <v>7615</v>
      </c>
      <c r="B472" s="260" t="s">
        <v>7646</v>
      </c>
      <c r="C472" s="261" t="s">
        <v>7657</v>
      </c>
      <c r="D472" s="264" t="s">
        <v>7658</v>
      </c>
      <c r="E472" s="265" t="s">
        <v>6712</v>
      </c>
      <c r="F472" s="268" t="s">
        <v>7220</v>
      </c>
      <c r="G472" s="271" t="str">
        <f>IF(COUNTIF(H472:AU472,"&lt;&gt;")=0,"",SUMPRODUCT(((Recommendations[ImplStatus]="Implemented")+(Recommendations[ImplStatus]="Compensated"))*ISNUMBER(MATCH(Recommendations[Id],H472:AU472,0)))/COUNTIF(H472:AU472,"&lt;&gt;"))</f>
        <v/>
      </c>
      <c r="H472" s="272"/>
      <c r="I472" s="272"/>
      <c r="J472" s="272"/>
      <c r="K472" s="272"/>
      <c r="L472" s="272"/>
      <c r="M472" s="272"/>
      <c r="N472" s="272"/>
      <c r="O472" s="272"/>
      <c r="P472" s="272"/>
      <c r="Q472" s="272"/>
      <c r="R472" s="272"/>
      <c r="S472" s="272"/>
      <c r="T472" s="272"/>
      <c r="U472" s="272"/>
      <c r="V472" s="272"/>
      <c r="W472" s="272"/>
      <c r="X472" s="272"/>
      <c r="Y472" s="272"/>
      <c r="Z472" s="272"/>
      <c r="AA472" s="272"/>
      <c r="AB472" s="272"/>
      <c r="AC472" s="272"/>
      <c r="AD472" s="272"/>
      <c r="AE472" s="272"/>
      <c r="AF472" s="272"/>
      <c r="AG472" s="272"/>
      <c r="AH472" s="272"/>
      <c r="AI472" s="272"/>
      <c r="AJ472" s="272"/>
      <c r="AK472" s="272"/>
      <c r="AL472" s="272"/>
      <c r="AM472" s="272"/>
      <c r="AN472" s="272"/>
      <c r="AO472" s="272"/>
      <c r="AP472" s="272"/>
      <c r="AQ472" s="272"/>
      <c r="AR472" s="272"/>
      <c r="AS472" s="272"/>
      <c r="AT472" s="272"/>
      <c r="AU472" s="286"/>
    </row>
    <row r="473" spans="1:47" ht="60" customHeight="1" x14ac:dyDescent="0.35">
      <c r="A473" s="282" t="s">
        <v>7615</v>
      </c>
      <c r="B473" s="260" t="s">
        <v>7646</v>
      </c>
      <c r="C473" s="261" t="s">
        <v>7659</v>
      </c>
      <c r="D473" s="264" t="s">
        <v>7660</v>
      </c>
      <c r="E473" s="265" t="s">
        <v>6712</v>
      </c>
      <c r="F473" s="268" t="s">
        <v>7159</v>
      </c>
      <c r="G473" s="271" t="str">
        <f>IF(COUNTIF(H473:AU473,"&lt;&gt;")=0,"",SUMPRODUCT(((Recommendations[ImplStatus]="Implemented")+(Recommendations[ImplStatus]="Compensated"))*ISNUMBER(MATCH(Recommendations[Id],H473:AU473,0)))/COUNTIF(H473:AU473,"&lt;&gt;"))</f>
        <v/>
      </c>
      <c r="H473" s="272"/>
      <c r="I473" s="272"/>
      <c r="J473" s="272"/>
      <c r="K473" s="272"/>
      <c r="L473" s="272"/>
      <c r="M473" s="272"/>
      <c r="N473" s="272"/>
      <c r="O473" s="272"/>
      <c r="P473" s="272"/>
      <c r="Q473" s="272"/>
      <c r="R473" s="272"/>
      <c r="S473" s="272"/>
      <c r="T473" s="272"/>
      <c r="U473" s="272"/>
      <c r="V473" s="272"/>
      <c r="W473" s="272"/>
      <c r="X473" s="272"/>
      <c r="Y473" s="272"/>
      <c r="Z473" s="272"/>
      <c r="AA473" s="272"/>
      <c r="AB473" s="272"/>
      <c r="AC473" s="272"/>
      <c r="AD473" s="272"/>
      <c r="AE473" s="272"/>
      <c r="AF473" s="272"/>
      <c r="AG473" s="272"/>
      <c r="AH473" s="272"/>
      <c r="AI473" s="272"/>
      <c r="AJ473" s="272"/>
      <c r="AK473" s="272"/>
      <c r="AL473" s="272"/>
      <c r="AM473" s="272"/>
      <c r="AN473" s="272"/>
      <c r="AO473" s="272"/>
      <c r="AP473" s="272"/>
      <c r="AQ473" s="272"/>
      <c r="AR473" s="272"/>
      <c r="AS473" s="272"/>
      <c r="AT473" s="272"/>
      <c r="AU473" s="286"/>
    </row>
    <row r="474" spans="1:47" ht="60" customHeight="1" x14ac:dyDescent="0.35">
      <c r="A474" s="282" t="s">
        <v>7615</v>
      </c>
      <c r="B474" s="260" t="s">
        <v>7646</v>
      </c>
      <c r="C474" s="261" t="s">
        <v>7661</v>
      </c>
      <c r="D474" s="264" t="s">
        <v>7662</v>
      </c>
      <c r="E474" s="265" t="s">
        <v>6741</v>
      </c>
      <c r="F474" s="268" t="s">
        <v>7159</v>
      </c>
      <c r="G474" s="271" t="str">
        <f>IF(COUNTIF(H474:AU474,"&lt;&gt;")=0,"",SUMPRODUCT(((Recommendations[ImplStatus]="Implemented")+(Recommendations[ImplStatus]="Compensated"))*ISNUMBER(MATCH(Recommendations[Id],H474:AU474,0)))/COUNTIF(H474:AU474,"&lt;&gt;"))</f>
        <v/>
      </c>
      <c r="H474" s="272"/>
      <c r="I474" s="272"/>
      <c r="J474" s="272"/>
      <c r="K474" s="272"/>
      <c r="L474" s="272"/>
      <c r="M474" s="272"/>
      <c r="N474" s="272"/>
      <c r="O474" s="272"/>
      <c r="P474" s="272"/>
      <c r="Q474" s="272"/>
      <c r="R474" s="272"/>
      <c r="S474" s="272"/>
      <c r="T474" s="272"/>
      <c r="U474" s="272"/>
      <c r="V474" s="272"/>
      <c r="W474" s="272"/>
      <c r="X474" s="272"/>
      <c r="Y474" s="272"/>
      <c r="Z474" s="272"/>
      <c r="AA474" s="272"/>
      <c r="AB474" s="272"/>
      <c r="AC474" s="272"/>
      <c r="AD474" s="272"/>
      <c r="AE474" s="272"/>
      <c r="AF474" s="272"/>
      <c r="AG474" s="272"/>
      <c r="AH474" s="272"/>
      <c r="AI474" s="272"/>
      <c r="AJ474" s="272"/>
      <c r="AK474" s="272"/>
      <c r="AL474" s="272"/>
      <c r="AM474" s="272"/>
      <c r="AN474" s="272"/>
      <c r="AO474" s="272"/>
      <c r="AP474" s="272"/>
      <c r="AQ474" s="272"/>
      <c r="AR474" s="272"/>
      <c r="AS474" s="272"/>
      <c r="AT474" s="272"/>
      <c r="AU474" s="286"/>
    </row>
    <row r="475" spans="1:47" ht="60" customHeight="1" x14ac:dyDescent="0.35">
      <c r="A475" s="282" t="s">
        <v>7615</v>
      </c>
      <c r="B475" s="260" t="s">
        <v>7646</v>
      </c>
      <c r="C475" s="261" t="s">
        <v>7663</v>
      </c>
      <c r="D475" s="264" t="s">
        <v>7664</v>
      </c>
      <c r="E475" s="265" t="s">
        <v>6741</v>
      </c>
      <c r="F475" s="268" t="s">
        <v>7159</v>
      </c>
      <c r="G475" s="271" t="str">
        <f>IF(COUNTIF(H475:AU475,"&lt;&gt;")=0,"",SUMPRODUCT(((Recommendations[ImplStatus]="Implemented")+(Recommendations[ImplStatus]="Compensated"))*ISNUMBER(MATCH(Recommendations[Id],H475:AU475,0)))/COUNTIF(H475:AU475,"&lt;&gt;"))</f>
        <v/>
      </c>
      <c r="H475" s="272"/>
      <c r="I475" s="272"/>
      <c r="J475" s="272"/>
      <c r="K475" s="272"/>
      <c r="L475" s="272"/>
      <c r="M475" s="272"/>
      <c r="N475" s="272"/>
      <c r="O475" s="272"/>
      <c r="P475" s="272"/>
      <c r="Q475" s="272"/>
      <c r="R475" s="272"/>
      <c r="S475" s="272"/>
      <c r="T475" s="272"/>
      <c r="U475" s="272"/>
      <c r="V475" s="272"/>
      <c r="W475" s="272"/>
      <c r="X475" s="272"/>
      <c r="Y475" s="272"/>
      <c r="Z475" s="272"/>
      <c r="AA475" s="272"/>
      <c r="AB475" s="272"/>
      <c r="AC475" s="272"/>
      <c r="AD475" s="272"/>
      <c r="AE475" s="272"/>
      <c r="AF475" s="272"/>
      <c r="AG475" s="272"/>
      <c r="AH475" s="272"/>
      <c r="AI475" s="272"/>
      <c r="AJ475" s="272"/>
      <c r="AK475" s="272"/>
      <c r="AL475" s="272"/>
      <c r="AM475" s="272"/>
      <c r="AN475" s="272"/>
      <c r="AO475" s="272"/>
      <c r="AP475" s="272"/>
      <c r="AQ475" s="272"/>
      <c r="AR475" s="272"/>
      <c r="AS475" s="272"/>
      <c r="AT475" s="272"/>
      <c r="AU475" s="286"/>
    </row>
    <row r="476" spans="1:47" ht="60" customHeight="1" x14ac:dyDescent="0.35">
      <c r="A476" s="282" t="s">
        <v>7615</v>
      </c>
      <c r="B476" s="260" t="s">
        <v>7646</v>
      </c>
      <c r="C476" s="261" t="s">
        <v>7665</v>
      </c>
      <c r="D476" s="264" t="s">
        <v>7666</v>
      </c>
      <c r="E476" s="265" t="s">
        <v>6741</v>
      </c>
      <c r="F476" s="268" t="s">
        <v>7159</v>
      </c>
      <c r="G476" s="271" t="str">
        <f>IF(COUNTIF(H476:AU476,"&lt;&gt;")=0,"",SUMPRODUCT(((Recommendations[ImplStatus]="Implemented")+(Recommendations[ImplStatus]="Compensated"))*ISNUMBER(MATCH(Recommendations[Id],H476:AU476,0)))/COUNTIF(H476:AU476,"&lt;&gt;"))</f>
        <v/>
      </c>
      <c r="H476" s="272"/>
      <c r="I476" s="272"/>
      <c r="J476" s="272"/>
      <c r="K476" s="272"/>
      <c r="L476" s="272"/>
      <c r="M476" s="272"/>
      <c r="N476" s="272"/>
      <c r="O476" s="272"/>
      <c r="P476" s="272"/>
      <c r="Q476" s="272"/>
      <c r="R476" s="272"/>
      <c r="S476" s="272"/>
      <c r="T476" s="272"/>
      <c r="U476" s="272"/>
      <c r="V476" s="272"/>
      <c r="W476" s="272"/>
      <c r="X476" s="272"/>
      <c r="Y476" s="272"/>
      <c r="Z476" s="272"/>
      <c r="AA476" s="272"/>
      <c r="AB476" s="272"/>
      <c r="AC476" s="272"/>
      <c r="AD476" s="272"/>
      <c r="AE476" s="272"/>
      <c r="AF476" s="272"/>
      <c r="AG476" s="272"/>
      <c r="AH476" s="272"/>
      <c r="AI476" s="272"/>
      <c r="AJ476" s="272"/>
      <c r="AK476" s="272"/>
      <c r="AL476" s="272"/>
      <c r="AM476" s="272"/>
      <c r="AN476" s="272"/>
      <c r="AO476" s="272"/>
      <c r="AP476" s="272"/>
      <c r="AQ476" s="272"/>
      <c r="AR476" s="272"/>
      <c r="AS476" s="272"/>
      <c r="AT476" s="272"/>
      <c r="AU476" s="286"/>
    </row>
    <row r="477" spans="1:47" ht="60" customHeight="1" x14ac:dyDescent="0.35">
      <c r="A477" s="282" t="s">
        <v>7615</v>
      </c>
      <c r="B477" s="260" t="s">
        <v>7646</v>
      </c>
      <c r="C477" s="261" t="s">
        <v>7667</v>
      </c>
      <c r="D477" s="264" t="s">
        <v>7668</v>
      </c>
      <c r="E477" s="265" t="s">
        <v>6741</v>
      </c>
      <c r="F477" s="268" t="s">
        <v>7159</v>
      </c>
      <c r="G477" s="271" t="str">
        <f>IF(COUNTIF(H477:AU477,"&lt;&gt;")=0,"",SUMPRODUCT(((Recommendations[ImplStatus]="Implemented")+(Recommendations[ImplStatus]="Compensated"))*ISNUMBER(MATCH(Recommendations[Id],H477:AU477,0)))/COUNTIF(H477:AU477,"&lt;&gt;"))</f>
        <v/>
      </c>
      <c r="H477" s="272"/>
      <c r="I477" s="272"/>
      <c r="J477" s="272"/>
      <c r="K477" s="272"/>
      <c r="L477" s="272"/>
      <c r="M477" s="272"/>
      <c r="N477" s="272"/>
      <c r="O477" s="272"/>
      <c r="P477" s="272"/>
      <c r="Q477" s="272"/>
      <c r="R477" s="272"/>
      <c r="S477" s="272"/>
      <c r="T477" s="272"/>
      <c r="U477" s="272"/>
      <c r="V477" s="272"/>
      <c r="W477" s="272"/>
      <c r="X477" s="272"/>
      <c r="Y477" s="272"/>
      <c r="Z477" s="272"/>
      <c r="AA477" s="272"/>
      <c r="AB477" s="272"/>
      <c r="AC477" s="272"/>
      <c r="AD477" s="272"/>
      <c r="AE477" s="272"/>
      <c r="AF477" s="272"/>
      <c r="AG477" s="272"/>
      <c r="AH477" s="272"/>
      <c r="AI477" s="272"/>
      <c r="AJ477" s="272"/>
      <c r="AK477" s="272"/>
      <c r="AL477" s="272"/>
      <c r="AM477" s="272"/>
      <c r="AN477" s="272"/>
      <c r="AO477" s="272"/>
      <c r="AP477" s="272"/>
      <c r="AQ477" s="272"/>
      <c r="AR477" s="272"/>
      <c r="AS477" s="272"/>
      <c r="AT477" s="272"/>
      <c r="AU477" s="286"/>
    </row>
    <row r="478" spans="1:47" ht="60" customHeight="1" x14ac:dyDescent="0.35">
      <c r="A478" s="282" t="s">
        <v>7615</v>
      </c>
      <c r="B478" s="260" t="s">
        <v>7646</v>
      </c>
      <c r="C478" s="261" t="s">
        <v>7669</v>
      </c>
      <c r="D478" s="264" t="s">
        <v>7670</v>
      </c>
      <c r="E478" s="265" t="s">
        <v>6741</v>
      </c>
      <c r="F478" s="268" t="s">
        <v>7220</v>
      </c>
      <c r="G478" s="271" t="str">
        <f>IF(COUNTIF(H478:AU478,"&lt;&gt;")=0,"",SUMPRODUCT(((Recommendations[ImplStatus]="Implemented")+(Recommendations[ImplStatus]="Compensated"))*ISNUMBER(MATCH(Recommendations[Id],H478:AU478,0)))/COUNTIF(H478:AU478,"&lt;&gt;"))</f>
        <v/>
      </c>
      <c r="H478" s="272"/>
      <c r="I478" s="272"/>
      <c r="J478" s="272"/>
      <c r="K478" s="272"/>
      <c r="L478" s="272"/>
      <c r="M478" s="272"/>
      <c r="N478" s="272"/>
      <c r="O478" s="272"/>
      <c r="P478" s="272"/>
      <c r="Q478" s="272"/>
      <c r="R478" s="272"/>
      <c r="S478" s="272"/>
      <c r="T478" s="272"/>
      <c r="U478" s="272"/>
      <c r="V478" s="272"/>
      <c r="W478" s="272"/>
      <c r="X478" s="272"/>
      <c r="Y478" s="272"/>
      <c r="Z478" s="272"/>
      <c r="AA478" s="272"/>
      <c r="AB478" s="272"/>
      <c r="AC478" s="272"/>
      <c r="AD478" s="272"/>
      <c r="AE478" s="272"/>
      <c r="AF478" s="272"/>
      <c r="AG478" s="272"/>
      <c r="AH478" s="272"/>
      <c r="AI478" s="272"/>
      <c r="AJ478" s="272"/>
      <c r="AK478" s="272"/>
      <c r="AL478" s="272"/>
      <c r="AM478" s="272"/>
      <c r="AN478" s="272"/>
      <c r="AO478" s="272"/>
      <c r="AP478" s="272"/>
      <c r="AQ478" s="272"/>
      <c r="AR478" s="272"/>
      <c r="AS478" s="272"/>
      <c r="AT478" s="272"/>
      <c r="AU478" s="286"/>
    </row>
    <row r="479" spans="1:47" ht="60" customHeight="1" x14ac:dyDescent="0.35">
      <c r="A479" s="282" t="s">
        <v>7615</v>
      </c>
      <c r="B479" s="260" t="s">
        <v>7646</v>
      </c>
      <c r="C479" s="261" t="s">
        <v>7671</v>
      </c>
      <c r="D479" s="264" t="s">
        <v>7672</v>
      </c>
      <c r="E479" s="265" t="s">
        <v>6856</v>
      </c>
      <c r="F479" s="268" t="s">
        <v>7220</v>
      </c>
      <c r="G479" s="271" t="str">
        <f>IF(COUNTIF(H479:AU479,"&lt;&gt;")=0,"",SUMPRODUCT(((Recommendations[ImplStatus]="Implemented")+(Recommendations[ImplStatus]="Compensated"))*ISNUMBER(MATCH(Recommendations[Id],H479:AU479,0)))/COUNTIF(H479:AU479,"&lt;&gt;"))</f>
        <v/>
      </c>
      <c r="H479" s="272"/>
      <c r="I479" s="272"/>
      <c r="J479" s="272"/>
      <c r="K479" s="272"/>
      <c r="L479" s="272"/>
      <c r="M479" s="272"/>
      <c r="N479" s="272"/>
      <c r="O479" s="272"/>
      <c r="P479" s="272"/>
      <c r="Q479" s="272"/>
      <c r="R479" s="272"/>
      <c r="S479" s="272"/>
      <c r="T479" s="272"/>
      <c r="U479" s="272"/>
      <c r="V479" s="272"/>
      <c r="W479" s="272"/>
      <c r="X479" s="272"/>
      <c r="Y479" s="272"/>
      <c r="Z479" s="272"/>
      <c r="AA479" s="272"/>
      <c r="AB479" s="272"/>
      <c r="AC479" s="272"/>
      <c r="AD479" s="272"/>
      <c r="AE479" s="272"/>
      <c r="AF479" s="272"/>
      <c r="AG479" s="272"/>
      <c r="AH479" s="272"/>
      <c r="AI479" s="272"/>
      <c r="AJ479" s="272"/>
      <c r="AK479" s="272"/>
      <c r="AL479" s="272"/>
      <c r="AM479" s="272"/>
      <c r="AN479" s="272"/>
      <c r="AO479" s="272"/>
      <c r="AP479" s="272"/>
      <c r="AQ479" s="272"/>
      <c r="AR479" s="272"/>
      <c r="AS479" s="272"/>
      <c r="AT479" s="272"/>
      <c r="AU479" s="286"/>
    </row>
    <row r="480" spans="1:47" ht="60" customHeight="1" x14ac:dyDescent="0.35">
      <c r="A480" s="282" t="s">
        <v>7615</v>
      </c>
      <c r="B480" s="260" t="s">
        <v>7646</v>
      </c>
      <c r="C480" s="261" t="s">
        <v>7673</v>
      </c>
      <c r="D480" s="264" t="s">
        <v>7674</v>
      </c>
      <c r="E480" s="265" t="s">
        <v>6856</v>
      </c>
      <c r="F480" s="268" t="s">
        <v>7220</v>
      </c>
      <c r="G480" s="271" t="str">
        <f>IF(COUNTIF(H480:AU480,"&lt;&gt;")=0,"",SUMPRODUCT(((Recommendations[ImplStatus]="Implemented")+(Recommendations[ImplStatus]="Compensated"))*ISNUMBER(MATCH(Recommendations[Id],H480:AU480,0)))/COUNTIF(H480:AU480,"&lt;&gt;"))</f>
        <v/>
      </c>
      <c r="H480" s="272"/>
      <c r="I480" s="272"/>
      <c r="J480" s="272"/>
      <c r="K480" s="272"/>
      <c r="L480" s="272"/>
      <c r="M480" s="272"/>
      <c r="N480" s="272"/>
      <c r="O480" s="272"/>
      <c r="P480" s="272"/>
      <c r="Q480" s="272"/>
      <c r="R480" s="272"/>
      <c r="S480" s="272"/>
      <c r="T480" s="272"/>
      <c r="U480" s="272"/>
      <c r="V480" s="272"/>
      <c r="W480" s="272"/>
      <c r="X480" s="272"/>
      <c r="Y480" s="272"/>
      <c r="Z480" s="272"/>
      <c r="AA480" s="272"/>
      <c r="AB480" s="272"/>
      <c r="AC480" s="272"/>
      <c r="AD480" s="272"/>
      <c r="AE480" s="272"/>
      <c r="AF480" s="272"/>
      <c r="AG480" s="272"/>
      <c r="AH480" s="272"/>
      <c r="AI480" s="272"/>
      <c r="AJ480" s="272"/>
      <c r="AK480" s="272"/>
      <c r="AL480" s="272"/>
      <c r="AM480" s="272"/>
      <c r="AN480" s="272"/>
      <c r="AO480" s="272"/>
      <c r="AP480" s="272"/>
      <c r="AQ480" s="272"/>
      <c r="AR480" s="272"/>
      <c r="AS480" s="272"/>
      <c r="AT480" s="272"/>
      <c r="AU480" s="286"/>
    </row>
    <row r="481" spans="1:47" ht="60" customHeight="1" x14ac:dyDescent="0.35">
      <c r="A481" s="283" t="s">
        <v>7615</v>
      </c>
      <c r="B481" s="273" t="s">
        <v>7646</v>
      </c>
      <c r="C481" s="274" t="s">
        <v>7675</v>
      </c>
      <c r="D481" s="275" t="s">
        <v>7676</v>
      </c>
      <c r="E481" s="276" t="s">
        <v>6856</v>
      </c>
      <c r="F481" s="277" t="s">
        <v>6851</v>
      </c>
      <c r="G481" s="278" t="str">
        <f>IF(COUNTIF(H481:AU481,"&lt;&gt;")=0,"",SUMPRODUCT(((Recommendations[ImplStatus]="Implemented")+(Recommendations[ImplStatus]="Compensated"))*ISNUMBER(MATCH(Recommendations[Id],H481:AU481,0)))/COUNTIF(H481:AU481,"&lt;&gt;"))</f>
        <v/>
      </c>
      <c r="H481" s="279"/>
      <c r="I481" s="279"/>
      <c r="J481" s="279"/>
      <c r="K481" s="279"/>
      <c r="L481" s="279"/>
      <c r="M481" s="279"/>
      <c r="N481" s="279"/>
      <c r="O481" s="279"/>
      <c r="P481" s="279"/>
      <c r="Q481" s="279"/>
      <c r="R481" s="279"/>
      <c r="S481" s="279"/>
      <c r="T481" s="279"/>
      <c r="U481" s="279"/>
      <c r="V481" s="279"/>
      <c r="W481" s="279"/>
      <c r="X481" s="279"/>
      <c r="Y481" s="279"/>
      <c r="Z481" s="279"/>
      <c r="AA481" s="279"/>
      <c r="AB481" s="279"/>
      <c r="AC481" s="279"/>
      <c r="AD481" s="279"/>
      <c r="AE481" s="279"/>
      <c r="AF481" s="279"/>
      <c r="AG481" s="279"/>
      <c r="AH481" s="279"/>
      <c r="AI481" s="279"/>
      <c r="AJ481" s="279"/>
      <c r="AK481" s="279"/>
      <c r="AL481" s="279"/>
      <c r="AM481" s="279"/>
      <c r="AN481" s="279"/>
      <c r="AO481" s="279"/>
      <c r="AP481" s="279"/>
      <c r="AQ481" s="279"/>
      <c r="AR481" s="279"/>
      <c r="AS481" s="279"/>
      <c r="AT481" s="279"/>
      <c r="AU481" s="287"/>
    </row>
    <row r="485" spans="1:47" ht="32" customHeight="1" x14ac:dyDescent="0.35">
      <c r="A485" s="291" t="s">
        <v>1971</v>
      </c>
      <c r="B485" s="291"/>
      <c r="C485" s="291"/>
      <c r="D485" s="291"/>
      <c r="E485" s="291"/>
      <c r="F485" s="291"/>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IFERROR(INDEX('Recommendations'!$H$2:$H$461, MATCH(H2,'Recommendations'!$A$2:$A$461,0))="Implemented", FALSE))</xm:f>
            <x14:dxf>
              <font>
                <color rgb="FF000000"/>
              </font>
              <fill>
                <patternFill>
                  <bgColor rgb="FF3C7D22"/>
                </patternFill>
              </fill>
            </x14:dxf>
          </x14:cfRule>
          <x14:cfRule type="expression" priority="2" id="{00000000-000E-0000-0B00-000002000000}">
            <xm:f>AND(H2&lt;&gt;"", IFERROR(INDEX('Recommendations'!$H$2:$H$461, MATCH(H2,'Recommendations'!$A$2:$A$461,0))="Compensated", FALSE))</xm:f>
            <x14:dxf>
              <font>
                <color rgb="FF000000"/>
              </font>
              <fill>
                <patternFill>
                  <bgColor rgb="FFC6E0B4"/>
                </patternFill>
              </fill>
            </x14:dxf>
          </x14:cfRule>
          <x14:cfRule type="expression" priority="3" id="{00000000-000E-0000-0B00-000003000000}">
            <xm:f>AND(H2&lt;&gt;"", IFERROR(INDEX('Recommendations'!$H$2:$H$461, MATCH(H2,'Recommendations'!$A$2:$A$461,0))="Testing", FALSE))</xm:f>
            <x14:dxf>
              <font>
                <color rgb="FF000000"/>
              </font>
              <fill>
                <patternFill>
                  <bgColor rgb="FFFFC000"/>
                </patternFill>
              </fill>
            </x14:dxf>
          </x14:cfRule>
          <x14:cfRule type="expression" priority="4" id="{00000000-000E-0000-0B00-000004000000}">
            <xm:f>AND(H2&lt;&gt;"", IFERROR(INDEX('Recommendations'!$H$2:$H$461, MATCH(H2,'Recommendations'!$A$2:$A$461,0))="Failed", FALSE))</xm:f>
            <x14:dxf>
              <font>
                <color rgb="FF000000"/>
              </font>
              <fill>
                <patternFill>
                  <bgColor rgb="FFD82891"/>
                </patternFill>
              </fill>
            </x14:dxf>
          </x14:cfRule>
          <x14:cfRule type="expression" priority="5" id="{00000000-000E-0000-0B00-000005000000}">
            <xm:f>AND(H2&lt;&gt;"", IFERROR(INDEX('Recommendations'!$H$2:$H$461, MATCH(H2,'Recommendations'!$A$2:$A$461,0))="Risk Accepted", FALSE))</xm:f>
            <x14:dxf>
              <font>
                <color rgb="FF000000"/>
              </font>
              <fill>
                <patternFill>
                  <bgColor rgb="FFD9D9D9"/>
                </patternFill>
              </fill>
            </x14:dxf>
          </x14:cfRule>
          <x14:cfRule type="expression" priority="6" id="{00000000-000E-0000-0B00-000006000000}">
            <xm:f>AND(H2&lt;&gt;"", IFERROR(INDEX('Recommendations'!$H$2:$H$461, MATCH(H2,'Recommendations'!$A$2:$A$461,0))="N/A",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10"/>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92" t="s">
        <v>2056</v>
      </c>
      <c r="C2" s="293"/>
      <c r="D2" s="293"/>
      <c r="E2" s="293"/>
      <c r="F2" s="293"/>
      <c r="G2" s="293"/>
      <c r="H2" s="293"/>
      <c r="I2" s="293"/>
    </row>
    <row r="4" spans="2:15" ht="18.5" x14ac:dyDescent="0.45">
      <c r="B4" s="42" t="s">
        <v>2057</v>
      </c>
    </row>
    <row r="5" spans="2:15" x14ac:dyDescent="0.35">
      <c r="B5" s="44" t="s">
        <v>21</v>
      </c>
      <c r="C5" s="44" t="s">
        <v>2058</v>
      </c>
      <c r="D5" s="44" t="s">
        <v>2059</v>
      </c>
      <c r="F5" s="294" t="s">
        <v>2060</v>
      </c>
      <c r="G5" s="294"/>
      <c r="H5" s="294"/>
      <c r="I5" s="295" t="s">
        <v>2061</v>
      </c>
      <c r="J5" s="295"/>
      <c r="K5" s="295"/>
      <c r="L5" s="295"/>
      <c r="M5" s="295"/>
      <c r="N5" s="295"/>
      <c r="O5" s="295"/>
    </row>
    <row r="6" spans="2:15" x14ac:dyDescent="0.35">
      <c r="B6" s="50" t="s">
        <v>2062</v>
      </c>
      <c r="C6" s="51">
        <v>460</v>
      </c>
      <c r="D6" s="52" t="s">
        <v>21</v>
      </c>
      <c r="F6" s="294" t="s">
        <v>2063</v>
      </c>
      <c r="G6" s="294"/>
      <c r="H6" s="294"/>
      <c r="I6" s="296" t="s">
        <v>2064</v>
      </c>
      <c r="J6" s="296"/>
      <c r="K6" s="296"/>
      <c r="L6" s="296"/>
      <c r="M6" s="296"/>
      <c r="N6" s="296"/>
      <c r="O6" s="296"/>
    </row>
    <row r="7" spans="2:15" x14ac:dyDescent="0.35">
      <c r="B7" s="53" t="s">
        <v>2065</v>
      </c>
      <c r="C7" s="54">
        <f>C6-C8-C9</f>
        <v>460</v>
      </c>
      <c r="D7" s="55">
        <f>IF(C6&gt;0,C7/C6,0)</f>
        <v>1</v>
      </c>
      <c r="F7" s="294" t="s">
        <v>2066</v>
      </c>
      <c r="G7" s="294"/>
      <c r="H7" s="294"/>
      <c r="I7" s="296" t="s">
        <v>2064</v>
      </c>
      <c r="J7" s="296"/>
      <c r="K7" s="296"/>
      <c r="L7" s="296"/>
      <c r="M7" s="296"/>
      <c r="N7" s="296"/>
      <c r="O7" s="296"/>
    </row>
    <row r="8" spans="2:15" x14ac:dyDescent="0.35">
      <c r="B8" s="46" t="s">
        <v>2067</v>
      </c>
      <c r="C8" s="47">
        <f>COUNTIF('Recommendations'!H:H,"Risk Accepted")</f>
        <v>0</v>
      </c>
      <c r="D8" s="48">
        <f>IF(C6&gt;0,C8/C6,0)</f>
        <v>0</v>
      </c>
      <c r="F8" s="294" t="s">
        <v>2068</v>
      </c>
      <c r="G8" s="294"/>
      <c r="H8" s="294"/>
      <c r="I8" s="296" t="s">
        <v>2064</v>
      </c>
      <c r="J8" s="296"/>
      <c r="K8" s="296"/>
      <c r="L8" s="296"/>
      <c r="M8" s="296"/>
      <c r="N8" s="296"/>
      <c r="O8" s="296"/>
    </row>
    <row r="9" spans="2:15" x14ac:dyDescent="0.35">
      <c r="B9" s="46" t="s">
        <v>2069</v>
      </c>
      <c r="C9" s="47">
        <f>COUNTIF('Recommendations'!H:H,"N/A")</f>
        <v>0</v>
      </c>
      <c r="D9" s="48">
        <f>IF(C6&gt;0,C9/C6,0)</f>
        <v>0</v>
      </c>
      <c r="F9" s="294" t="s">
        <v>2070</v>
      </c>
      <c r="G9" s="294"/>
      <c r="H9" s="294"/>
      <c r="I9" s="296" t="s">
        <v>2064</v>
      </c>
      <c r="J9" s="296"/>
      <c r="K9" s="296"/>
      <c r="L9" s="296"/>
      <c r="M9" s="296"/>
      <c r="N9" s="296"/>
      <c r="O9" s="296"/>
    </row>
    <row r="12" spans="2:15" ht="18.5" x14ac:dyDescent="0.45">
      <c r="B12" s="42" t="s">
        <v>2071</v>
      </c>
    </row>
    <row r="14" spans="2:15" x14ac:dyDescent="0.35">
      <c r="B14" s="56" t="s">
        <v>2072</v>
      </c>
    </row>
    <row r="15" spans="2:15" x14ac:dyDescent="0.35">
      <c r="B15" s="44" t="s">
        <v>21</v>
      </c>
      <c r="C15" s="44" t="s">
        <v>2073</v>
      </c>
      <c r="D15" s="44" t="s">
        <v>2074</v>
      </c>
      <c r="E15" s="44" t="s">
        <v>2075</v>
      </c>
      <c r="F15" s="44" t="s">
        <v>2076</v>
      </c>
    </row>
    <row r="16" spans="2:15" x14ac:dyDescent="0.35">
      <c r="B16" s="46" t="s">
        <v>2077</v>
      </c>
      <c r="C16" s="47">
        <f>COUNTIF('Recommendations'!M:M,"Resolved")</f>
        <v>0</v>
      </c>
      <c r="D16" s="47">
        <f>COUNTIF('Recommendations'!M:M,"Testing")</f>
        <v>0</v>
      </c>
      <c r="E16" s="47">
        <f>COUNTIF('Recommendations'!M:M,"Outstanding")</f>
        <v>460</v>
      </c>
      <c r="F16" s="47">
        <f>SUM(C16:E16)</f>
        <v>460</v>
      </c>
    </row>
    <row r="18" spans="2:6" x14ac:dyDescent="0.35">
      <c r="B18" s="56" t="s">
        <v>2078</v>
      </c>
    </row>
    <row r="19" spans="2:6" x14ac:dyDescent="0.35">
      <c r="B19" s="57" t="s">
        <v>21</v>
      </c>
      <c r="C19" s="57" t="s">
        <v>2073</v>
      </c>
      <c r="D19" s="57" t="s">
        <v>2074</v>
      </c>
      <c r="E19" s="57" t="s">
        <v>2075</v>
      </c>
      <c r="F19" s="57" t="s">
        <v>21</v>
      </c>
    </row>
    <row r="20" spans="2:6" x14ac:dyDescent="0.35">
      <c r="B20" s="46" t="s">
        <v>2077</v>
      </c>
      <c r="C20" s="48">
        <f>IF(F16&gt;0, C16/F16, 0)</f>
        <v>0</v>
      </c>
      <c r="D20" s="48">
        <f>IF(F16&gt;0, D16/F16, 0)</f>
        <v>0</v>
      </c>
      <c r="E20" s="48">
        <f>IF(F16&gt;0, E16/F16, 0)</f>
        <v>1</v>
      </c>
      <c r="F20" s="49" t="s">
        <v>21</v>
      </c>
    </row>
    <row r="25" spans="2:6" ht="18.5" x14ac:dyDescent="0.45">
      <c r="B25" s="42" t="s">
        <v>2079</v>
      </c>
    </row>
    <row r="27" spans="2:6" x14ac:dyDescent="0.35">
      <c r="B27" s="56" t="s">
        <v>2072</v>
      </c>
    </row>
    <row r="28" spans="2:6" x14ac:dyDescent="0.35">
      <c r="B28" s="44" t="s">
        <v>3</v>
      </c>
      <c r="C28" s="44" t="s">
        <v>2073</v>
      </c>
      <c r="D28" s="44" t="s">
        <v>2074</v>
      </c>
      <c r="E28" s="44" t="s">
        <v>2075</v>
      </c>
      <c r="F28" s="44" t="s">
        <v>2076</v>
      </c>
    </row>
    <row r="29" spans="2:6" x14ac:dyDescent="0.35">
      <c r="B29" s="46" t="s">
        <v>47</v>
      </c>
      <c r="C29" s="47">
        <f>COUNTIFS('Recommendations'!D:D,"VMW vRealize Operations Manager 6.x PostgreSQL",'Recommendations'!M:M,"=Resolved")</f>
        <v>0</v>
      </c>
      <c r="D29" s="47">
        <f>COUNTIFS('Recommendations'!D:D,"=VMW vRealize Operations Manager 6.x PostgreSQL",'Recommendations'!M:M,"=Testing")</f>
        <v>0</v>
      </c>
      <c r="E29" s="47">
        <f>COUNTIFS('Recommendations'!D:D,"=VMW vRealize Operations Manager 6.x PostgreSQL",'Recommendations'!M:M,"=Outstanding")</f>
        <v>69</v>
      </c>
      <c r="F29" s="47">
        <f>SUM(C29:E29)</f>
        <v>69</v>
      </c>
    </row>
    <row r="30" spans="2:6" x14ac:dyDescent="0.35">
      <c r="B30" s="46" t="s">
        <v>17</v>
      </c>
      <c r="C30" s="47">
        <f>COUNTIFS('Recommendations'!D:D,"VMware vRealize Operations Manager 6.x Application",'Recommendations'!M:M,"=Resolved")</f>
        <v>0</v>
      </c>
      <c r="D30" s="47">
        <f>COUNTIFS('Recommendations'!D:D,"=VMware vRealize Operations Manager 6.x Application",'Recommendations'!M:M,"=Testing")</f>
        <v>0</v>
      </c>
      <c r="E30" s="47">
        <f>COUNTIFS('Recommendations'!D:D,"=VMware vRealize Operations Manager 6.x Application",'Recommendations'!M:M,"=Outstanding")</f>
        <v>5</v>
      </c>
      <c r="F30" s="47">
        <f>SUM(C30:E30)</f>
        <v>5</v>
      </c>
    </row>
    <row r="31" spans="2:6" x14ac:dyDescent="0.35">
      <c r="B31" s="46" t="s">
        <v>319</v>
      </c>
      <c r="C31" s="47">
        <f>COUNTIFS('Recommendations'!D:D,"VMware vRealize Operations Manager 6.x SLES",'Recommendations'!M:M,"=Resolved")</f>
        <v>0</v>
      </c>
      <c r="D31" s="47">
        <f>COUNTIFS('Recommendations'!D:D,"=VMware vRealize Operations Manager 6.x SLES",'Recommendations'!M:M,"=Testing")</f>
        <v>0</v>
      </c>
      <c r="E31" s="47">
        <f>COUNTIFS('Recommendations'!D:D,"=VMware vRealize Operations Manager 6.x SLES",'Recommendations'!M:M,"=Outstanding")</f>
        <v>211</v>
      </c>
      <c r="F31" s="47">
        <f>SUM(C31:E31)</f>
        <v>211</v>
      </c>
    </row>
    <row r="32" spans="2:6" x14ac:dyDescent="0.35">
      <c r="B32" s="46" t="s">
        <v>1235</v>
      </c>
      <c r="C32" s="47">
        <f>COUNTIFS('Recommendations'!D:D,"VMware vRealize Operations Manager 6.x tc Server",'Recommendations'!M:M,"=Resolved")</f>
        <v>0</v>
      </c>
      <c r="D32" s="47">
        <f>COUNTIFS('Recommendations'!D:D,"=VMware vRealize Operations Manager 6.x tc Server",'Recommendations'!M:M,"=Testing")</f>
        <v>0</v>
      </c>
      <c r="E32" s="47">
        <f>COUNTIFS('Recommendations'!D:D,"=VMware vRealize Operations Manager 6.x tc Server",'Recommendations'!M:M,"=Outstanding")</f>
        <v>175</v>
      </c>
      <c r="F32" s="47">
        <f>SUM(C32:E32)</f>
        <v>175</v>
      </c>
    </row>
    <row r="34" spans="2:6" x14ac:dyDescent="0.35">
      <c r="B34" s="56" t="s">
        <v>2078</v>
      </c>
    </row>
    <row r="35" spans="2:6" x14ac:dyDescent="0.35">
      <c r="B35" s="57" t="s">
        <v>3</v>
      </c>
      <c r="C35" s="57" t="s">
        <v>2073</v>
      </c>
      <c r="D35" s="57" t="s">
        <v>2074</v>
      </c>
      <c r="E35" s="57" t="s">
        <v>2075</v>
      </c>
      <c r="F35" s="57" t="s">
        <v>21</v>
      </c>
    </row>
    <row r="36" spans="2:6" x14ac:dyDescent="0.35">
      <c r="B36" s="46" t="s">
        <v>47</v>
      </c>
      <c r="C36" s="48">
        <f>IF(F29&gt;0, C29/F29, 0)</f>
        <v>0</v>
      </c>
      <c r="D36" s="48">
        <f>IF(F29&gt;0, D29/F29, 0)</f>
        <v>0</v>
      </c>
      <c r="E36" s="48">
        <f>IF(F29&gt;0, E29/F29, 0)</f>
        <v>1</v>
      </c>
      <c r="F36" s="49" t="s">
        <v>21</v>
      </c>
    </row>
    <row r="37" spans="2:6" x14ac:dyDescent="0.35">
      <c r="B37" s="46" t="s">
        <v>17</v>
      </c>
      <c r="C37" s="48">
        <f>IF(F30&gt;0, C30/F30, 0)</f>
        <v>0</v>
      </c>
      <c r="D37" s="48">
        <f>IF(F30&gt;0, D30/F30, 0)</f>
        <v>0</v>
      </c>
      <c r="E37" s="48">
        <f>IF(F30&gt;0, E30/F30, 0)</f>
        <v>1</v>
      </c>
      <c r="F37" s="49" t="s">
        <v>21</v>
      </c>
    </row>
    <row r="38" spans="2:6" x14ac:dyDescent="0.35">
      <c r="B38" s="46" t="s">
        <v>319</v>
      </c>
      <c r="C38" s="48">
        <f>IF(F31&gt;0, C31/F31, 0)</f>
        <v>0</v>
      </c>
      <c r="D38" s="48">
        <f>IF(F31&gt;0, D31/F31, 0)</f>
        <v>0</v>
      </c>
      <c r="E38" s="48">
        <f>IF(F31&gt;0, E31/F31, 0)</f>
        <v>1</v>
      </c>
      <c r="F38" s="49" t="s">
        <v>21</v>
      </c>
    </row>
    <row r="39" spans="2:6" x14ac:dyDescent="0.35">
      <c r="B39" s="46" t="s">
        <v>1235</v>
      </c>
      <c r="C39" s="48">
        <f>IF(F32&gt;0, C32/F32, 0)</f>
        <v>0</v>
      </c>
      <c r="D39" s="48">
        <f>IF(F32&gt;0, D32/F32, 0)</f>
        <v>0</v>
      </c>
      <c r="E39" s="48">
        <f>IF(F32&gt;0, E32/F32, 0)</f>
        <v>1</v>
      </c>
      <c r="F39" s="49" t="s">
        <v>21</v>
      </c>
    </row>
    <row r="44" spans="2:6" ht="18.5" x14ac:dyDescent="0.45">
      <c r="B44" s="42" t="s">
        <v>2080</v>
      </c>
    </row>
    <row r="46" spans="2:6" x14ac:dyDescent="0.35">
      <c r="B46" s="56" t="s">
        <v>2072</v>
      </c>
    </row>
    <row r="47" spans="2:6" x14ac:dyDescent="0.35">
      <c r="B47" s="44" t="s">
        <v>6</v>
      </c>
      <c r="C47" s="44" t="s">
        <v>2073</v>
      </c>
      <c r="D47" s="44" t="s">
        <v>2074</v>
      </c>
      <c r="E47" s="44" t="s">
        <v>2075</v>
      </c>
      <c r="F47" s="44" t="s">
        <v>2076</v>
      </c>
    </row>
    <row r="48" spans="2:6" x14ac:dyDescent="0.35">
      <c r="B48" s="46" t="s">
        <v>2081</v>
      </c>
      <c r="C48" s="47">
        <f>COUNTIFS('Recommendations'!G:G,"Phase1",'Recommendations'!M:M,"=Resolved")</f>
        <v>0</v>
      </c>
      <c r="D48" s="47">
        <f>COUNTIFS('Recommendations'!G:G,"=Phase1",'Recommendations'!M:M,"=Testing")</f>
        <v>0</v>
      </c>
      <c r="E48" s="47">
        <f>COUNTIFS('Recommendations'!G:G,"=Phase1",'Recommendations'!M:M,"=Outstanding")</f>
        <v>0</v>
      </c>
      <c r="F48" s="47">
        <f t="shared" ref="F48:F53" si="0">SUM(C48:E48)</f>
        <v>0</v>
      </c>
    </row>
    <row r="49" spans="2:6" x14ac:dyDescent="0.35">
      <c r="B49" s="46" t="s">
        <v>2082</v>
      </c>
      <c r="C49" s="47">
        <f>COUNTIFS('Recommendations'!G:G,"Phase2",'Recommendations'!M:M,"=Resolved")</f>
        <v>0</v>
      </c>
      <c r="D49" s="47">
        <f>COUNTIFS('Recommendations'!G:G,"=Phase2",'Recommendations'!M:M,"=Testing")</f>
        <v>0</v>
      </c>
      <c r="E49" s="47">
        <f>COUNTIFS('Recommendations'!G:G,"=Phase2",'Recommendations'!M:M,"=Outstanding")</f>
        <v>0</v>
      </c>
      <c r="F49" s="47">
        <f t="shared" si="0"/>
        <v>0</v>
      </c>
    </row>
    <row r="50" spans="2:6" x14ac:dyDescent="0.35">
      <c r="B50" s="46" t="s">
        <v>2083</v>
      </c>
      <c r="C50" s="47">
        <f>COUNTIFS('Recommendations'!G:G,"Phase3",'Recommendations'!M:M,"=Resolved")</f>
        <v>0</v>
      </c>
      <c r="D50" s="47">
        <f>COUNTIFS('Recommendations'!G:G,"=Phase3",'Recommendations'!M:M,"=Testing")</f>
        <v>0</v>
      </c>
      <c r="E50" s="47">
        <f>COUNTIFS('Recommendations'!G:G,"=Phase3",'Recommendations'!M:M,"=Outstanding")</f>
        <v>0</v>
      </c>
      <c r="F50" s="47">
        <f t="shared" si="0"/>
        <v>0</v>
      </c>
    </row>
    <row r="51" spans="2:6" x14ac:dyDescent="0.35">
      <c r="B51" s="46" t="s">
        <v>2084</v>
      </c>
      <c r="C51" s="47">
        <f>COUNTIFS('Recommendations'!G:G,"Phase4",'Recommendations'!M:M,"=Resolved")</f>
        <v>0</v>
      </c>
      <c r="D51" s="47">
        <f>COUNTIFS('Recommendations'!G:G,"=Phase4",'Recommendations'!M:M,"=Testing")</f>
        <v>0</v>
      </c>
      <c r="E51" s="47">
        <f>COUNTIFS('Recommendations'!G:G,"=Phase4",'Recommendations'!M:M,"=Outstanding")</f>
        <v>0</v>
      </c>
      <c r="F51" s="47">
        <f t="shared" si="0"/>
        <v>0</v>
      </c>
    </row>
    <row r="52" spans="2:6" x14ac:dyDescent="0.35">
      <c r="B52" s="46" t="s">
        <v>2085</v>
      </c>
      <c r="C52" s="47">
        <f>COUNTIFS('Recommendations'!G:G,"Phase5",'Recommendations'!M:M,"=Resolved")</f>
        <v>0</v>
      </c>
      <c r="D52" s="47">
        <f>COUNTIFS('Recommendations'!G:G,"=Phase5",'Recommendations'!M:M,"=Testing")</f>
        <v>0</v>
      </c>
      <c r="E52" s="47">
        <f>COUNTIFS('Recommendations'!G:G,"=Phase5",'Recommendations'!M:M,"=Outstanding")</f>
        <v>0</v>
      </c>
      <c r="F52" s="47">
        <f t="shared" si="0"/>
        <v>0</v>
      </c>
    </row>
    <row r="53" spans="2:6" x14ac:dyDescent="0.35">
      <c r="B53" s="46" t="s">
        <v>20</v>
      </c>
      <c r="C53" s="47">
        <f>COUNTIFS('Recommendations'!G:G,"Pending",'Recommendations'!M:M,"=Resolved")</f>
        <v>0</v>
      </c>
      <c r="D53" s="47">
        <f>COUNTIFS('Recommendations'!G:G,"=Pending",'Recommendations'!M:M,"=Testing")</f>
        <v>0</v>
      </c>
      <c r="E53" s="47">
        <f>COUNTIFS('Recommendations'!G:G,"=Pending",'Recommendations'!M:M,"=Outstanding")</f>
        <v>460</v>
      </c>
      <c r="F53" s="47">
        <f t="shared" si="0"/>
        <v>460</v>
      </c>
    </row>
    <row r="55" spans="2:6" x14ac:dyDescent="0.35">
      <c r="B55" s="56" t="s">
        <v>2078</v>
      </c>
    </row>
    <row r="56" spans="2:6" x14ac:dyDescent="0.35">
      <c r="B56" s="57" t="s">
        <v>6</v>
      </c>
      <c r="C56" s="57" t="s">
        <v>2073</v>
      </c>
      <c r="D56" s="57" t="s">
        <v>2074</v>
      </c>
      <c r="E56" s="57" t="s">
        <v>2075</v>
      </c>
      <c r="F56" s="57" t="s">
        <v>21</v>
      </c>
    </row>
    <row r="57" spans="2:6" x14ac:dyDescent="0.35">
      <c r="B57" s="46" t="s">
        <v>2081</v>
      </c>
      <c r="C57" s="48">
        <f t="shared" ref="C57:C62" si="1">IF(F48&gt;0, C48/F48, 0)</f>
        <v>0</v>
      </c>
      <c r="D57" s="48">
        <f t="shared" ref="D57:D62" si="2">IF(F48&gt;0, D48/F48, 0)</f>
        <v>0</v>
      </c>
      <c r="E57" s="48">
        <f t="shared" ref="E57:E62" si="3">IF(F48&gt;0, E48/F48, 0)</f>
        <v>0</v>
      </c>
      <c r="F57" s="49" t="s">
        <v>21</v>
      </c>
    </row>
    <row r="58" spans="2:6" x14ac:dyDescent="0.35">
      <c r="B58" s="46" t="s">
        <v>2082</v>
      </c>
      <c r="C58" s="48">
        <f t="shared" si="1"/>
        <v>0</v>
      </c>
      <c r="D58" s="48">
        <f t="shared" si="2"/>
        <v>0</v>
      </c>
      <c r="E58" s="48">
        <f t="shared" si="3"/>
        <v>0</v>
      </c>
      <c r="F58" s="49" t="s">
        <v>21</v>
      </c>
    </row>
    <row r="59" spans="2:6" x14ac:dyDescent="0.35">
      <c r="B59" s="46" t="s">
        <v>2083</v>
      </c>
      <c r="C59" s="48">
        <f t="shared" si="1"/>
        <v>0</v>
      </c>
      <c r="D59" s="48">
        <f t="shared" si="2"/>
        <v>0</v>
      </c>
      <c r="E59" s="48">
        <f t="shared" si="3"/>
        <v>0</v>
      </c>
      <c r="F59" s="49" t="s">
        <v>21</v>
      </c>
    </row>
    <row r="60" spans="2:6" x14ac:dyDescent="0.35">
      <c r="B60" s="46" t="s">
        <v>2084</v>
      </c>
      <c r="C60" s="48">
        <f t="shared" si="1"/>
        <v>0</v>
      </c>
      <c r="D60" s="48">
        <f t="shared" si="2"/>
        <v>0</v>
      </c>
      <c r="E60" s="48">
        <f t="shared" si="3"/>
        <v>0</v>
      </c>
      <c r="F60" s="49" t="s">
        <v>21</v>
      </c>
    </row>
    <row r="61" spans="2:6" x14ac:dyDescent="0.35">
      <c r="B61" s="46" t="s">
        <v>2085</v>
      </c>
      <c r="C61" s="48">
        <f t="shared" si="1"/>
        <v>0</v>
      </c>
      <c r="D61" s="48">
        <f t="shared" si="2"/>
        <v>0</v>
      </c>
      <c r="E61" s="48">
        <f t="shared" si="3"/>
        <v>0</v>
      </c>
      <c r="F61" s="49" t="s">
        <v>21</v>
      </c>
    </row>
    <row r="62" spans="2:6" x14ac:dyDescent="0.35">
      <c r="B62" s="46" t="s">
        <v>20</v>
      </c>
      <c r="C62" s="48">
        <f t="shared" si="1"/>
        <v>0</v>
      </c>
      <c r="D62" s="48">
        <f t="shared" si="2"/>
        <v>0</v>
      </c>
      <c r="E62" s="48">
        <f t="shared" si="3"/>
        <v>1</v>
      </c>
      <c r="F62" s="49" t="s">
        <v>21</v>
      </c>
    </row>
    <row r="67" spans="2:6" ht="18.5" x14ac:dyDescent="0.45">
      <c r="B67" s="42" t="s">
        <v>2086</v>
      </c>
    </row>
    <row r="69" spans="2:6" x14ac:dyDescent="0.35">
      <c r="B69" s="56" t="s">
        <v>2072</v>
      </c>
    </row>
    <row r="70" spans="2:6" x14ac:dyDescent="0.35">
      <c r="B70" s="44" t="s">
        <v>2</v>
      </c>
      <c r="C70" s="44" t="s">
        <v>2073</v>
      </c>
      <c r="D70" s="44" t="s">
        <v>2074</v>
      </c>
      <c r="E70" s="44" t="s">
        <v>2075</v>
      </c>
      <c r="F70" s="44" t="s">
        <v>2076</v>
      </c>
    </row>
    <row r="71" spans="2:6" x14ac:dyDescent="0.35">
      <c r="B71" s="46" t="s">
        <v>163</v>
      </c>
      <c r="C71" s="47">
        <f>COUNTIFS('Recommendations'!C:C,"CAT I (High)",'Recommendations'!M:M,"=Resolved")</f>
        <v>0</v>
      </c>
      <c r="D71" s="47">
        <f>COUNTIFS('Recommendations'!C:C,"=CAT I (High)",'Recommendations'!M:M,"=Testing")</f>
        <v>0</v>
      </c>
      <c r="E71" s="47">
        <f>COUNTIFS('Recommendations'!C:C,"=CAT I (High)",'Recommendations'!M:M,"=Outstanding")</f>
        <v>24</v>
      </c>
      <c r="F71" s="47">
        <f>SUM(C71:E71)</f>
        <v>24</v>
      </c>
    </row>
    <row r="72" spans="2:6" x14ac:dyDescent="0.35">
      <c r="B72" s="46" t="s">
        <v>16</v>
      </c>
      <c r="C72" s="47">
        <f>COUNTIFS('Recommendations'!C:C,"CAT II (Medium)",'Recommendations'!M:M,"=Resolved")</f>
        <v>0</v>
      </c>
      <c r="D72" s="47">
        <f>COUNTIFS('Recommendations'!C:C,"=CAT II (Medium)",'Recommendations'!M:M,"=Testing")</f>
        <v>0</v>
      </c>
      <c r="E72" s="47">
        <f>COUNTIFS('Recommendations'!C:C,"=CAT II (Medium)",'Recommendations'!M:M,"=Outstanding")</f>
        <v>427</v>
      </c>
      <c r="F72" s="47">
        <f>SUM(C72:E72)</f>
        <v>427</v>
      </c>
    </row>
    <row r="73" spans="2:6" x14ac:dyDescent="0.35">
      <c r="B73" s="46" t="s">
        <v>96</v>
      </c>
      <c r="C73" s="47">
        <f>COUNTIFS('Recommendations'!C:C,"CAT III (Low)",'Recommendations'!M:M,"=Resolved")</f>
        <v>0</v>
      </c>
      <c r="D73" s="47">
        <f>COUNTIFS('Recommendations'!C:C,"=CAT III (Low)",'Recommendations'!M:M,"=Testing")</f>
        <v>0</v>
      </c>
      <c r="E73" s="47">
        <f>COUNTIFS('Recommendations'!C:C,"=CAT III (Low)",'Recommendations'!M:M,"=Outstanding")</f>
        <v>9</v>
      </c>
      <c r="F73" s="47">
        <f>SUM(C73:E73)</f>
        <v>9</v>
      </c>
    </row>
    <row r="75" spans="2:6" x14ac:dyDescent="0.35">
      <c r="B75" s="56" t="s">
        <v>2078</v>
      </c>
    </row>
    <row r="76" spans="2:6" x14ac:dyDescent="0.35">
      <c r="B76" s="57" t="s">
        <v>2</v>
      </c>
      <c r="C76" s="57" t="s">
        <v>2073</v>
      </c>
      <c r="D76" s="57" t="s">
        <v>2074</v>
      </c>
      <c r="E76" s="57" t="s">
        <v>2075</v>
      </c>
      <c r="F76" s="57" t="s">
        <v>21</v>
      </c>
    </row>
    <row r="77" spans="2:6" x14ac:dyDescent="0.35">
      <c r="B77" s="46" t="s">
        <v>163</v>
      </c>
      <c r="C77" s="48">
        <f>IF(F71&gt;0, C71/F71, 0)</f>
        <v>0</v>
      </c>
      <c r="D77" s="48">
        <f>IF(F71&gt;0, D71/F71, 0)</f>
        <v>0</v>
      </c>
      <c r="E77" s="48">
        <f>IF(F71&gt;0, E71/F71, 0)</f>
        <v>1</v>
      </c>
      <c r="F77" s="49" t="s">
        <v>21</v>
      </c>
    </row>
    <row r="78" spans="2:6" x14ac:dyDescent="0.35">
      <c r="B78" s="46" t="s">
        <v>16</v>
      </c>
      <c r="C78" s="48">
        <f>IF(F72&gt;0, C72/F72, 0)</f>
        <v>0</v>
      </c>
      <c r="D78" s="48">
        <f>IF(F72&gt;0, D72/F72, 0)</f>
        <v>0</v>
      </c>
      <c r="E78" s="48">
        <f>IF(F72&gt;0, E72/F72, 0)</f>
        <v>1</v>
      </c>
      <c r="F78" s="49" t="s">
        <v>21</v>
      </c>
    </row>
    <row r="79" spans="2:6" x14ac:dyDescent="0.35">
      <c r="B79" s="46" t="s">
        <v>96</v>
      </c>
      <c r="C79" s="48">
        <f>IF(F73&gt;0, C73/F73, 0)</f>
        <v>0</v>
      </c>
      <c r="D79" s="48">
        <f>IF(F73&gt;0, D73/F73, 0)</f>
        <v>0</v>
      </c>
      <c r="E79" s="48">
        <f>IF(F73&gt;0, E73/F73, 0)</f>
        <v>1</v>
      </c>
      <c r="F79" s="49" t="s">
        <v>21</v>
      </c>
    </row>
    <row r="84" spans="2:6" ht="18.5" x14ac:dyDescent="0.45">
      <c r="B84" s="42" t="s">
        <v>2087</v>
      </c>
    </row>
    <row r="86" spans="2:6" x14ac:dyDescent="0.35">
      <c r="B86" s="56" t="s">
        <v>2072</v>
      </c>
    </row>
    <row r="87" spans="2:6" x14ac:dyDescent="0.35">
      <c r="B87" s="44" t="s">
        <v>4</v>
      </c>
      <c r="C87" s="44" t="s">
        <v>2073</v>
      </c>
      <c r="D87" s="44" t="s">
        <v>2074</v>
      </c>
      <c r="E87" s="44" t="s">
        <v>2075</v>
      </c>
      <c r="F87" s="44" t="s">
        <v>2076</v>
      </c>
    </row>
    <row r="88" spans="2:6" x14ac:dyDescent="0.35">
      <c r="B88" s="46" t="s">
        <v>2088</v>
      </c>
      <c r="C88" s="47">
        <f>COUNTIFS('Recommendations'!E:E,"Must",'Recommendations'!M:M,"=Resolved")</f>
        <v>0</v>
      </c>
      <c r="D88" s="47">
        <f>COUNTIFS('Recommendations'!E:E,"=Must",'Recommendations'!M:M,"=Testing")</f>
        <v>0</v>
      </c>
      <c r="E88" s="47">
        <f>COUNTIFS('Recommendations'!E:E,"=Must",'Recommendations'!M:M,"=Outstanding")</f>
        <v>0</v>
      </c>
      <c r="F88" s="47">
        <f>SUM(C88:E88)</f>
        <v>0</v>
      </c>
    </row>
    <row r="89" spans="2:6" x14ac:dyDescent="0.35">
      <c r="B89" s="46" t="s">
        <v>2089</v>
      </c>
      <c r="C89" s="47">
        <f>COUNTIFS('Recommendations'!E:E,"Should",'Recommendations'!M:M,"=Resolved")</f>
        <v>0</v>
      </c>
      <c r="D89" s="47">
        <f>COUNTIFS('Recommendations'!E:E,"=Should",'Recommendations'!M:M,"=Testing")</f>
        <v>0</v>
      </c>
      <c r="E89" s="47">
        <f>COUNTIFS('Recommendations'!E:E,"=Should",'Recommendations'!M:M,"=Outstanding")</f>
        <v>0</v>
      </c>
      <c r="F89" s="47">
        <f>SUM(C89:E89)</f>
        <v>0</v>
      </c>
    </row>
    <row r="90" spans="2:6" x14ac:dyDescent="0.35">
      <c r="B90" s="46" t="s">
        <v>2090</v>
      </c>
      <c r="C90" s="47">
        <f>COUNTIFS('Recommendations'!E:E,"Could",'Recommendations'!M:M,"=Resolved")</f>
        <v>0</v>
      </c>
      <c r="D90" s="47">
        <f>COUNTIFS('Recommendations'!E:E,"=Could",'Recommendations'!M:M,"=Testing")</f>
        <v>0</v>
      </c>
      <c r="E90" s="47">
        <f>COUNTIFS('Recommendations'!E:E,"=Could",'Recommendations'!M:M,"=Outstanding")</f>
        <v>0</v>
      </c>
      <c r="F90" s="47">
        <f>SUM(C90:E90)</f>
        <v>0</v>
      </c>
    </row>
    <row r="91" spans="2:6" x14ac:dyDescent="0.35">
      <c r="B91" s="46" t="s">
        <v>2091</v>
      </c>
      <c r="C91" s="47">
        <f>COUNTIFS('Recommendations'!E:E,"Won't",'Recommendations'!M:M,"=Resolved")</f>
        <v>0</v>
      </c>
      <c r="D91" s="47">
        <f>COUNTIFS('Recommendations'!E:E,"=Won't",'Recommendations'!M:M,"=Testing")</f>
        <v>0</v>
      </c>
      <c r="E91" s="47">
        <f>COUNTIFS('Recommendations'!E:E,"=Won't",'Recommendations'!M:M,"=Outstanding")</f>
        <v>0</v>
      </c>
      <c r="F91" s="47">
        <f>SUM(C91:E91)</f>
        <v>0</v>
      </c>
    </row>
    <row r="92" spans="2:6" x14ac:dyDescent="0.35">
      <c r="B92" s="46" t="s">
        <v>18</v>
      </c>
      <c r="C92" s="47">
        <f>COUNTIFS('Recommendations'!E:E,"Unassigned",'Recommendations'!M:M,"=Resolved")</f>
        <v>0</v>
      </c>
      <c r="D92" s="47">
        <f>COUNTIFS('Recommendations'!E:E,"=Unassigned",'Recommendations'!M:M,"=Testing")</f>
        <v>0</v>
      </c>
      <c r="E92" s="47">
        <f>COUNTIFS('Recommendations'!E:E,"=Unassigned",'Recommendations'!M:M,"=Outstanding")</f>
        <v>460</v>
      </c>
      <c r="F92" s="47">
        <f>SUM(C92:E92)</f>
        <v>460</v>
      </c>
    </row>
    <row r="94" spans="2:6" x14ac:dyDescent="0.35">
      <c r="B94" s="56" t="s">
        <v>2078</v>
      </c>
    </row>
    <row r="95" spans="2:6" x14ac:dyDescent="0.35">
      <c r="B95" s="57" t="s">
        <v>4</v>
      </c>
      <c r="C95" s="57" t="s">
        <v>2073</v>
      </c>
      <c r="D95" s="57" t="s">
        <v>2074</v>
      </c>
      <c r="E95" s="57" t="s">
        <v>2075</v>
      </c>
      <c r="F95" s="57" t="s">
        <v>21</v>
      </c>
    </row>
    <row r="96" spans="2:6" x14ac:dyDescent="0.35">
      <c r="B96" s="46" t="s">
        <v>2088</v>
      </c>
      <c r="C96" s="48">
        <f>IF(F88&gt;0, C88/F88, 0)</f>
        <v>0</v>
      </c>
      <c r="D96" s="48">
        <f>IF(F88&gt;0, D88/F88, 0)</f>
        <v>0</v>
      </c>
      <c r="E96" s="48">
        <f>IF(F88&gt;0, E88/F88, 0)</f>
        <v>0</v>
      </c>
      <c r="F96" s="49" t="s">
        <v>21</v>
      </c>
    </row>
    <row r="97" spans="2:6" x14ac:dyDescent="0.35">
      <c r="B97" s="46" t="s">
        <v>2089</v>
      </c>
      <c r="C97" s="48">
        <f>IF(F89&gt;0, C89/F89, 0)</f>
        <v>0</v>
      </c>
      <c r="D97" s="48">
        <f>IF(F89&gt;0, D89/F89, 0)</f>
        <v>0</v>
      </c>
      <c r="E97" s="48">
        <f>IF(F89&gt;0, E89/F89, 0)</f>
        <v>0</v>
      </c>
      <c r="F97" s="49" t="s">
        <v>21</v>
      </c>
    </row>
    <row r="98" spans="2:6" x14ac:dyDescent="0.35">
      <c r="B98" s="46" t="s">
        <v>2090</v>
      </c>
      <c r="C98" s="48">
        <f>IF(F90&gt;0, C90/F90, 0)</f>
        <v>0</v>
      </c>
      <c r="D98" s="48">
        <f>IF(F90&gt;0, D90/F90, 0)</f>
        <v>0</v>
      </c>
      <c r="E98" s="48">
        <f>IF(F90&gt;0, E90/F90, 0)</f>
        <v>0</v>
      </c>
      <c r="F98" s="49" t="s">
        <v>21</v>
      </c>
    </row>
    <row r="99" spans="2:6" x14ac:dyDescent="0.35">
      <c r="B99" s="46" t="s">
        <v>2091</v>
      </c>
      <c r="C99" s="48">
        <f>IF(F91&gt;0, C91/F91, 0)</f>
        <v>0</v>
      </c>
      <c r="D99" s="48">
        <f>IF(F91&gt;0, D91/F91, 0)</f>
        <v>0</v>
      </c>
      <c r="E99" s="48">
        <f>IF(F91&gt;0, E91/F91, 0)</f>
        <v>0</v>
      </c>
      <c r="F99" s="49" t="s">
        <v>21</v>
      </c>
    </row>
    <row r="100" spans="2:6" x14ac:dyDescent="0.35">
      <c r="B100" s="46" t="s">
        <v>18</v>
      </c>
      <c r="C100" s="48">
        <f>IF(F92&gt;0, C92/F92, 0)</f>
        <v>0</v>
      </c>
      <c r="D100" s="48">
        <f>IF(F92&gt;0, D92/F92, 0)</f>
        <v>0</v>
      </c>
      <c r="E100" s="48">
        <f>IF(F92&gt;0, E92/F92, 0)</f>
        <v>1</v>
      </c>
      <c r="F100" s="49" t="s">
        <v>21</v>
      </c>
    </row>
    <row r="105" spans="2:6" ht="18.5" x14ac:dyDescent="0.45">
      <c r="B105" s="42" t="s">
        <v>2092</v>
      </c>
    </row>
    <row r="107" spans="2:6" x14ac:dyDescent="0.35">
      <c r="B107" s="56" t="s">
        <v>2072</v>
      </c>
    </row>
    <row r="108" spans="2:6" x14ac:dyDescent="0.35">
      <c r="B108" s="44" t="s">
        <v>2093</v>
      </c>
      <c r="C108" s="44" t="s">
        <v>2073</v>
      </c>
      <c r="D108" s="44" t="s">
        <v>2074</v>
      </c>
      <c r="E108" s="44" t="s">
        <v>2075</v>
      </c>
      <c r="F108" s="44" t="s">
        <v>2076</v>
      </c>
    </row>
    <row r="109" spans="2:6" x14ac:dyDescent="0.35">
      <c r="B109" s="46" t="s">
        <v>2094</v>
      </c>
      <c r="C109" s="47">
        <f>COUNTIFS('Recommendations'!F:F,"Low",'Recommendations'!M:M,"=Resolved")</f>
        <v>0</v>
      </c>
      <c r="D109" s="47">
        <f>COUNTIFS('Recommendations'!F:F,"=Low",'Recommendations'!M:M,"=Testing")</f>
        <v>0</v>
      </c>
      <c r="E109" s="47">
        <f>COUNTIFS('Recommendations'!F:F,"=Low",'Recommendations'!M:M,"=Outstanding")</f>
        <v>0</v>
      </c>
      <c r="F109" s="47">
        <f>SUM(C109:E109)</f>
        <v>0</v>
      </c>
    </row>
    <row r="110" spans="2:6" x14ac:dyDescent="0.35">
      <c r="B110" s="46" t="s">
        <v>2095</v>
      </c>
      <c r="C110" s="47">
        <f>COUNTIFS('Recommendations'!F:F,"Medium",'Recommendations'!M:M,"=Resolved")</f>
        <v>0</v>
      </c>
      <c r="D110" s="47">
        <f>COUNTIFS('Recommendations'!F:F,"=Medium",'Recommendations'!M:M,"=Testing")</f>
        <v>0</v>
      </c>
      <c r="E110" s="47">
        <f>COUNTIFS('Recommendations'!F:F,"=Medium",'Recommendations'!M:M,"=Outstanding")</f>
        <v>0</v>
      </c>
      <c r="F110" s="47">
        <f>SUM(C110:E110)</f>
        <v>0</v>
      </c>
    </row>
    <row r="111" spans="2:6" x14ac:dyDescent="0.35">
      <c r="B111" s="46" t="s">
        <v>2096</v>
      </c>
      <c r="C111" s="47">
        <f>COUNTIFS('Recommendations'!F:F,"High",'Recommendations'!M:M,"=Resolved")</f>
        <v>0</v>
      </c>
      <c r="D111" s="47">
        <f>COUNTIFS('Recommendations'!F:F,"=High",'Recommendations'!M:M,"=Testing")</f>
        <v>0</v>
      </c>
      <c r="E111" s="47">
        <f>COUNTIFS('Recommendations'!F:F,"=High",'Recommendations'!M:M,"=Outstanding")</f>
        <v>0</v>
      </c>
      <c r="F111" s="47">
        <f>SUM(C111:E111)</f>
        <v>0</v>
      </c>
    </row>
    <row r="112" spans="2:6" x14ac:dyDescent="0.35">
      <c r="B112" s="46" t="s">
        <v>19</v>
      </c>
      <c r="C112" s="47">
        <f>COUNTIFS('Recommendations'!F:F,"Unassessed",'Recommendations'!M:M,"=Resolved")</f>
        <v>0</v>
      </c>
      <c r="D112" s="47">
        <f>COUNTIFS('Recommendations'!F:F,"=Unassessed",'Recommendations'!M:M,"=Testing")</f>
        <v>0</v>
      </c>
      <c r="E112" s="47">
        <f>COUNTIFS('Recommendations'!F:F,"=Unassessed",'Recommendations'!M:M,"=Outstanding")</f>
        <v>460</v>
      </c>
      <c r="F112" s="47">
        <f>SUM(C112:E112)</f>
        <v>460</v>
      </c>
    </row>
    <row r="114" spans="2:15" x14ac:dyDescent="0.35">
      <c r="B114" s="56" t="s">
        <v>2078</v>
      </c>
    </row>
    <row r="115" spans="2:15" x14ac:dyDescent="0.35">
      <c r="B115" s="57" t="s">
        <v>2093</v>
      </c>
      <c r="C115" s="57" t="s">
        <v>2073</v>
      </c>
      <c r="D115" s="57" t="s">
        <v>2074</v>
      </c>
      <c r="E115" s="57" t="s">
        <v>2075</v>
      </c>
      <c r="F115" s="57" t="s">
        <v>21</v>
      </c>
    </row>
    <row r="116" spans="2:15" x14ac:dyDescent="0.35">
      <c r="B116" s="46" t="s">
        <v>2094</v>
      </c>
      <c r="C116" s="48">
        <f>IF(F109&gt;0, C109/F109, 0)</f>
        <v>0</v>
      </c>
      <c r="D116" s="48">
        <f>IF(F109&gt;0, D109/F109, 0)</f>
        <v>0</v>
      </c>
      <c r="E116" s="48">
        <f>IF(F109&gt;0, E109/F109, 0)</f>
        <v>0</v>
      </c>
      <c r="F116" s="49" t="s">
        <v>21</v>
      </c>
    </row>
    <row r="117" spans="2:15" x14ac:dyDescent="0.35">
      <c r="B117" s="46" t="s">
        <v>2095</v>
      </c>
      <c r="C117" s="48">
        <f>IF(F110&gt;0, C110/F110, 0)</f>
        <v>0</v>
      </c>
      <c r="D117" s="48">
        <f>IF(F110&gt;0, D110/F110, 0)</f>
        <v>0</v>
      </c>
      <c r="E117" s="48">
        <f>IF(F110&gt;0, E110/F110, 0)</f>
        <v>0</v>
      </c>
      <c r="F117" s="49" t="s">
        <v>21</v>
      </c>
    </row>
    <row r="118" spans="2:15" x14ac:dyDescent="0.35">
      <c r="B118" s="46" t="s">
        <v>2096</v>
      </c>
      <c r="C118" s="48">
        <f>IF(F111&gt;0, C111/F111, 0)</f>
        <v>0</v>
      </c>
      <c r="D118" s="48">
        <f>IF(F111&gt;0, D111/F111, 0)</f>
        <v>0</v>
      </c>
      <c r="E118" s="48">
        <f>IF(F111&gt;0, E111/F111, 0)</f>
        <v>0</v>
      </c>
      <c r="F118" s="49" t="s">
        <v>21</v>
      </c>
    </row>
    <row r="119" spans="2:15" x14ac:dyDescent="0.35">
      <c r="B119" s="46" t="s">
        <v>19</v>
      </c>
      <c r="C119" s="48">
        <f>IF(F112&gt;0, C112/F112, 0)</f>
        <v>0</v>
      </c>
      <c r="D119" s="48">
        <f>IF(F112&gt;0, D112/F112, 0)</f>
        <v>0</v>
      </c>
      <c r="E119" s="48">
        <f>IF(F112&gt;0, E112/F112, 0)</f>
        <v>1</v>
      </c>
      <c r="F119" s="49" t="s">
        <v>21</v>
      </c>
    </row>
    <row r="124" spans="2:15" ht="18.5" x14ac:dyDescent="0.45">
      <c r="B124" s="42" t="s">
        <v>2097</v>
      </c>
      <c r="J124" s="42" t="s">
        <v>2098</v>
      </c>
    </row>
    <row r="125" spans="2:15" x14ac:dyDescent="0.35">
      <c r="B125" s="44" t="s">
        <v>6</v>
      </c>
      <c r="C125" s="297" t="s">
        <v>2099</v>
      </c>
      <c r="D125" s="297"/>
      <c r="E125" s="44" t="s">
        <v>2065</v>
      </c>
      <c r="F125" s="44" t="s">
        <v>2073</v>
      </c>
      <c r="G125" s="297" t="s">
        <v>2100</v>
      </c>
      <c r="H125" s="297"/>
      <c r="J125" s="44" t="s">
        <v>6</v>
      </c>
      <c r="K125" s="44" t="s">
        <v>2088</v>
      </c>
      <c r="L125" s="44" t="s">
        <v>2089</v>
      </c>
      <c r="M125" s="44" t="s">
        <v>2090</v>
      </c>
      <c r="N125" s="44" t="s">
        <v>2091</v>
      </c>
      <c r="O125" s="44" t="s">
        <v>18</v>
      </c>
    </row>
    <row r="126" spans="2:15" x14ac:dyDescent="0.35">
      <c r="B126" s="50" t="s">
        <v>2081</v>
      </c>
      <c r="C126" s="298" t="s">
        <v>21</v>
      </c>
      <c r="D126" s="298"/>
      <c r="E126" s="47">
        <f>COUNTIF('Recommendations'!G:G,"Phase1")-COUNTIFS('Recommendations'!G:G,"Phase1",'Recommendations'!H:H,"Risk Accepted")-COUNTIFS('Recommendations'!G:G,"Phase1",'Recommendations'!H:H,"N/A")</f>
        <v>0</v>
      </c>
      <c r="F126" s="47">
        <f>COUNTIFS('Recommendations'!G:G,"Phase1",'Recommendations'!M:M,"Resolved")</f>
        <v>0</v>
      </c>
      <c r="G126" s="299">
        <f t="shared" ref="G126:G131" si="4">IF(E126&gt;0,F126/E126,0)</f>
        <v>0</v>
      </c>
      <c r="H126" s="299"/>
      <c r="J126" s="50" t="s">
        <v>2081</v>
      </c>
      <c r="K126" s="47">
        <f>COUNTIFS('Recommendations'!G:G,"Phase1",'Recommendations'!E:E,"Must")</f>
        <v>0</v>
      </c>
      <c r="L126" s="47">
        <f>COUNTIFS('Recommendations'!G:G,"Phase1",'Recommendations'!E:E,"Should")</f>
        <v>0</v>
      </c>
      <c r="M126" s="47">
        <f>COUNTIFS('Recommendations'!G:G,"Phase1",'Recommendations'!E:E,"Could")</f>
        <v>0</v>
      </c>
      <c r="N126" s="47">
        <f>COUNTIFS('Recommendations'!G:G,"Phase1",'Recommendations'!E:E,"Won't")</f>
        <v>0</v>
      </c>
      <c r="O126" s="47">
        <f>COUNTIFS('Recommendations'!G:G,"Phase1",'Recommendations'!E:E,"Unassigned")</f>
        <v>0</v>
      </c>
    </row>
    <row r="127" spans="2:15" x14ac:dyDescent="0.35">
      <c r="B127" s="50" t="s">
        <v>2082</v>
      </c>
      <c r="C127" s="298" t="s">
        <v>21</v>
      </c>
      <c r="D127" s="298"/>
      <c r="E127" s="47">
        <f>COUNTIF('Recommendations'!G:G,"Phase2")-COUNTIFS('Recommendations'!G:G,"Phase2",'Recommendations'!H:H,"Risk Accepted")-COUNTIFS('Recommendations'!G:G,"Phase2",'Recommendations'!H:H,"N/A")</f>
        <v>0</v>
      </c>
      <c r="F127" s="47">
        <f>COUNTIFS('Recommendations'!G:G,"Phase2",'Recommendations'!M:M,"Resolved")</f>
        <v>0</v>
      </c>
      <c r="G127" s="299">
        <f t="shared" si="4"/>
        <v>0</v>
      </c>
      <c r="H127" s="299"/>
      <c r="J127" s="50" t="s">
        <v>2082</v>
      </c>
      <c r="K127" s="47">
        <f>COUNTIFS('Recommendations'!G:G,"Phase2",'Recommendations'!E:E,"Must")</f>
        <v>0</v>
      </c>
      <c r="L127" s="47">
        <f>COUNTIFS('Recommendations'!G:G,"Phase2",'Recommendations'!E:E,"Should")</f>
        <v>0</v>
      </c>
      <c r="M127" s="47">
        <f>COUNTIFS('Recommendations'!G:G,"Phase2",'Recommendations'!E:E,"Could")</f>
        <v>0</v>
      </c>
      <c r="N127" s="47">
        <f>COUNTIFS('Recommendations'!G:G,"Phase2",'Recommendations'!E:E,"Won't")</f>
        <v>0</v>
      </c>
      <c r="O127" s="47">
        <f>COUNTIFS('Recommendations'!G:G,"Phase2",'Recommendations'!E:E,"Unassigned")</f>
        <v>0</v>
      </c>
    </row>
    <row r="128" spans="2:15" x14ac:dyDescent="0.35">
      <c r="B128" s="50" t="s">
        <v>2083</v>
      </c>
      <c r="C128" s="298" t="s">
        <v>21</v>
      </c>
      <c r="D128" s="298"/>
      <c r="E128" s="47">
        <f>COUNTIF('Recommendations'!G:G,"Phase3")-COUNTIFS('Recommendations'!G:G,"Phase3",'Recommendations'!H:H,"Risk Accepted")-COUNTIFS('Recommendations'!G:G,"Phase3",'Recommendations'!H:H,"N/A")</f>
        <v>0</v>
      </c>
      <c r="F128" s="47">
        <f>COUNTIFS('Recommendations'!G:G,"Phase3",'Recommendations'!M:M,"Resolved")</f>
        <v>0</v>
      </c>
      <c r="G128" s="299">
        <f t="shared" si="4"/>
        <v>0</v>
      </c>
      <c r="H128" s="299"/>
      <c r="J128" s="50" t="s">
        <v>2083</v>
      </c>
      <c r="K128" s="47">
        <f>COUNTIFS('Recommendations'!G:G,"Phase3",'Recommendations'!E:E,"Must")</f>
        <v>0</v>
      </c>
      <c r="L128" s="47">
        <f>COUNTIFS('Recommendations'!G:G,"Phase3",'Recommendations'!E:E,"Should")</f>
        <v>0</v>
      </c>
      <c r="M128" s="47">
        <f>COUNTIFS('Recommendations'!G:G,"Phase3",'Recommendations'!E:E,"Could")</f>
        <v>0</v>
      </c>
      <c r="N128" s="47">
        <f>COUNTIFS('Recommendations'!G:G,"Phase3",'Recommendations'!E:E,"Won't")</f>
        <v>0</v>
      </c>
      <c r="O128" s="47">
        <f>COUNTIFS('Recommendations'!G:G,"Phase3",'Recommendations'!E:E,"Unassigned")</f>
        <v>0</v>
      </c>
    </row>
    <row r="129" spans="2:24" x14ac:dyDescent="0.35">
      <c r="B129" s="50" t="s">
        <v>2084</v>
      </c>
      <c r="C129" s="298" t="s">
        <v>21</v>
      </c>
      <c r="D129" s="298"/>
      <c r="E129" s="47">
        <f>COUNTIF('Recommendations'!G:G,"Phase4")-COUNTIFS('Recommendations'!G:G,"Phase4",'Recommendations'!H:H,"Risk Accepted")-COUNTIFS('Recommendations'!G:G,"Phase4",'Recommendations'!H:H,"N/A")</f>
        <v>0</v>
      </c>
      <c r="F129" s="47">
        <f>COUNTIFS('Recommendations'!G:G,"Phase4",'Recommendations'!M:M,"Resolved")</f>
        <v>0</v>
      </c>
      <c r="G129" s="299">
        <f t="shared" si="4"/>
        <v>0</v>
      </c>
      <c r="H129" s="299"/>
      <c r="J129" s="50" t="s">
        <v>2084</v>
      </c>
      <c r="K129" s="47">
        <f>COUNTIFS('Recommendations'!G:G,"Phase4",'Recommendations'!E:E,"Must")</f>
        <v>0</v>
      </c>
      <c r="L129" s="47">
        <f>COUNTIFS('Recommendations'!G:G,"Phase4",'Recommendations'!E:E,"Should")</f>
        <v>0</v>
      </c>
      <c r="M129" s="47">
        <f>COUNTIFS('Recommendations'!G:G,"Phase4",'Recommendations'!E:E,"Could")</f>
        <v>0</v>
      </c>
      <c r="N129" s="47">
        <f>COUNTIFS('Recommendations'!G:G,"Phase4",'Recommendations'!E:E,"Won't")</f>
        <v>0</v>
      </c>
      <c r="O129" s="47">
        <f>COUNTIFS('Recommendations'!G:G,"Phase4",'Recommendations'!E:E,"Unassigned")</f>
        <v>0</v>
      </c>
    </row>
    <row r="130" spans="2:24" x14ac:dyDescent="0.35">
      <c r="B130" s="50" t="s">
        <v>2085</v>
      </c>
      <c r="C130" s="298" t="s">
        <v>21</v>
      </c>
      <c r="D130" s="298"/>
      <c r="E130" s="47">
        <f>COUNTIF('Recommendations'!G:G,"Phase5")-COUNTIFS('Recommendations'!G:G,"Phase5",'Recommendations'!H:H,"Risk Accepted")-COUNTIFS('Recommendations'!G:G,"Phase5",'Recommendations'!H:H,"N/A")</f>
        <v>0</v>
      </c>
      <c r="F130" s="47">
        <f>COUNTIFS('Recommendations'!G:G,"Phase5",'Recommendations'!M:M,"Resolved")</f>
        <v>0</v>
      </c>
      <c r="G130" s="299">
        <f t="shared" si="4"/>
        <v>0</v>
      </c>
      <c r="H130" s="299"/>
      <c r="J130" s="50" t="s">
        <v>2085</v>
      </c>
      <c r="K130" s="47">
        <f>COUNTIFS('Recommendations'!G:G,"Phase5",'Recommendations'!E:E,"Must")</f>
        <v>0</v>
      </c>
      <c r="L130" s="47">
        <f>COUNTIFS('Recommendations'!G:G,"Phase5",'Recommendations'!E:E,"Should")</f>
        <v>0</v>
      </c>
      <c r="M130" s="47">
        <f>COUNTIFS('Recommendations'!G:G,"Phase5",'Recommendations'!E:E,"Could")</f>
        <v>0</v>
      </c>
      <c r="N130" s="47">
        <f>COUNTIFS('Recommendations'!G:G,"Phase5",'Recommendations'!E:E,"Won't")</f>
        <v>0</v>
      </c>
      <c r="O130" s="47">
        <f>COUNTIFS('Recommendations'!G:G,"Phase5",'Recommendations'!E:E,"Unassigned")</f>
        <v>0</v>
      </c>
    </row>
    <row r="131" spans="2:24" x14ac:dyDescent="0.35">
      <c r="B131" s="50" t="s">
        <v>20</v>
      </c>
      <c r="C131" s="298" t="s">
        <v>21</v>
      </c>
      <c r="D131" s="298"/>
      <c r="E131" s="47">
        <f>COUNTIF('Recommendations'!G:G,"Pending")-COUNTIFS('Recommendations'!G:G,"Pending",'Recommendations'!H:H,"Risk Accepted")-COUNTIFS('Recommendations'!G:G,"Pending",'Recommendations'!H:H,"N/A")</f>
        <v>460</v>
      </c>
      <c r="F131" s="47">
        <f>COUNTIFS('Recommendations'!G:G,"Pending",'Recommendations'!M:M,"Resolved")</f>
        <v>0</v>
      </c>
      <c r="G131" s="299">
        <f t="shared" si="4"/>
        <v>0</v>
      </c>
      <c r="H131" s="299"/>
      <c r="J131" s="50" t="s">
        <v>20</v>
      </c>
      <c r="K131" s="47">
        <f>COUNTIFS('Recommendations'!G:G,"Pending",'Recommendations'!E:E,"Must")</f>
        <v>0</v>
      </c>
      <c r="L131" s="47">
        <f>COUNTIFS('Recommendations'!G:G,"Pending",'Recommendations'!E:E,"Should")</f>
        <v>0</v>
      </c>
      <c r="M131" s="47">
        <f>COUNTIFS('Recommendations'!G:G,"Pending",'Recommendations'!E:E,"Could")</f>
        <v>0</v>
      </c>
      <c r="N131" s="47">
        <f>COUNTIFS('Recommendations'!G:G,"Pending",'Recommendations'!E:E,"Won't")</f>
        <v>0</v>
      </c>
      <c r="O131" s="47">
        <f>COUNTIFS('Recommendations'!G:G,"Pending",'Recommendations'!E:E,"Unassigned")</f>
        <v>460</v>
      </c>
    </row>
    <row r="138" spans="2:24" ht="21" x14ac:dyDescent="0.5">
      <c r="B138" s="42" t="s">
        <v>2101</v>
      </c>
      <c r="P138" s="59" t="s">
        <v>2102</v>
      </c>
    </row>
    <row r="140" spans="2:24" ht="60" customHeight="1" x14ac:dyDescent="0.35">
      <c r="B140" s="300" t="s">
        <v>2103</v>
      </c>
      <c r="C140" s="293"/>
      <c r="D140" s="293"/>
      <c r="E140" s="293"/>
      <c r="F140" s="293"/>
      <c r="P140" s="300" t="s">
        <v>2104</v>
      </c>
      <c r="Q140" s="293"/>
      <c r="R140" s="293"/>
      <c r="S140" s="293"/>
      <c r="T140" s="293"/>
      <c r="U140" s="293"/>
      <c r="V140" s="293"/>
      <c r="W140" s="293"/>
    </row>
    <row r="142" spans="2:24" ht="30" customHeight="1" x14ac:dyDescent="0.35">
      <c r="P142" s="60" t="s">
        <v>2105</v>
      </c>
      <c r="Q142" s="61">
        <f>C16</f>
        <v>0</v>
      </c>
      <c r="R142" s="62"/>
      <c r="S142" s="61">
        <f>C88</f>
        <v>0</v>
      </c>
      <c r="T142" s="62"/>
      <c r="U142" s="61">
        <f>C89</f>
        <v>0</v>
      </c>
      <c r="V142" s="62"/>
      <c r="W142" s="61">
        <f>C90</f>
        <v>0</v>
      </c>
      <c r="X142" s="62"/>
    </row>
    <row r="143" spans="2:24" ht="35" customHeight="1" x14ac:dyDescent="0.35">
      <c r="P143" s="63" t="s">
        <v>2106</v>
      </c>
      <c r="Q143" s="63" t="s">
        <v>2107</v>
      </c>
      <c r="R143" s="63" t="s">
        <v>2108</v>
      </c>
      <c r="S143" s="63" t="s">
        <v>2109</v>
      </c>
      <c r="T143" s="63" t="s">
        <v>2110</v>
      </c>
      <c r="U143" s="63" t="s">
        <v>2111</v>
      </c>
      <c r="V143" s="63" t="s">
        <v>2112</v>
      </c>
      <c r="W143" s="63" t="s">
        <v>2113</v>
      </c>
      <c r="X143" s="63" t="s">
        <v>2114</v>
      </c>
    </row>
    <row r="144" spans="2:24" x14ac:dyDescent="0.35">
      <c r="O144" s="64" t="s">
        <v>2115</v>
      </c>
      <c r="P144" s="65" t="s">
        <v>2116</v>
      </c>
      <c r="Q144" s="66">
        <v>0</v>
      </c>
      <c r="R144" s="67">
        <f>IF(Dashboard!F16&gt;0, Q144/Dashboard!F16, "")</f>
        <v>0</v>
      </c>
      <c r="S144" s="66">
        <v>0</v>
      </c>
      <c r="T144" s="67" t="str">
        <f>IF(AND(NOT(ISBLANK(S144)),Dashboard!F88&gt;0), S144/Dashboard!F88, "")</f>
        <v/>
      </c>
      <c r="U144" s="66">
        <v>0</v>
      </c>
      <c r="V144" s="67" t="str">
        <f>IF(AND(NOT(ISBLANK(U144)),Dashboard!F89&gt;0), U144/Dashboard!F89, "")</f>
        <v/>
      </c>
      <c r="W144" s="66">
        <v>0</v>
      </c>
      <c r="X144" s="67" t="str">
        <f>IF(AND(NOT(ISBLANK(W144)),Dashboard!F90&gt;0), W144/Dashboard!F90, "")</f>
        <v/>
      </c>
    </row>
    <row r="145" spans="16:24" x14ac:dyDescent="0.35">
      <c r="P145" s="58"/>
      <c r="Q145" s="45"/>
      <c r="R145" s="48" t="str">
        <f>IF(AND(NOT(ISBLANK(Q145)),Dashboard!F16&gt;0), Q145/Dashboard!F16, "")</f>
        <v/>
      </c>
      <c r="S145" s="45"/>
      <c r="T145" s="48" t="str">
        <f>IF(AND(NOT(ISBLANK(S145)),Dashboard!F88&gt;0), S145/Dashboard!F88, "")</f>
        <v/>
      </c>
      <c r="U145" s="45"/>
      <c r="V145" s="48" t="str">
        <f>IF(AND(NOT(ISBLANK(U145)),Dashboard!F89&gt;0), U145/Dashboard!F89, "")</f>
        <v/>
      </c>
      <c r="W145" s="45"/>
      <c r="X145" s="48" t="str">
        <f>IF(AND(NOT(ISBLANK(W145)),Dashboard!F90&gt;0), W145/Dashboard!F90, "")</f>
        <v/>
      </c>
    </row>
    <row r="146" spans="16:24" x14ac:dyDescent="0.35">
      <c r="P146" s="58"/>
      <c r="Q146" s="45"/>
      <c r="R146" s="48" t="str">
        <f>IF(AND(NOT(ISBLANK(Q146)),Dashboard!F16&gt;0), Q146/Dashboard!F16, "")</f>
        <v/>
      </c>
      <c r="S146" s="45"/>
      <c r="T146" s="48" t="str">
        <f>IF(AND(NOT(ISBLANK(S146)),Dashboard!F88&gt;0), S146/Dashboard!F88, "")</f>
        <v/>
      </c>
      <c r="U146" s="45"/>
      <c r="V146" s="48" t="str">
        <f>IF(AND(NOT(ISBLANK(U146)),Dashboard!F89&gt;0), U146/Dashboard!F89, "")</f>
        <v/>
      </c>
      <c r="W146" s="45"/>
      <c r="X146" s="48" t="str">
        <f>IF(AND(NOT(ISBLANK(W146)),Dashboard!F90&gt;0), W146/Dashboard!F90, "")</f>
        <v/>
      </c>
    </row>
    <row r="147" spans="16:24" x14ac:dyDescent="0.35">
      <c r="P147" s="58"/>
      <c r="Q147" s="45"/>
      <c r="R147" s="48" t="str">
        <f>IF(AND(NOT(ISBLANK(Q147)),Dashboard!F16&gt;0), Q147/Dashboard!F16, "")</f>
        <v/>
      </c>
      <c r="S147" s="45"/>
      <c r="T147" s="48" t="str">
        <f>IF(AND(NOT(ISBLANK(S147)),Dashboard!F88&gt;0), S147/Dashboard!F88, "")</f>
        <v/>
      </c>
      <c r="U147" s="45"/>
      <c r="V147" s="48" t="str">
        <f>IF(AND(NOT(ISBLANK(U147)),Dashboard!F89&gt;0), U147/Dashboard!F89, "")</f>
        <v/>
      </c>
      <c r="W147" s="45"/>
      <c r="X147" s="48" t="str">
        <f>IF(AND(NOT(ISBLANK(W147)),Dashboard!F90&gt;0), W147/Dashboard!F90, "")</f>
        <v/>
      </c>
    </row>
    <row r="148" spans="16:24" x14ac:dyDescent="0.35">
      <c r="P148" s="58"/>
      <c r="Q148" s="45"/>
      <c r="R148" s="48" t="str">
        <f>IF(AND(NOT(ISBLANK(Q148)),Dashboard!F16&gt;0), Q148/Dashboard!F16, "")</f>
        <v/>
      </c>
      <c r="S148" s="45"/>
      <c r="T148" s="48" t="str">
        <f>IF(AND(NOT(ISBLANK(S148)),Dashboard!F88&gt;0), S148/Dashboard!F88, "")</f>
        <v/>
      </c>
      <c r="U148" s="45"/>
      <c r="V148" s="48" t="str">
        <f>IF(AND(NOT(ISBLANK(U148)),Dashboard!F89&gt;0), U148/Dashboard!F89, "")</f>
        <v/>
      </c>
      <c r="W148" s="45"/>
      <c r="X148" s="48" t="str">
        <f>IF(AND(NOT(ISBLANK(W148)),Dashboard!F90&gt;0), W148/Dashboard!F90, "")</f>
        <v/>
      </c>
    </row>
    <row r="149" spans="16:24" x14ac:dyDescent="0.35">
      <c r="P149" s="58"/>
      <c r="Q149" s="45"/>
      <c r="R149" s="48" t="str">
        <f>IF(AND(NOT(ISBLANK(Q149)),Dashboard!F16&gt;0), Q149/Dashboard!F16, "")</f>
        <v/>
      </c>
      <c r="S149" s="45"/>
      <c r="T149" s="48" t="str">
        <f>IF(AND(NOT(ISBLANK(S149)),Dashboard!F88&gt;0), S149/Dashboard!F88, "")</f>
        <v/>
      </c>
      <c r="U149" s="45"/>
      <c r="V149" s="48" t="str">
        <f>IF(AND(NOT(ISBLANK(U149)),Dashboard!F89&gt;0), U149/Dashboard!F89, "")</f>
        <v/>
      </c>
      <c r="W149" s="45"/>
      <c r="X149" s="48" t="str">
        <f>IF(AND(NOT(ISBLANK(W149)),Dashboard!F90&gt;0), W149/Dashboard!F90, "")</f>
        <v/>
      </c>
    </row>
    <row r="150" spans="16:24" x14ac:dyDescent="0.35">
      <c r="P150" s="58"/>
      <c r="Q150" s="45"/>
      <c r="R150" s="48" t="str">
        <f>IF(AND(NOT(ISBLANK(Q150)),Dashboard!F16&gt;0), Q150/Dashboard!F16, "")</f>
        <v/>
      </c>
      <c r="S150" s="45"/>
      <c r="T150" s="48" t="str">
        <f>IF(AND(NOT(ISBLANK(S150)),Dashboard!F88&gt;0), S150/Dashboard!F88, "")</f>
        <v/>
      </c>
      <c r="U150" s="45"/>
      <c r="V150" s="48" t="str">
        <f>IF(AND(NOT(ISBLANK(U150)),Dashboard!F89&gt;0), U150/Dashboard!F89, "")</f>
        <v/>
      </c>
      <c r="W150" s="45"/>
      <c r="X150" s="48" t="str">
        <f>IF(AND(NOT(ISBLANK(W150)),Dashboard!F90&gt;0), W150/Dashboard!F90, "")</f>
        <v/>
      </c>
    </row>
    <row r="151" spans="16:24" x14ac:dyDescent="0.35">
      <c r="P151" s="58"/>
      <c r="Q151" s="45"/>
      <c r="R151" s="48" t="str">
        <f>IF(AND(NOT(ISBLANK(Q151)),Dashboard!F16&gt;0), Q151/Dashboard!F16, "")</f>
        <v/>
      </c>
      <c r="S151" s="45"/>
      <c r="T151" s="48" t="str">
        <f>IF(AND(NOT(ISBLANK(S151)),Dashboard!F88&gt;0), S151/Dashboard!F88, "")</f>
        <v/>
      </c>
      <c r="U151" s="45"/>
      <c r="V151" s="48" t="str">
        <f>IF(AND(NOT(ISBLANK(U151)),Dashboard!F89&gt;0), U151/Dashboard!F89, "")</f>
        <v/>
      </c>
      <c r="W151" s="45"/>
      <c r="X151" s="48" t="str">
        <f>IF(AND(NOT(ISBLANK(W151)),Dashboard!F90&gt;0), W151/Dashboard!F90, "")</f>
        <v/>
      </c>
    </row>
    <row r="152" spans="16:24" x14ac:dyDescent="0.35">
      <c r="P152" s="58"/>
      <c r="Q152" s="45"/>
      <c r="R152" s="48" t="str">
        <f>IF(AND(NOT(ISBLANK(Q152)),Dashboard!F16&gt;0), Q152/Dashboard!F16, "")</f>
        <v/>
      </c>
      <c r="S152" s="45"/>
      <c r="T152" s="48" t="str">
        <f>IF(AND(NOT(ISBLANK(S152)),Dashboard!F88&gt;0), S152/Dashboard!F88, "")</f>
        <v/>
      </c>
      <c r="U152" s="45"/>
      <c r="V152" s="48" t="str">
        <f>IF(AND(NOT(ISBLANK(U152)),Dashboard!F89&gt;0), U152/Dashboard!F89, "")</f>
        <v/>
      </c>
      <c r="W152" s="45"/>
      <c r="X152" s="48" t="str">
        <f>IF(AND(NOT(ISBLANK(W152)),Dashboard!F90&gt;0), W152/Dashboard!F90, "")</f>
        <v/>
      </c>
    </row>
    <row r="153" spans="16:24" x14ac:dyDescent="0.35">
      <c r="P153" s="58"/>
      <c r="Q153" s="45"/>
      <c r="R153" s="48" t="str">
        <f>IF(AND(NOT(ISBLANK(Q153)),Dashboard!F16&gt;0), Q153/Dashboard!F16, "")</f>
        <v/>
      </c>
      <c r="S153" s="45"/>
      <c r="T153" s="48" t="str">
        <f>IF(AND(NOT(ISBLANK(S153)),Dashboard!F88&gt;0), S153/Dashboard!F88, "")</f>
        <v/>
      </c>
      <c r="U153" s="45"/>
      <c r="V153" s="48" t="str">
        <f>IF(AND(NOT(ISBLANK(U153)),Dashboard!F89&gt;0), U153/Dashboard!F89, "")</f>
        <v/>
      </c>
      <c r="W153" s="45"/>
      <c r="X153" s="48" t="str">
        <f>IF(AND(NOT(ISBLANK(W153)),Dashboard!F90&gt;0), W153/Dashboard!F90, "")</f>
        <v/>
      </c>
    </row>
    <row r="154" spans="16:24" x14ac:dyDescent="0.35">
      <c r="P154" s="58"/>
      <c r="Q154" s="45"/>
      <c r="R154" s="48" t="str">
        <f>IF(AND(NOT(ISBLANK(Q154)),Dashboard!F16&gt;0), Q154/Dashboard!F16, "")</f>
        <v/>
      </c>
      <c r="S154" s="45"/>
      <c r="T154" s="48" t="str">
        <f>IF(AND(NOT(ISBLANK(S154)),Dashboard!F88&gt;0), S154/Dashboard!F88, "")</f>
        <v/>
      </c>
      <c r="U154" s="45"/>
      <c r="V154" s="48" t="str">
        <f>IF(AND(NOT(ISBLANK(U154)),Dashboard!F89&gt;0), U154/Dashboard!F89, "")</f>
        <v/>
      </c>
      <c r="W154" s="45"/>
      <c r="X154" s="48" t="str">
        <f>IF(AND(NOT(ISBLANK(W154)),Dashboard!F90&gt;0), W154/Dashboard!F90, "")</f>
        <v/>
      </c>
    </row>
    <row r="155" spans="16:24" x14ac:dyDescent="0.35">
      <c r="P155" s="58"/>
      <c r="Q155" s="45"/>
      <c r="R155" s="48" t="str">
        <f>IF(AND(NOT(ISBLANK(Q155)),Dashboard!F16&gt;0), Q155/Dashboard!F16, "")</f>
        <v/>
      </c>
      <c r="S155" s="45"/>
      <c r="T155" s="48" t="str">
        <f>IF(AND(NOT(ISBLANK(S155)),Dashboard!F88&gt;0), S155/Dashboard!F88, "")</f>
        <v/>
      </c>
      <c r="U155" s="45"/>
      <c r="V155" s="48" t="str">
        <f>IF(AND(NOT(ISBLANK(U155)),Dashboard!F89&gt;0), U155/Dashboard!F89, "")</f>
        <v/>
      </c>
      <c r="W155" s="45"/>
      <c r="X155" s="48" t="str">
        <f>IF(AND(NOT(ISBLANK(W155)),Dashboard!F90&gt;0), W155/Dashboard!F90, "")</f>
        <v/>
      </c>
    </row>
    <row r="156" spans="16:24" x14ac:dyDescent="0.35">
      <c r="P156" s="58"/>
      <c r="Q156" s="45"/>
      <c r="R156" s="48" t="str">
        <f>IF(AND(NOT(ISBLANK(Q156)),Dashboard!F16&gt;0), Q156/Dashboard!F16, "")</f>
        <v/>
      </c>
      <c r="S156" s="45"/>
      <c r="T156" s="48" t="str">
        <f>IF(AND(NOT(ISBLANK(S156)),Dashboard!F88&gt;0), S156/Dashboard!F88, "")</f>
        <v/>
      </c>
      <c r="U156" s="45"/>
      <c r="V156" s="48" t="str">
        <f>IF(AND(NOT(ISBLANK(U156)),Dashboard!F89&gt;0), U156/Dashboard!F89, "")</f>
        <v/>
      </c>
      <c r="W156" s="45"/>
      <c r="X156" s="48" t="str">
        <f>IF(AND(NOT(ISBLANK(W156)),Dashboard!F90&gt;0), W156/Dashboard!F90, "")</f>
        <v/>
      </c>
    </row>
    <row r="157" spans="16:24" x14ac:dyDescent="0.35">
      <c r="P157" s="58"/>
      <c r="Q157" s="45"/>
      <c r="R157" s="48" t="str">
        <f>IF(AND(NOT(ISBLANK(Q157)),Dashboard!F16&gt;0), Q157/Dashboard!F16, "")</f>
        <v/>
      </c>
      <c r="S157" s="45"/>
      <c r="T157" s="48" t="str">
        <f>IF(AND(NOT(ISBLANK(S157)),Dashboard!F88&gt;0), S157/Dashboard!F88, "")</f>
        <v/>
      </c>
      <c r="U157" s="45"/>
      <c r="V157" s="48" t="str">
        <f>IF(AND(NOT(ISBLANK(U157)),Dashboard!F89&gt;0), U157/Dashboard!F89, "")</f>
        <v/>
      </c>
      <c r="W157" s="45"/>
      <c r="X157" s="48" t="str">
        <f>IF(AND(NOT(ISBLANK(W157)),Dashboard!F90&gt;0), W157/Dashboard!F90, "")</f>
        <v/>
      </c>
    </row>
    <row r="158" spans="16:24" x14ac:dyDescent="0.35">
      <c r="P158" s="58"/>
      <c r="Q158" s="45"/>
      <c r="R158" s="48" t="str">
        <f>IF(AND(NOT(ISBLANK(Q158)),Dashboard!F16&gt;0), Q158/Dashboard!F16, "")</f>
        <v/>
      </c>
      <c r="S158" s="45"/>
      <c r="T158" s="48" t="str">
        <f>IF(AND(NOT(ISBLANK(S158)),Dashboard!F88&gt;0), S158/Dashboard!F88, "")</f>
        <v/>
      </c>
      <c r="U158" s="45"/>
      <c r="V158" s="48" t="str">
        <f>IF(AND(NOT(ISBLANK(U158)),Dashboard!F89&gt;0), U158/Dashboard!F89, "")</f>
        <v/>
      </c>
      <c r="W158" s="45"/>
      <c r="X158" s="48" t="str">
        <f>IF(AND(NOT(ISBLANK(W158)),Dashboard!F90&gt;0), W158/Dashboard!F90, "")</f>
        <v/>
      </c>
    </row>
    <row r="159" spans="16:24" x14ac:dyDescent="0.35">
      <c r="P159" s="58"/>
      <c r="Q159" s="45"/>
      <c r="R159" s="48" t="str">
        <f>IF(AND(NOT(ISBLANK(Q159)),Dashboard!F16&gt;0), Q159/Dashboard!F16, "")</f>
        <v/>
      </c>
      <c r="S159" s="45"/>
      <c r="T159" s="48" t="str">
        <f>IF(AND(NOT(ISBLANK(S159)),Dashboard!F88&gt;0), S159/Dashboard!F88, "")</f>
        <v/>
      </c>
      <c r="U159" s="45"/>
      <c r="V159" s="48" t="str">
        <f>IF(AND(NOT(ISBLANK(U159)),Dashboard!F89&gt;0), U159/Dashboard!F89, "")</f>
        <v/>
      </c>
      <c r="W159" s="45"/>
      <c r="X159" s="48" t="str">
        <f>IF(AND(NOT(ISBLANK(W159)),Dashboard!F90&gt;0), W159/Dashboard!F90, "")</f>
        <v/>
      </c>
    </row>
    <row r="160" spans="16:24" x14ac:dyDescent="0.35">
      <c r="P160" s="58"/>
      <c r="Q160" s="45"/>
      <c r="R160" s="48" t="str">
        <f>IF(AND(NOT(ISBLANK(Q160)),Dashboard!F16&gt;0), Q160/Dashboard!F16, "")</f>
        <v/>
      </c>
      <c r="S160" s="45"/>
      <c r="T160" s="48" t="str">
        <f>IF(AND(NOT(ISBLANK(S160)),Dashboard!F88&gt;0), S160/Dashboard!F88, "")</f>
        <v/>
      </c>
      <c r="U160" s="45"/>
      <c r="V160" s="48" t="str">
        <f>IF(AND(NOT(ISBLANK(U160)),Dashboard!F89&gt;0), U160/Dashboard!F89, "")</f>
        <v/>
      </c>
      <c r="W160" s="45"/>
      <c r="X160" s="48" t="str">
        <f>IF(AND(NOT(ISBLANK(W160)),Dashboard!F90&gt;0), W160/Dashboard!F90, "")</f>
        <v/>
      </c>
    </row>
    <row r="161" spans="16:24" x14ac:dyDescent="0.35">
      <c r="P161" s="58"/>
      <c r="Q161" s="45"/>
      <c r="R161" s="48" t="str">
        <f>IF(AND(NOT(ISBLANK(Q161)),Dashboard!F16&gt;0), Q161/Dashboard!F16, "")</f>
        <v/>
      </c>
      <c r="S161" s="45"/>
      <c r="T161" s="48" t="str">
        <f>IF(AND(NOT(ISBLANK(S161)),Dashboard!F88&gt;0), S161/Dashboard!F88, "")</f>
        <v/>
      </c>
      <c r="U161" s="45"/>
      <c r="V161" s="48" t="str">
        <f>IF(AND(NOT(ISBLANK(U161)),Dashboard!F89&gt;0), U161/Dashboard!F89, "")</f>
        <v/>
      </c>
      <c r="W161" s="45"/>
      <c r="X161" s="48" t="str">
        <f>IF(AND(NOT(ISBLANK(W161)),Dashboard!F90&gt;0), W161/Dashboard!F90, "")</f>
        <v/>
      </c>
    </row>
    <row r="162" spans="16:24" x14ac:dyDescent="0.35">
      <c r="P162" s="58"/>
      <c r="Q162" s="45"/>
      <c r="R162" s="48" t="str">
        <f>IF(AND(NOT(ISBLANK(Q162)),Dashboard!F16&gt;0), Q162/Dashboard!F16, "")</f>
        <v/>
      </c>
      <c r="S162" s="45"/>
      <c r="T162" s="48" t="str">
        <f>IF(AND(NOT(ISBLANK(S162)),Dashboard!F88&gt;0), S162/Dashboard!F88, "")</f>
        <v/>
      </c>
      <c r="U162" s="45"/>
      <c r="V162" s="48" t="str">
        <f>IF(AND(NOT(ISBLANK(U162)),Dashboard!F89&gt;0), U162/Dashboard!F89, "")</f>
        <v/>
      </c>
      <c r="W162" s="45"/>
      <c r="X162" s="48" t="str">
        <f>IF(AND(NOT(ISBLANK(W162)),Dashboard!F90&gt;0), W162/Dashboard!F90, "")</f>
        <v/>
      </c>
    </row>
    <row r="163" spans="16:24" x14ac:dyDescent="0.35">
      <c r="P163" s="58"/>
      <c r="Q163" s="45"/>
      <c r="R163" s="48" t="str">
        <f>IF(AND(NOT(ISBLANK(Q163)),Dashboard!F16&gt;0), Q163/Dashboard!F16, "")</f>
        <v/>
      </c>
      <c r="S163" s="45"/>
      <c r="T163" s="48" t="str">
        <f>IF(AND(NOT(ISBLANK(S163)),Dashboard!F88&gt;0), S163/Dashboard!F88, "")</f>
        <v/>
      </c>
      <c r="U163" s="45"/>
      <c r="V163" s="48" t="str">
        <f>IF(AND(NOT(ISBLANK(U163)),Dashboard!F89&gt;0), U163/Dashboard!F89, "")</f>
        <v/>
      </c>
      <c r="W163" s="45"/>
      <c r="X163" s="48" t="str">
        <f>IF(AND(NOT(ISBLANK(W163)),Dashboard!F90&gt;0), W163/Dashboard!F90, "")</f>
        <v/>
      </c>
    </row>
    <row r="164" spans="16:24" x14ac:dyDescent="0.35">
      <c r="P164" s="58"/>
      <c r="Q164" s="45"/>
      <c r="R164" s="48" t="str">
        <f>IF(AND(NOT(ISBLANK(Q164)),Dashboard!F16&gt;0), Q164/Dashboard!F16, "")</f>
        <v/>
      </c>
      <c r="S164" s="45"/>
      <c r="T164" s="48" t="str">
        <f>IF(AND(NOT(ISBLANK(S164)),Dashboard!F88&gt;0), S164/Dashboard!F88, "")</f>
        <v/>
      </c>
      <c r="U164" s="45"/>
      <c r="V164" s="48" t="str">
        <f>IF(AND(NOT(ISBLANK(U164)),Dashboard!F89&gt;0), U164/Dashboard!F89, "")</f>
        <v/>
      </c>
      <c r="W164" s="45"/>
      <c r="X164" s="48" t="str">
        <f>IF(AND(NOT(ISBLANK(W164)),Dashboard!F90&gt;0), W164/Dashboard!F90, "")</f>
        <v/>
      </c>
    </row>
    <row r="165" spans="16:24" x14ac:dyDescent="0.35">
      <c r="P165" s="58"/>
      <c r="Q165" s="45"/>
      <c r="R165" s="48" t="str">
        <f>IF(AND(NOT(ISBLANK(Q165)),Dashboard!F16&gt;0), Q165/Dashboard!F16, "")</f>
        <v/>
      </c>
      <c r="S165" s="45"/>
      <c r="T165" s="48" t="str">
        <f>IF(AND(NOT(ISBLANK(S165)),Dashboard!F88&gt;0), S165/Dashboard!F88, "")</f>
        <v/>
      </c>
      <c r="U165" s="45"/>
      <c r="V165" s="48" t="str">
        <f>IF(AND(NOT(ISBLANK(U165)),Dashboard!F89&gt;0), U165/Dashboard!F89, "")</f>
        <v/>
      </c>
      <c r="W165" s="45"/>
      <c r="X165" s="48" t="str">
        <f>IF(AND(NOT(ISBLANK(W165)),Dashboard!F90&gt;0), W165/Dashboard!F90, "")</f>
        <v/>
      </c>
    </row>
    <row r="166" spans="16:24" x14ac:dyDescent="0.35">
      <c r="P166" s="58"/>
      <c r="Q166" s="45"/>
      <c r="R166" s="48" t="str">
        <f>IF(AND(NOT(ISBLANK(Q166)),Dashboard!F16&gt;0), Q166/Dashboard!F16, "")</f>
        <v/>
      </c>
      <c r="S166" s="45"/>
      <c r="T166" s="48" t="str">
        <f>IF(AND(NOT(ISBLANK(S166)),Dashboard!F88&gt;0), S166/Dashboard!F88, "")</f>
        <v/>
      </c>
      <c r="U166" s="45"/>
      <c r="V166" s="48" t="str">
        <f>IF(AND(NOT(ISBLANK(U166)),Dashboard!F89&gt;0), U166/Dashboard!F89, "")</f>
        <v/>
      </c>
      <c r="W166" s="45"/>
      <c r="X166" s="48" t="str">
        <f>IF(AND(NOT(ISBLANK(W166)),Dashboard!F90&gt;0), W166/Dashboard!F90, "")</f>
        <v/>
      </c>
    </row>
    <row r="167" spans="16:24" x14ac:dyDescent="0.35">
      <c r="P167" s="58"/>
      <c r="Q167" s="45"/>
      <c r="R167" s="48" t="str">
        <f>IF(AND(NOT(ISBLANK(Q167)),Dashboard!F16&gt;0), Q167/Dashboard!F16, "")</f>
        <v/>
      </c>
      <c r="S167" s="45"/>
      <c r="T167" s="48" t="str">
        <f>IF(AND(NOT(ISBLANK(S167)),Dashboard!F88&gt;0), S167/Dashboard!F88, "")</f>
        <v/>
      </c>
      <c r="U167" s="45"/>
      <c r="V167" s="48" t="str">
        <f>IF(AND(NOT(ISBLANK(U167)),Dashboard!F89&gt;0), U167/Dashboard!F89, "")</f>
        <v/>
      </c>
      <c r="W167" s="45"/>
      <c r="X167" s="48" t="str">
        <f>IF(AND(NOT(ISBLANK(W167)),Dashboard!F90&gt;0), W167/Dashboard!F90, "")</f>
        <v/>
      </c>
    </row>
    <row r="168" spans="16:24" x14ac:dyDescent="0.35">
      <c r="P168" s="58"/>
      <c r="Q168" s="45"/>
      <c r="R168" s="48" t="str">
        <f>IF(AND(NOT(ISBLANK(Q168)),Dashboard!F16&gt;0), Q168/Dashboard!F16, "")</f>
        <v/>
      </c>
      <c r="S168" s="45"/>
      <c r="T168" s="48" t="str">
        <f>IF(AND(NOT(ISBLANK(S168)),Dashboard!F88&gt;0), S168/Dashboard!F88, "")</f>
        <v/>
      </c>
      <c r="U168" s="45"/>
      <c r="V168" s="48" t="str">
        <f>IF(AND(NOT(ISBLANK(U168)),Dashboard!F89&gt;0), U168/Dashboard!F89, "")</f>
        <v/>
      </c>
      <c r="W168" s="45"/>
      <c r="X168" s="48" t="str">
        <f>IF(AND(NOT(ISBLANK(W168)),Dashboard!F90&gt;0), W168/Dashboard!F90, "")</f>
        <v/>
      </c>
    </row>
    <row r="169" spans="16:24" x14ac:dyDescent="0.35">
      <c r="P169" s="58"/>
      <c r="Q169" s="45"/>
      <c r="R169" s="48" t="str">
        <f>IF(AND(NOT(ISBLANK(Q169)),Dashboard!F16&gt;0), Q169/Dashboard!F16, "")</f>
        <v/>
      </c>
      <c r="S169" s="45"/>
      <c r="T169" s="48" t="str">
        <f>IF(AND(NOT(ISBLANK(S169)),Dashboard!F88&gt;0), S169/Dashboard!F88, "")</f>
        <v/>
      </c>
      <c r="U169" s="45"/>
      <c r="V169" s="48" t="str">
        <f>IF(AND(NOT(ISBLANK(U169)),Dashboard!F89&gt;0), U169/Dashboard!F89, "")</f>
        <v/>
      </c>
      <c r="W169" s="45"/>
      <c r="X169" s="48" t="str">
        <f>IF(AND(NOT(ISBLANK(W169)),Dashboard!F90&gt;0), W169/Dashboard!F90, "")</f>
        <v/>
      </c>
    </row>
    <row r="170" spans="16:24" x14ac:dyDescent="0.35">
      <c r="P170" s="58"/>
      <c r="Q170" s="45"/>
      <c r="R170" s="48" t="str">
        <f>IF(AND(NOT(ISBLANK(Q170)),Dashboard!F16&gt;0), Q170/Dashboard!F16, "")</f>
        <v/>
      </c>
      <c r="S170" s="45"/>
      <c r="T170" s="48" t="str">
        <f>IF(AND(NOT(ISBLANK(S170)),Dashboard!F88&gt;0), S170/Dashboard!F88, "")</f>
        <v/>
      </c>
      <c r="U170" s="45"/>
      <c r="V170" s="48" t="str">
        <f>IF(AND(NOT(ISBLANK(U170)),Dashboard!F89&gt;0), U170/Dashboard!F89, "")</f>
        <v/>
      </c>
      <c r="W170" s="45"/>
      <c r="X170" s="48" t="str">
        <f>IF(AND(NOT(ISBLANK(W170)),Dashboard!F90&gt;0), W170/Dashboard!F90, "")</f>
        <v/>
      </c>
    </row>
    <row r="171" spans="16:24" x14ac:dyDescent="0.35">
      <c r="P171" s="58"/>
      <c r="Q171" s="45"/>
      <c r="R171" s="48" t="str">
        <f>IF(AND(NOT(ISBLANK(Q171)),Dashboard!F16&gt;0), Q171/Dashboard!F16, "")</f>
        <v/>
      </c>
      <c r="S171" s="45"/>
      <c r="T171" s="48" t="str">
        <f>IF(AND(NOT(ISBLANK(S171)),Dashboard!F88&gt;0), S171/Dashboard!F88, "")</f>
        <v/>
      </c>
      <c r="U171" s="45"/>
      <c r="V171" s="48" t="str">
        <f>IF(AND(NOT(ISBLANK(U171)),Dashboard!F89&gt;0), U171/Dashboard!F89, "")</f>
        <v/>
      </c>
      <c r="W171" s="45"/>
      <c r="X171" s="48" t="str">
        <f>IF(AND(NOT(ISBLANK(W171)),Dashboard!F90&gt;0), W171/Dashboard!F90, "")</f>
        <v/>
      </c>
    </row>
    <row r="172" spans="16:24" x14ac:dyDescent="0.35">
      <c r="P172" s="58"/>
      <c r="Q172" s="45"/>
      <c r="R172" s="48" t="str">
        <f>IF(AND(NOT(ISBLANK(Q172)),Dashboard!F16&gt;0), Q172/Dashboard!F16, "")</f>
        <v/>
      </c>
      <c r="S172" s="45"/>
      <c r="T172" s="48" t="str">
        <f>IF(AND(NOT(ISBLANK(S172)),Dashboard!F88&gt;0), S172/Dashboard!F88, "")</f>
        <v/>
      </c>
      <c r="U172" s="45"/>
      <c r="V172" s="48" t="str">
        <f>IF(AND(NOT(ISBLANK(U172)),Dashboard!F89&gt;0), U172/Dashboard!F89, "")</f>
        <v/>
      </c>
      <c r="W172" s="45"/>
      <c r="X172" s="48" t="str">
        <f>IF(AND(NOT(ISBLANK(W172)),Dashboard!F90&gt;0), W172/Dashboard!F90, "")</f>
        <v/>
      </c>
    </row>
    <row r="173" spans="16:24" x14ac:dyDescent="0.35">
      <c r="P173" s="58"/>
      <c r="Q173" s="45"/>
      <c r="R173" s="48" t="str">
        <f>IF(AND(NOT(ISBLANK(Q173)),Dashboard!F16&gt;0), Q173/Dashboard!F16, "")</f>
        <v/>
      </c>
      <c r="S173" s="45"/>
      <c r="T173" s="48" t="str">
        <f>IF(AND(NOT(ISBLANK(S173)),Dashboard!F88&gt;0), S173/Dashboard!F88, "")</f>
        <v/>
      </c>
      <c r="U173" s="45"/>
      <c r="V173" s="48" t="str">
        <f>IF(AND(NOT(ISBLANK(U173)),Dashboard!F89&gt;0), U173/Dashboard!F89, "")</f>
        <v/>
      </c>
      <c r="W173" s="45"/>
      <c r="X173" s="48" t="str">
        <f>IF(AND(NOT(ISBLANK(W173)),Dashboard!F90&gt;0), W173/Dashboard!F90, "")</f>
        <v/>
      </c>
    </row>
    <row r="174" spans="16:24" x14ac:dyDescent="0.35">
      <c r="P174" s="58"/>
      <c r="Q174" s="45"/>
      <c r="R174" s="48" t="str">
        <f>IF(AND(NOT(ISBLANK(Q174)),Dashboard!F16&gt;0), Q174/Dashboard!F16, "")</f>
        <v/>
      </c>
      <c r="S174" s="45"/>
      <c r="T174" s="48" t="str">
        <f>IF(AND(NOT(ISBLANK(S174)),Dashboard!F88&gt;0), S174/Dashboard!F88, "")</f>
        <v/>
      </c>
      <c r="U174" s="45"/>
      <c r="V174" s="48" t="str">
        <f>IF(AND(NOT(ISBLANK(U174)),Dashboard!F89&gt;0), U174/Dashboard!F89, "")</f>
        <v/>
      </c>
      <c r="W174" s="45"/>
      <c r="X174" s="48" t="str">
        <f>IF(AND(NOT(ISBLANK(W174)),Dashboard!F90&gt;0), W174/Dashboard!F90, "")</f>
        <v/>
      </c>
    </row>
    <row r="179" spans="2:22" ht="21" x14ac:dyDescent="0.5">
      <c r="B179" s="42" t="s">
        <v>2117</v>
      </c>
      <c r="P179" s="59" t="s">
        <v>2118</v>
      </c>
    </row>
    <row r="181" spans="2:22" ht="45" customHeight="1" x14ac:dyDescent="0.35">
      <c r="B181" s="300" t="s">
        <v>2119</v>
      </c>
      <c r="C181" s="293"/>
      <c r="D181" s="293"/>
      <c r="E181" s="293"/>
      <c r="F181" s="293"/>
      <c r="P181" s="300" t="s">
        <v>2120</v>
      </c>
      <c r="Q181" s="293"/>
      <c r="R181" s="293"/>
      <c r="S181" s="293"/>
      <c r="T181" s="293"/>
      <c r="U181" s="293"/>
    </row>
    <row r="182" spans="2:22" ht="35" customHeight="1" x14ac:dyDescent="0.35">
      <c r="P182" s="297" t="s">
        <v>2121</v>
      </c>
      <c r="Q182" s="297"/>
      <c r="R182" s="297" t="s">
        <v>2122</v>
      </c>
      <c r="S182" s="297"/>
      <c r="T182" s="297"/>
    </row>
    <row r="183" spans="2:22" ht="30" customHeight="1" x14ac:dyDescent="0.35">
      <c r="P183" s="301">
        <v>0</v>
      </c>
      <c r="Q183" s="302"/>
      <c r="R183" s="303" t="s">
        <v>2123</v>
      </c>
      <c r="S183" s="304"/>
      <c r="T183" s="304"/>
    </row>
    <row r="186" spans="2:22" ht="25" customHeight="1" x14ac:dyDescent="0.35">
      <c r="P186" s="68" t="s">
        <v>2106</v>
      </c>
      <c r="Q186" s="68" t="s">
        <v>2124</v>
      </c>
      <c r="R186" s="68" t="s">
        <v>2125</v>
      </c>
      <c r="S186" s="305" t="s">
        <v>8</v>
      </c>
      <c r="T186" s="305"/>
      <c r="U186" s="305"/>
      <c r="V186" s="293"/>
    </row>
    <row r="187" spans="2:22" ht="20" customHeight="1" x14ac:dyDescent="0.35">
      <c r="P187" s="70"/>
      <c r="Q187" s="71"/>
      <c r="R187" s="72" t="str">
        <f>IF(AND(NOT(ISBLANK(Q187)), Dashboard!$P183&gt;0), Q187/Dashboard!$P183, "")</f>
        <v/>
      </c>
      <c r="S187" s="306"/>
      <c r="T187" s="307"/>
      <c r="U187" s="307"/>
      <c r="V187" s="307"/>
    </row>
    <row r="188" spans="2:22" ht="20" customHeight="1" x14ac:dyDescent="0.35">
      <c r="P188" s="70"/>
      <c r="Q188" s="71"/>
      <c r="R188" s="72" t="str">
        <f>IF(AND(NOT(ISBLANK(Q188)), Dashboard!$P183&gt;0), Q188/Dashboard!$P183, "")</f>
        <v/>
      </c>
      <c r="S188" s="306"/>
      <c r="T188" s="307"/>
      <c r="U188" s="307"/>
      <c r="V188" s="307"/>
    </row>
    <row r="189" spans="2:22" ht="20" customHeight="1" x14ac:dyDescent="0.35">
      <c r="P189" s="70"/>
      <c r="Q189" s="71"/>
      <c r="R189" s="72" t="str">
        <f>IF(AND(NOT(ISBLANK(Q189)), Dashboard!$P183&gt;0), Q189/Dashboard!$P183, "")</f>
        <v/>
      </c>
      <c r="S189" s="306"/>
      <c r="T189" s="307"/>
      <c r="U189" s="307"/>
      <c r="V189" s="307"/>
    </row>
    <row r="190" spans="2:22" ht="20" customHeight="1" x14ac:dyDescent="0.35">
      <c r="P190" s="70"/>
      <c r="Q190" s="71"/>
      <c r="R190" s="72" t="str">
        <f>IF(AND(NOT(ISBLANK(Q190)), Dashboard!$P183&gt;0), Q190/Dashboard!$P183, "")</f>
        <v/>
      </c>
      <c r="S190" s="306"/>
      <c r="T190" s="307"/>
      <c r="U190" s="307"/>
      <c r="V190" s="307"/>
    </row>
    <row r="191" spans="2:22" ht="20" customHeight="1" x14ac:dyDescent="0.35">
      <c r="P191" s="70"/>
      <c r="Q191" s="71"/>
      <c r="R191" s="72" t="str">
        <f>IF(AND(NOT(ISBLANK(Q191)), Dashboard!$P183&gt;0), Q191/Dashboard!$P183, "")</f>
        <v/>
      </c>
      <c r="S191" s="306"/>
      <c r="T191" s="307"/>
      <c r="U191" s="307"/>
      <c r="V191" s="307"/>
    </row>
    <row r="192" spans="2:22" ht="20" customHeight="1" x14ac:dyDescent="0.35">
      <c r="P192" s="70"/>
      <c r="Q192" s="71"/>
      <c r="R192" s="72" t="str">
        <f>IF(AND(NOT(ISBLANK(Q192)), Dashboard!$P183&gt;0), Q192/Dashboard!$P183, "")</f>
        <v/>
      </c>
      <c r="S192" s="306"/>
      <c r="T192" s="307"/>
      <c r="U192" s="307"/>
      <c r="V192" s="307"/>
    </row>
    <row r="193" spans="16:22" ht="20" customHeight="1" x14ac:dyDescent="0.35">
      <c r="P193" s="70"/>
      <c r="Q193" s="71"/>
      <c r="R193" s="72" t="str">
        <f>IF(AND(NOT(ISBLANK(Q193)), Dashboard!$P183&gt;0), Q193/Dashboard!$P183, "")</f>
        <v/>
      </c>
      <c r="S193" s="306"/>
      <c r="T193" s="307"/>
      <c r="U193" s="307"/>
      <c r="V193" s="307"/>
    </row>
    <row r="194" spans="16:22" ht="20" customHeight="1" x14ac:dyDescent="0.35">
      <c r="P194" s="70"/>
      <c r="Q194" s="71"/>
      <c r="R194" s="72" t="str">
        <f>IF(AND(NOT(ISBLANK(Q194)), Dashboard!$P183&gt;0), Q194/Dashboard!$P183, "")</f>
        <v/>
      </c>
      <c r="S194" s="306"/>
      <c r="T194" s="307"/>
      <c r="U194" s="307"/>
      <c r="V194" s="307"/>
    </row>
    <row r="195" spans="16:22" ht="20" customHeight="1" x14ac:dyDescent="0.35">
      <c r="P195" s="70"/>
      <c r="Q195" s="71"/>
      <c r="R195" s="72" t="str">
        <f>IF(AND(NOT(ISBLANK(Q195)), Dashboard!$P183&gt;0), Q195/Dashboard!$P183, "")</f>
        <v/>
      </c>
      <c r="S195" s="306"/>
      <c r="T195" s="307"/>
      <c r="U195" s="307"/>
      <c r="V195" s="307"/>
    </row>
    <row r="196" spans="16:22" ht="20" customHeight="1" x14ac:dyDescent="0.35">
      <c r="P196" s="70"/>
      <c r="Q196" s="71"/>
      <c r="R196" s="72" t="str">
        <f>IF(AND(NOT(ISBLANK(Q196)), Dashboard!$P183&gt;0), Q196/Dashboard!$P183, "")</f>
        <v/>
      </c>
      <c r="S196" s="306"/>
      <c r="T196" s="307"/>
      <c r="U196" s="307"/>
      <c r="V196" s="307"/>
    </row>
    <row r="197" spans="16:22" ht="20" customHeight="1" x14ac:dyDescent="0.35">
      <c r="P197" s="70"/>
      <c r="Q197" s="71"/>
      <c r="R197" s="72" t="str">
        <f>IF(AND(NOT(ISBLANK(Q197)), Dashboard!$P183&gt;0), Q197/Dashboard!$P183, "")</f>
        <v/>
      </c>
      <c r="S197" s="306"/>
      <c r="T197" s="307"/>
      <c r="U197" s="307"/>
      <c r="V197" s="307"/>
    </row>
    <row r="198" spans="16:22" ht="20" customHeight="1" x14ac:dyDescent="0.35">
      <c r="P198" s="70"/>
      <c r="Q198" s="71"/>
      <c r="R198" s="72" t="str">
        <f>IF(AND(NOT(ISBLANK(Q198)), Dashboard!$P183&gt;0), Q198/Dashboard!$P183, "")</f>
        <v/>
      </c>
      <c r="S198" s="306"/>
      <c r="T198" s="307"/>
      <c r="U198" s="307"/>
      <c r="V198" s="307"/>
    </row>
    <row r="199" spans="16:22" ht="20" customHeight="1" x14ac:dyDescent="0.35">
      <c r="P199" s="70"/>
      <c r="Q199" s="71"/>
      <c r="R199" s="72" t="str">
        <f>IF(AND(NOT(ISBLANK(Q199)), Dashboard!$P183&gt;0), Q199/Dashboard!$P183, "")</f>
        <v/>
      </c>
      <c r="S199" s="306"/>
      <c r="T199" s="307"/>
      <c r="U199" s="307"/>
      <c r="V199" s="307"/>
    </row>
    <row r="200" spans="16:22" ht="20" customHeight="1" x14ac:dyDescent="0.35">
      <c r="P200" s="70"/>
      <c r="Q200" s="71"/>
      <c r="R200" s="72" t="str">
        <f>IF(AND(NOT(ISBLANK(Q200)), Dashboard!$P183&gt;0), Q200/Dashboard!$P183, "")</f>
        <v/>
      </c>
      <c r="S200" s="306"/>
      <c r="T200" s="307"/>
      <c r="U200" s="307"/>
      <c r="V200" s="307"/>
    </row>
    <row r="201" spans="16:22" ht="20" customHeight="1" x14ac:dyDescent="0.35">
      <c r="P201" s="70"/>
      <c r="Q201" s="71"/>
      <c r="R201" s="72" t="str">
        <f>IF(AND(NOT(ISBLANK(Q201)), Dashboard!$P183&gt;0), Q201/Dashboard!$P183, "")</f>
        <v/>
      </c>
      <c r="S201" s="306"/>
      <c r="T201" s="307"/>
      <c r="U201" s="307"/>
      <c r="V201" s="307"/>
    </row>
    <row r="202" spans="16:22" ht="20" customHeight="1" x14ac:dyDescent="0.35">
      <c r="P202" s="70"/>
      <c r="Q202" s="71"/>
      <c r="R202" s="72" t="str">
        <f>IF(AND(NOT(ISBLANK(Q202)), Dashboard!$P183&gt;0), Q202/Dashboard!$P183, "")</f>
        <v/>
      </c>
      <c r="S202" s="306"/>
      <c r="T202" s="307"/>
      <c r="U202" s="307"/>
      <c r="V202" s="307"/>
    </row>
    <row r="203" spans="16:22" ht="20" customHeight="1" x14ac:dyDescent="0.35">
      <c r="P203" s="70"/>
      <c r="Q203" s="71"/>
      <c r="R203" s="72" t="str">
        <f>IF(AND(NOT(ISBLANK(Q203)), Dashboard!$P183&gt;0), Q203/Dashboard!$P183, "")</f>
        <v/>
      </c>
      <c r="S203" s="306"/>
      <c r="T203" s="307"/>
      <c r="U203" s="307"/>
      <c r="V203" s="307"/>
    </row>
    <row r="204" spans="16:22" ht="20" customHeight="1" x14ac:dyDescent="0.35">
      <c r="P204" s="70"/>
      <c r="Q204" s="71"/>
      <c r="R204" s="72" t="str">
        <f>IF(AND(NOT(ISBLANK(Q204)), Dashboard!$P183&gt;0), Q204/Dashboard!$P183, "")</f>
        <v/>
      </c>
      <c r="S204" s="306"/>
      <c r="T204" s="307"/>
      <c r="U204" s="307"/>
      <c r="V204" s="307"/>
    </row>
    <row r="205" spans="16:22" ht="20" customHeight="1" x14ac:dyDescent="0.35">
      <c r="P205" s="70"/>
      <c r="Q205" s="71"/>
      <c r="R205" s="72" t="str">
        <f>IF(AND(NOT(ISBLANK(Q205)), Dashboard!$P183&gt;0), Q205/Dashboard!$P183, "")</f>
        <v/>
      </c>
      <c r="S205" s="306"/>
      <c r="T205" s="307"/>
      <c r="U205" s="307"/>
      <c r="V205" s="307"/>
    </row>
    <row r="206" spans="16:22" ht="20" customHeight="1" x14ac:dyDescent="0.35">
      <c r="P206" s="70"/>
      <c r="Q206" s="71"/>
      <c r="R206" s="72" t="str">
        <f>IF(AND(NOT(ISBLANK(Q206)), Dashboard!$P183&gt;0), Q206/Dashboard!$P183, "")</f>
        <v/>
      </c>
      <c r="S206" s="306"/>
      <c r="T206" s="307"/>
      <c r="U206" s="307"/>
      <c r="V206" s="307"/>
    </row>
    <row r="210" spans="2:9" ht="32" customHeight="1" x14ac:dyDescent="0.35">
      <c r="B210" s="291" t="s">
        <v>1971</v>
      </c>
      <c r="C210" s="291"/>
      <c r="D210" s="291"/>
      <c r="E210" s="291"/>
      <c r="F210" s="291"/>
      <c r="G210" s="291"/>
      <c r="H210" s="291"/>
      <c r="I210" s="291"/>
    </row>
  </sheetData>
  <mergeCells count="55">
    <mergeCell ref="B210:I210"/>
    <mergeCell ref="S202:V202"/>
    <mergeCell ref="S203:V203"/>
    <mergeCell ref="S204:V204"/>
    <mergeCell ref="S205:V205"/>
    <mergeCell ref="S206:V206"/>
    <mergeCell ref="S197:V197"/>
    <mergeCell ref="S198:V198"/>
    <mergeCell ref="S199:V199"/>
    <mergeCell ref="S200:V200"/>
    <mergeCell ref="S201:V201"/>
    <mergeCell ref="S192:V192"/>
    <mergeCell ref="S193:V193"/>
    <mergeCell ref="S194:V194"/>
    <mergeCell ref="S195:V195"/>
    <mergeCell ref="S196:V196"/>
    <mergeCell ref="S187:V187"/>
    <mergeCell ref="S188:V188"/>
    <mergeCell ref="S189:V189"/>
    <mergeCell ref="S190:V190"/>
    <mergeCell ref="S191:V191"/>
    <mergeCell ref="P182:Q182"/>
    <mergeCell ref="R182:T182"/>
    <mergeCell ref="P183:Q183"/>
    <mergeCell ref="R183:T183"/>
    <mergeCell ref="S186:V186"/>
    <mergeCell ref="C131:D131"/>
    <mergeCell ref="G131:H131"/>
    <mergeCell ref="B140:F140"/>
    <mergeCell ref="P140:W140"/>
    <mergeCell ref="B181:F181"/>
    <mergeCell ref="P181:U181"/>
    <mergeCell ref="C128:D128"/>
    <mergeCell ref="G128:H128"/>
    <mergeCell ref="C129:D129"/>
    <mergeCell ref="G129:H129"/>
    <mergeCell ref="C130:D130"/>
    <mergeCell ref="G130:H130"/>
    <mergeCell ref="C125:D125"/>
    <mergeCell ref="G125:H125"/>
    <mergeCell ref="C126:D126"/>
    <mergeCell ref="G126:H126"/>
    <mergeCell ref="C127:D127"/>
    <mergeCell ref="G127:H127"/>
    <mergeCell ref="F7:H7"/>
    <mergeCell ref="I7:O7"/>
    <mergeCell ref="F8:H8"/>
    <mergeCell ref="I8:O8"/>
    <mergeCell ref="F9:H9"/>
    <mergeCell ref="I9:O9"/>
    <mergeCell ref="B2:I2"/>
    <mergeCell ref="F5:H5"/>
    <mergeCell ref="I5:O5"/>
    <mergeCell ref="F6:H6"/>
    <mergeCell ref="I6:O6"/>
  </mergeCells>
  <conditionalFormatting sqref="D7">
    <cfRule type="cellIs" dxfId="83" priority="1" operator="greaterThanOrEqual">
      <formula>0.9</formula>
    </cfRule>
    <cfRule type="cellIs" dxfId="82" priority="2" operator="greaterThanOrEqual">
      <formula>0.5</formula>
    </cfRule>
    <cfRule type="cellIs" dxfId="81" priority="3" operator="lessThan">
      <formula>0.5</formula>
    </cfRule>
  </conditionalFormatting>
  <conditionalFormatting sqref="G126:H131">
    <cfRule type="expression" dxfId="80" priority="4">
      <formula>$G126&gt;=0.8</formula>
    </cfRule>
    <cfRule type="expression" dxfId="79" priority="5">
      <formula>AND($G126&gt;=0.5,$G126&lt;0.8)</formula>
    </cfRule>
    <cfRule type="expression" dxfId="78" priority="6">
      <formula>$G126&lt;0.5</formula>
    </cfRule>
  </conditionalFormatting>
  <conditionalFormatting sqref="K126:K131">
    <cfRule type="cellIs" dxfId="77" priority="7" operator="greaterThan">
      <formula>0</formula>
    </cfRule>
  </conditionalFormatting>
  <conditionalFormatting sqref="L126:L131">
    <cfRule type="cellIs" dxfId="76" priority="8" operator="greaterThan">
      <formula>0</formula>
    </cfRule>
  </conditionalFormatting>
  <conditionalFormatting sqref="M126:M131">
    <cfRule type="cellIs" dxfId="75" priority="9" operator="greaterThan">
      <formula>0</formula>
    </cfRule>
  </conditionalFormatting>
  <conditionalFormatting sqref="N126:N131">
    <cfRule type="cellIs" dxfId="74" priority="10" operator="greaterThan">
      <formula>0</formula>
    </cfRule>
  </conditionalFormatting>
  <dataValidations count="140">
    <dataValidation type="whole" allowBlank="1" showErrorMessage="1" errorTitle="Invalid overall count" error="Overall count must be between 0 and the current implemented total." sqref="Q145" xr:uid="{00000000-0002-0000-0100-000000000000}">
      <formula1>0</formula1>
      <formula2>C16</formula2>
    </dataValidation>
    <dataValidation type="whole" allowBlank="1" showErrorMessage="1" errorTitle="Invalid count" error="Value must be between 0 and the current implemented total." sqref="S145" xr:uid="{00000000-0002-0000-0100-000001000000}">
      <formula1>0</formula1>
      <formula2>C88</formula2>
    </dataValidation>
    <dataValidation type="whole" allowBlank="1" showErrorMessage="1" errorTitle="Invalid count" error="Value must be between 0 and the current implemented total." sqref="U145" xr:uid="{00000000-0002-0000-0100-000002000000}">
      <formula1>0</formula1>
      <formula2>C89</formula2>
    </dataValidation>
    <dataValidation type="whole" allowBlank="1" showErrorMessage="1" errorTitle="Invalid count" error="Value must be between 0 and the current implemented total." sqref="W145" xr:uid="{00000000-0002-0000-0100-000003000000}">
      <formula1>0</formula1>
      <formula2>C90</formula2>
    </dataValidation>
    <dataValidation type="whole" allowBlank="1" showErrorMessage="1" errorTitle="Invalid overall count" error="Overall count must be between 0 and the current implemented total." sqref="Q146" xr:uid="{00000000-0002-0000-0100-000004000000}">
      <formula1>0</formula1>
      <formula2>C16</formula2>
    </dataValidation>
    <dataValidation type="whole" allowBlank="1" showErrorMessage="1" errorTitle="Invalid count" error="Value must be between 0 and the current implemented total." sqref="S146" xr:uid="{00000000-0002-0000-0100-000005000000}">
      <formula1>0</formula1>
      <formula2>C88</formula2>
    </dataValidation>
    <dataValidation type="whole" allowBlank="1" showErrorMessage="1" errorTitle="Invalid count" error="Value must be between 0 and the current implemented total." sqref="U146" xr:uid="{00000000-0002-0000-0100-000006000000}">
      <formula1>0</formula1>
      <formula2>C89</formula2>
    </dataValidation>
    <dataValidation type="whole" allowBlank="1" showErrorMessage="1" errorTitle="Invalid count" error="Value must be between 0 and the current implemented total." sqref="W146" xr:uid="{00000000-0002-0000-0100-000007000000}">
      <formula1>0</formula1>
      <formula2>C90</formula2>
    </dataValidation>
    <dataValidation type="whole" allowBlank="1" showErrorMessage="1" errorTitle="Invalid overall count" error="Overall count must be between 0 and the current implemented total." sqref="Q147" xr:uid="{00000000-0002-0000-0100-000008000000}">
      <formula1>0</formula1>
      <formula2>C16</formula2>
    </dataValidation>
    <dataValidation type="whole" allowBlank="1" showErrorMessage="1" errorTitle="Invalid count" error="Value must be between 0 and the current implemented total." sqref="S147" xr:uid="{00000000-0002-0000-0100-000009000000}">
      <formula1>0</formula1>
      <formula2>C88</formula2>
    </dataValidation>
    <dataValidation type="whole" allowBlank="1" showErrorMessage="1" errorTitle="Invalid count" error="Value must be between 0 and the current implemented total." sqref="U147" xr:uid="{00000000-0002-0000-0100-00000A000000}">
      <formula1>0</formula1>
      <formula2>C89</formula2>
    </dataValidation>
    <dataValidation type="whole" allowBlank="1" showErrorMessage="1" errorTitle="Invalid count" error="Value must be between 0 and the current implemented total." sqref="W147" xr:uid="{00000000-0002-0000-0100-00000B000000}">
      <formula1>0</formula1>
      <formula2>C90</formula2>
    </dataValidation>
    <dataValidation type="whole" allowBlank="1" showErrorMessage="1" errorTitle="Invalid overall count" error="Overall count must be between 0 and the current implemented total." sqref="Q148" xr:uid="{00000000-0002-0000-0100-00000C000000}">
      <formula1>0</formula1>
      <formula2>C16</formula2>
    </dataValidation>
    <dataValidation type="whole" allowBlank="1" showErrorMessage="1" errorTitle="Invalid count" error="Value must be between 0 and the current implemented total." sqref="S148" xr:uid="{00000000-0002-0000-0100-00000D000000}">
      <formula1>0</formula1>
      <formula2>C88</formula2>
    </dataValidation>
    <dataValidation type="whole" allowBlank="1" showErrorMessage="1" errorTitle="Invalid count" error="Value must be between 0 and the current implemented total." sqref="U148" xr:uid="{00000000-0002-0000-0100-00000E000000}">
      <formula1>0</formula1>
      <formula2>C89</formula2>
    </dataValidation>
    <dataValidation type="whole" allowBlank="1" showErrorMessage="1" errorTitle="Invalid count" error="Value must be between 0 and the current implemented total." sqref="W148" xr:uid="{00000000-0002-0000-0100-00000F000000}">
      <formula1>0</formula1>
      <formula2>C90</formula2>
    </dataValidation>
    <dataValidation type="whole" allowBlank="1" showErrorMessage="1" errorTitle="Invalid overall count" error="Overall count must be between 0 and the current implemented total." sqref="Q149" xr:uid="{00000000-0002-0000-0100-000010000000}">
      <formula1>0</formula1>
      <formula2>C16</formula2>
    </dataValidation>
    <dataValidation type="whole" allowBlank="1" showErrorMessage="1" errorTitle="Invalid count" error="Value must be between 0 and the current implemented total." sqref="S149" xr:uid="{00000000-0002-0000-0100-000011000000}">
      <formula1>0</formula1>
      <formula2>C88</formula2>
    </dataValidation>
    <dataValidation type="whole" allowBlank="1" showErrorMessage="1" errorTitle="Invalid count" error="Value must be between 0 and the current implemented total." sqref="U149" xr:uid="{00000000-0002-0000-0100-000012000000}">
      <formula1>0</formula1>
      <formula2>C89</formula2>
    </dataValidation>
    <dataValidation type="whole" allowBlank="1" showErrorMessage="1" errorTitle="Invalid count" error="Value must be between 0 and the current implemented total." sqref="W149" xr:uid="{00000000-0002-0000-0100-000013000000}">
      <formula1>0</formula1>
      <formula2>C90</formula2>
    </dataValidation>
    <dataValidation type="whole" allowBlank="1" showErrorMessage="1" errorTitle="Invalid overall count" error="Overall count must be between 0 and the current implemented total." sqref="Q150" xr:uid="{00000000-0002-0000-0100-000014000000}">
      <formula1>0</formula1>
      <formula2>C16</formula2>
    </dataValidation>
    <dataValidation type="whole" allowBlank="1" showErrorMessage="1" errorTitle="Invalid count" error="Value must be between 0 and the current implemented total." sqref="S150" xr:uid="{00000000-0002-0000-0100-000015000000}">
      <formula1>0</formula1>
      <formula2>C88</formula2>
    </dataValidation>
    <dataValidation type="whole" allowBlank="1" showErrorMessage="1" errorTitle="Invalid count" error="Value must be between 0 and the current implemented total." sqref="U150" xr:uid="{00000000-0002-0000-0100-000016000000}">
      <formula1>0</formula1>
      <formula2>C89</formula2>
    </dataValidation>
    <dataValidation type="whole" allowBlank="1" showErrorMessage="1" errorTitle="Invalid count" error="Value must be between 0 and the current implemented total." sqref="W150" xr:uid="{00000000-0002-0000-0100-000017000000}">
      <formula1>0</formula1>
      <formula2>C90</formula2>
    </dataValidation>
    <dataValidation type="whole" allowBlank="1" showErrorMessage="1" errorTitle="Invalid overall count" error="Overall count must be between 0 and the current implemented total." sqref="Q151" xr:uid="{00000000-0002-0000-0100-000018000000}">
      <formula1>0</formula1>
      <formula2>C16</formula2>
    </dataValidation>
    <dataValidation type="whole" allowBlank="1" showErrorMessage="1" errorTitle="Invalid count" error="Value must be between 0 and the current implemented total." sqref="S151" xr:uid="{00000000-0002-0000-0100-000019000000}">
      <formula1>0</formula1>
      <formula2>C88</formula2>
    </dataValidation>
    <dataValidation type="whole" allowBlank="1" showErrorMessage="1" errorTitle="Invalid count" error="Value must be between 0 and the current implemented total." sqref="U151" xr:uid="{00000000-0002-0000-0100-00001A000000}">
      <formula1>0</formula1>
      <formula2>C89</formula2>
    </dataValidation>
    <dataValidation type="whole" allowBlank="1" showErrorMessage="1" errorTitle="Invalid count" error="Value must be between 0 and the current implemented total." sqref="W151" xr:uid="{00000000-0002-0000-0100-00001B000000}">
      <formula1>0</formula1>
      <formula2>C90</formula2>
    </dataValidation>
    <dataValidation type="whole" allowBlank="1" showErrorMessage="1" errorTitle="Invalid overall count" error="Overall count must be between 0 and the current implemented total." sqref="Q152" xr:uid="{00000000-0002-0000-0100-00001C000000}">
      <formula1>0</formula1>
      <formula2>C16</formula2>
    </dataValidation>
    <dataValidation type="whole" allowBlank="1" showErrorMessage="1" errorTitle="Invalid count" error="Value must be between 0 and the current implemented total." sqref="S152" xr:uid="{00000000-0002-0000-0100-00001D000000}">
      <formula1>0</formula1>
      <formula2>C88</formula2>
    </dataValidation>
    <dataValidation type="whole" allowBlank="1" showErrorMessage="1" errorTitle="Invalid count" error="Value must be between 0 and the current implemented total." sqref="U152" xr:uid="{00000000-0002-0000-0100-00001E000000}">
      <formula1>0</formula1>
      <formula2>C89</formula2>
    </dataValidation>
    <dataValidation type="whole" allowBlank="1" showErrorMessage="1" errorTitle="Invalid count" error="Value must be between 0 and the current implemented total." sqref="W152" xr:uid="{00000000-0002-0000-0100-00001F000000}">
      <formula1>0</formula1>
      <formula2>C90</formula2>
    </dataValidation>
    <dataValidation type="whole" allowBlank="1" showErrorMessage="1" errorTitle="Invalid overall count" error="Overall count must be between 0 and the current implemented total." sqref="Q153" xr:uid="{00000000-0002-0000-0100-000020000000}">
      <formula1>0</formula1>
      <formula2>C16</formula2>
    </dataValidation>
    <dataValidation type="whole" allowBlank="1" showErrorMessage="1" errorTitle="Invalid count" error="Value must be between 0 and the current implemented total." sqref="S153" xr:uid="{00000000-0002-0000-0100-000021000000}">
      <formula1>0</formula1>
      <formula2>C88</formula2>
    </dataValidation>
    <dataValidation type="whole" allowBlank="1" showErrorMessage="1" errorTitle="Invalid count" error="Value must be between 0 and the current implemented total." sqref="U153" xr:uid="{00000000-0002-0000-0100-000022000000}">
      <formula1>0</formula1>
      <formula2>C89</formula2>
    </dataValidation>
    <dataValidation type="whole" allowBlank="1" showErrorMessage="1" errorTitle="Invalid count" error="Value must be between 0 and the current implemented total." sqref="W153" xr:uid="{00000000-0002-0000-0100-000023000000}">
      <formula1>0</formula1>
      <formula2>C90</formula2>
    </dataValidation>
    <dataValidation type="whole" allowBlank="1" showErrorMessage="1" errorTitle="Invalid overall count" error="Overall count must be between 0 and the current implemented total." sqref="Q154" xr:uid="{00000000-0002-0000-0100-000024000000}">
      <formula1>0</formula1>
      <formula2>C16</formula2>
    </dataValidation>
    <dataValidation type="whole" allowBlank="1" showErrorMessage="1" errorTitle="Invalid count" error="Value must be between 0 and the current implemented total." sqref="S154" xr:uid="{00000000-0002-0000-0100-000025000000}">
      <formula1>0</formula1>
      <formula2>C88</formula2>
    </dataValidation>
    <dataValidation type="whole" allowBlank="1" showErrorMessage="1" errorTitle="Invalid count" error="Value must be between 0 and the current implemented total." sqref="U154" xr:uid="{00000000-0002-0000-0100-000026000000}">
      <formula1>0</formula1>
      <formula2>C89</formula2>
    </dataValidation>
    <dataValidation type="whole" allowBlank="1" showErrorMessage="1" errorTitle="Invalid count" error="Value must be between 0 and the current implemented total." sqref="W154" xr:uid="{00000000-0002-0000-0100-000027000000}">
      <formula1>0</formula1>
      <formula2>C90</formula2>
    </dataValidation>
    <dataValidation type="whole" allowBlank="1" showErrorMessage="1" errorTitle="Invalid overall count" error="Overall count must be between 0 and the current implemented total." sqref="Q155" xr:uid="{00000000-0002-0000-0100-000028000000}">
      <formula1>0</formula1>
      <formula2>C16</formula2>
    </dataValidation>
    <dataValidation type="whole" allowBlank="1" showErrorMessage="1" errorTitle="Invalid count" error="Value must be between 0 and the current implemented total." sqref="S155" xr:uid="{00000000-0002-0000-0100-000029000000}">
      <formula1>0</formula1>
      <formula2>C88</formula2>
    </dataValidation>
    <dataValidation type="whole" allowBlank="1" showErrorMessage="1" errorTitle="Invalid count" error="Value must be between 0 and the current implemented total." sqref="U155" xr:uid="{00000000-0002-0000-0100-00002A000000}">
      <formula1>0</formula1>
      <formula2>C89</formula2>
    </dataValidation>
    <dataValidation type="whole" allowBlank="1" showErrorMessage="1" errorTitle="Invalid count" error="Value must be between 0 and the current implemented total." sqref="W155" xr:uid="{00000000-0002-0000-0100-00002B000000}">
      <formula1>0</formula1>
      <formula2>C90</formula2>
    </dataValidation>
    <dataValidation type="whole" allowBlank="1" showErrorMessage="1" errorTitle="Invalid overall count" error="Overall count must be between 0 and the current implemented total." sqref="Q156" xr:uid="{00000000-0002-0000-0100-00002C000000}">
      <formula1>0</formula1>
      <formula2>C16</formula2>
    </dataValidation>
    <dataValidation type="whole" allowBlank="1" showErrorMessage="1" errorTitle="Invalid count" error="Value must be between 0 and the current implemented total." sqref="S156" xr:uid="{00000000-0002-0000-0100-00002D000000}">
      <formula1>0</formula1>
      <formula2>C88</formula2>
    </dataValidation>
    <dataValidation type="whole" allowBlank="1" showErrorMessage="1" errorTitle="Invalid count" error="Value must be between 0 and the current implemented total." sqref="U156" xr:uid="{00000000-0002-0000-0100-00002E000000}">
      <formula1>0</formula1>
      <formula2>C89</formula2>
    </dataValidation>
    <dataValidation type="whole" allowBlank="1" showErrorMessage="1" errorTitle="Invalid count" error="Value must be between 0 and the current implemented total." sqref="W156" xr:uid="{00000000-0002-0000-0100-00002F000000}">
      <formula1>0</formula1>
      <formula2>C90</formula2>
    </dataValidation>
    <dataValidation type="whole" allowBlank="1" showErrorMessage="1" errorTitle="Invalid overall count" error="Overall count must be between 0 and the current implemented total." sqref="Q157" xr:uid="{00000000-0002-0000-0100-000030000000}">
      <formula1>0</formula1>
      <formula2>C16</formula2>
    </dataValidation>
    <dataValidation type="whole" allowBlank="1" showErrorMessage="1" errorTitle="Invalid count" error="Value must be between 0 and the current implemented total." sqref="S157" xr:uid="{00000000-0002-0000-0100-000031000000}">
      <formula1>0</formula1>
      <formula2>C88</formula2>
    </dataValidation>
    <dataValidation type="whole" allowBlank="1" showErrorMessage="1" errorTitle="Invalid count" error="Value must be between 0 and the current implemented total." sqref="U157" xr:uid="{00000000-0002-0000-0100-000032000000}">
      <formula1>0</formula1>
      <formula2>C89</formula2>
    </dataValidation>
    <dataValidation type="whole" allowBlank="1" showErrorMessage="1" errorTitle="Invalid count" error="Value must be between 0 and the current implemented total." sqref="W157" xr:uid="{00000000-0002-0000-0100-000033000000}">
      <formula1>0</formula1>
      <formula2>C90</formula2>
    </dataValidation>
    <dataValidation type="whole" allowBlank="1" showErrorMessage="1" errorTitle="Invalid overall count" error="Overall count must be between 0 and the current implemented total." sqref="Q158" xr:uid="{00000000-0002-0000-0100-000034000000}">
      <formula1>0</formula1>
      <formula2>C16</formula2>
    </dataValidation>
    <dataValidation type="whole" allowBlank="1" showErrorMessage="1" errorTitle="Invalid count" error="Value must be between 0 and the current implemented total." sqref="S158" xr:uid="{00000000-0002-0000-0100-000035000000}">
      <formula1>0</formula1>
      <formula2>C88</formula2>
    </dataValidation>
    <dataValidation type="whole" allowBlank="1" showErrorMessage="1" errorTitle="Invalid count" error="Value must be between 0 and the current implemented total." sqref="U158" xr:uid="{00000000-0002-0000-0100-000036000000}">
      <formula1>0</formula1>
      <formula2>C89</formula2>
    </dataValidation>
    <dataValidation type="whole" allowBlank="1" showErrorMessage="1" errorTitle="Invalid count" error="Value must be between 0 and the current implemented total." sqref="W158" xr:uid="{00000000-0002-0000-0100-000037000000}">
      <formula1>0</formula1>
      <formula2>C90</formula2>
    </dataValidation>
    <dataValidation type="whole" allowBlank="1" showErrorMessage="1" errorTitle="Invalid overall count" error="Overall count must be between 0 and the current implemented total." sqref="Q159" xr:uid="{00000000-0002-0000-0100-000038000000}">
      <formula1>0</formula1>
      <formula2>C16</formula2>
    </dataValidation>
    <dataValidation type="whole" allowBlank="1" showErrorMessage="1" errorTitle="Invalid count" error="Value must be between 0 and the current implemented total." sqref="S159" xr:uid="{00000000-0002-0000-0100-000039000000}">
      <formula1>0</formula1>
      <formula2>C88</formula2>
    </dataValidation>
    <dataValidation type="whole" allowBlank="1" showErrorMessage="1" errorTitle="Invalid count" error="Value must be between 0 and the current implemented total." sqref="U159" xr:uid="{00000000-0002-0000-0100-00003A000000}">
      <formula1>0</formula1>
      <formula2>C89</formula2>
    </dataValidation>
    <dataValidation type="whole" allowBlank="1" showErrorMessage="1" errorTitle="Invalid count" error="Value must be between 0 and the current implemented total." sqref="W159" xr:uid="{00000000-0002-0000-0100-00003B000000}">
      <formula1>0</formula1>
      <formula2>C90</formula2>
    </dataValidation>
    <dataValidation type="whole" allowBlank="1" showErrorMessage="1" errorTitle="Invalid overall count" error="Overall count must be between 0 and the current implemented total." sqref="Q160" xr:uid="{00000000-0002-0000-0100-00003C000000}">
      <formula1>0</formula1>
      <formula2>C16</formula2>
    </dataValidation>
    <dataValidation type="whole" allowBlank="1" showErrorMessage="1" errorTitle="Invalid count" error="Value must be between 0 and the current implemented total." sqref="S160" xr:uid="{00000000-0002-0000-0100-00003D000000}">
      <formula1>0</formula1>
      <formula2>C88</formula2>
    </dataValidation>
    <dataValidation type="whole" allowBlank="1" showErrorMessage="1" errorTitle="Invalid count" error="Value must be between 0 and the current implemented total." sqref="U160" xr:uid="{00000000-0002-0000-0100-00003E000000}">
      <formula1>0</formula1>
      <formula2>C89</formula2>
    </dataValidation>
    <dataValidation type="whole" allowBlank="1" showErrorMessage="1" errorTitle="Invalid count" error="Value must be between 0 and the current implemented total." sqref="W160" xr:uid="{00000000-0002-0000-0100-00003F000000}">
      <formula1>0</formula1>
      <formula2>C90</formula2>
    </dataValidation>
    <dataValidation type="whole" allowBlank="1" showErrorMessage="1" errorTitle="Invalid overall count" error="Overall count must be between 0 and the current implemented total." sqref="Q161" xr:uid="{00000000-0002-0000-0100-000040000000}">
      <formula1>0</formula1>
      <formula2>C16</formula2>
    </dataValidation>
    <dataValidation type="whole" allowBlank="1" showErrorMessage="1" errorTitle="Invalid count" error="Value must be between 0 and the current implemented total." sqref="S161" xr:uid="{00000000-0002-0000-0100-000041000000}">
      <formula1>0</formula1>
      <formula2>C88</formula2>
    </dataValidation>
    <dataValidation type="whole" allowBlank="1" showErrorMessage="1" errorTitle="Invalid count" error="Value must be between 0 and the current implemented total." sqref="U161" xr:uid="{00000000-0002-0000-0100-000042000000}">
      <formula1>0</formula1>
      <formula2>C89</formula2>
    </dataValidation>
    <dataValidation type="whole" allowBlank="1" showErrorMessage="1" errorTitle="Invalid count" error="Value must be between 0 and the current implemented total." sqref="W161" xr:uid="{00000000-0002-0000-0100-000043000000}">
      <formula1>0</formula1>
      <formula2>C90</formula2>
    </dataValidation>
    <dataValidation type="whole" allowBlank="1" showErrorMessage="1" errorTitle="Invalid overall count" error="Overall count must be between 0 and the current implemented total." sqref="Q162" xr:uid="{00000000-0002-0000-0100-000044000000}">
      <formula1>0</formula1>
      <formula2>C16</formula2>
    </dataValidation>
    <dataValidation type="whole" allowBlank="1" showErrorMessage="1" errorTitle="Invalid count" error="Value must be between 0 and the current implemented total." sqref="S162" xr:uid="{00000000-0002-0000-0100-000045000000}">
      <formula1>0</formula1>
      <formula2>C88</formula2>
    </dataValidation>
    <dataValidation type="whole" allowBlank="1" showErrorMessage="1" errorTitle="Invalid count" error="Value must be between 0 and the current implemented total." sqref="U162" xr:uid="{00000000-0002-0000-0100-000046000000}">
      <formula1>0</formula1>
      <formula2>C89</formula2>
    </dataValidation>
    <dataValidation type="whole" allowBlank="1" showErrorMessage="1" errorTitle="Invalid count" error="Value must be between 0 and the current implemented total." sqref="W162" xr:uid="{00000000-0002-0000-0100-000047000000}">
      <formula1>0</formula1>
      <formula2>C90</formula2>
    </dataValidation>
    <dataValidation type="whole" allowBlank="1" showErrorMessage="1" errorTitle="Invalid overall count" error="Overall count must be between 0 and the current implemented total." sqref="Q163" xr:uid="{00000000-0002-0000-0100-000048000000}">
      <formula1>0</formula1>
      <formula2>C16</formula2>
    </dataValidation>
    <dataValidation type="whole" allowBlank="1" showErrorMessage="1" errorTitle="Invalid count" error="Value must be between 0 and the current implemented total." sqref="S163" xr:uid="{00000000-0002-0000-0100-000049000000}">
      <formula1>0</formula1>
      <formula2>C88</formula2>
    </dataValidation>
    <dataValidation type="whole" allowBlank="1" showErrorMessage="1" errorTitle="Invalid count" error="Value must be between 0 and the current implemented total." sqref="U163" xr:uid="{00000000-0002-0000-0100-00004A000000}">
      <formula1>0</formula1>
      <formula2>C89</formula2>
    </dataValidation>
    <dataValidation type="whole" allowBlank="1" showErrorMessage="1" errorTitle="Invalid count" error="Value must be between 0 and the current implemented total." sqref="W163" xr:uid="{00000000-0002-0000-0100-00004B000000}">
      <formula1>0</formula1>
      <formula2>C90</formula2>
    </dataValidation>
    <dataValidation type="whole" allowBlank="1" showErrorMessage="1" errorTitle="Invalid overall count" error="Overall count must be between 0 and the current implemented total." sqref="Q164" xr:uid="{00000000-0002-0000-0100-00004C000000}">
      <formula1>0</formula1>
      <formula2>C16</formula2>
    </dataValidation>
    <dataValidation type="whole" allowBlank="1" showErrorMessage="1" errorTitle="Invalid count" error="Value must be between 0 and the current implemented total." sqref="S164" xr:uid="{00000000-0002-0000-0100-00004D000000}">
      <formula1>0</formula1>
      <formula2>C88</formula2>
    </dataValidation>
    <dataValidation type="whole" allowBlank="1" showErrorMessage="1" errorTitle="Invalid count" error="Value must be between 0 and the current implemented total." sqref="U164" xr:uid="{00000000-0002-0000-0100-00004E000000}">
      <formula1>0</formula1>
      <formula2>C89</formula2>
    </dataValidation>
    <dataValidation type="whole" allowBlank="1" showErrorMessage="1" errorTitle="Invalid count" error="Value must be between 0 and the current implemented total." sqref="W164" xr:uid="{00000000-0002-0000-0100-00004F000000}">
      <formula1>0</formula1>
      <formula2>C90</formula2>
    </dataValidation>
    <dataValidation type="whole" allowBlank="1" showErrorMessage="1" errorTitle="Invalid overall count" error="Overall count must be between 0 and the current implemented total." sqref="Q165" xr:uid="{00000000-0002-0000-0100-000050000000}">
      <formula1>0</formula1>
      <formula2>C16</formula2>
    </dataValidation>
    <dataValidation type="whole" allowBlank="1" showErrorMessage="1" errorTitle="Invalid count" error="Value must be between 0 and the current implemented total." sqref="S165" xr:uid="{00000000-0002-0000-0100-000051000000}">
      <formula1>0</formula1>
      <formula2>C88</formula2>
    </dataValidation>
    <dataValidation type="whole" allowBlank="1" showErrorMessage="1" errorTitle="Invalid count" error="Value must be between 0 and the current implemented total." sqref="U165" xr:uid="{00000000-0002-0000-0100-000052000000}">
      <formula1>0</formula1>
      <formula2>C89</formula2>
    </dataValidation>
    <dataValidation type="whole" allowBlank="1" showErrorMessage="1" errorTitle="Invalid count" error="Value must be between 0 and the current implemented total." sqref="W165" xr:uid="{00000000-0002-0000-0100-000053000000}">
      <formula1>0</formula1>
      <formula2>C90</formula2>
    </dataValidation>
    <dataValidation type="whole" allowBlank="1" showErrorMessage="1" errorTitle="Invalid overall count" error="Overall count must be between 0 and the current implemented total." sqref="Q166" xr:uid="{00000000-0002-0000-0100-000054000000}">
      <formula1>0</formula1>
      <formula2>C16</formula2>
    </dataValidation>
    <dataValidation type="whole" allowBlank="1" showErrorMessage="1" errorTitle="Invalid count" error="Value must be between 0 and the current implemented total." sqref="S166" xr:uid="{00000000-0002-0000-0100-000055000000}">
      <formula1>0</formula1>
      <formula2>C88</formula2>
    </dataValidation>
    <dataValidation type="whole" allowBlank="1" showErrorMessage="1" errorTitle="Invalid count" error="Value must be between 0 and the current implemented total." sqref="U166" xr:uid="{00000000-0002-0000-0100-000056000000}">
      <formula1>0</formula1>
      <formula2>C89</formula2>
    </dataValidation>
    <dataValidation type="whole" allowBlank="1" showErrorMessage="1" errorTitle="Invalid count" error="Value must be between 0 and the current implemented total." sqref="W166" xr:uid="{00000000-0002-0000-0100-000057000000}">
      <formula1>0</formula1>
      <formula2>C90</formula2>
    </dataValidation>
    <dataValidation type="whole" allowBlank="1" showErrorMessage="1" errorTitle="Invalid overall count" error="Overall count must be between 0 and the current implemented total." sqref="Q167" xr:uid="{00000000-0002-0000-0100-000058000000}">
      <formula1>0</formula1>
      <formula2>C16</formula2>
    </dataValidation>
    <dataValidation type="whole" allowBlank="1" showErrorMessage="1" errorTitle="Invalid count" error="Value must be between 0 and the current implemented total." sqref="S167" xr:uid="{00000000-0002-0000-0100-000059000000}">
      <formula1>0</formula1>
      <formula2>C88</formula2>
    </dataValidation>
    <dataValidation type="whole" allowBlank="1" showErrorMessage="1" errorTitle="Invalid count" error="Value must be between 0 and the current implemented total." sqref="U167" xr:uid="{00000000-0002-0000-0100-00005A000000}">
      <formula1>0</formula1>
      <formula2>C89</formula2>
    </dataValidation>
    <dataValidation type="whole" allowBlank="1" showErrorMessage="1" errorTitle="Invalid count" error="Value must be between 0 and the current implemented total." sqref="W167" xr:uid="{00000000-0002-0000-0100-00005B000000}">
      <formula1>0</formula1>
      <formula2>C90</formula2>
    </dataValidation>
    <dataValidation type="whole" allowBlank="1" showErrorMessage="1" errorTitle="Invalid overall count" error="Overall count must be between 0 and the current implemented total." sqref="Q168" xr:uid="{00000000-0002-0000-0100-00005C000000}">
      <formula1>0</formula1>
      <formula2>C16</formula2>
    </dataValidation>
    <dataValidation type="whole" allowBlank="1" showErrorMessage="1" errorTitle="Invalid count" error="Value must be between 0 and the current implemented total." sqref="S168" xr:uid="{00000000-0002-0000-0100-00005D000000}">
      <formula1>0</formula1>
      <formula2>C88</formula2>
    </dataValidation>
    <dataValidation type="whole" allowBlank="1" showErrorMessage="1" errorTitle="Invalid count" error="Value must be between 0 and the current implemented total." sqref="U168" xr:uid="{00000000-0002-0000-0100-00005E000000}">
      <formula1>0</formula1>
      <formula2>C89</formula2>
    </dataValidation>
    <dataValidation type="whole" allowBlank="1" showErrorMessage="1" errorTitle="Invalid count" error="Value must be between 0 and the current implemented total." sqref="W168" xr:uid="{00000000-0002-0000-0100-00005F000000}">
      <formula1>0</formula1>
      <formula2>C90</formula2>
    </dataValidation>
    <dataValidation type="whole" allowBlank="1" showErrorMessage="1" errorTitle="Invalid overall count" error="Overall count must be between 0 and the current implemented total." sqref="Q169" xr:uid="{00000000-0002-0000-0100-000060000000}">
      <formula1>0</formula1>
      <formula2>C16</formula2>
    </dataValidation>
    <dataValidation type="whole" allowBlank="1" showErrorMessage="1" errorTitle="Invalid count" error="Value must be between 0 and the current implemented total." sqref="S169" xr:uid="{00000000-0002-0000-0100-000061000000}">
      <formula1>0</formula1>
      <formula2>C88</formula2>
    </dataValidation>
    <dataValidation type="whole" allowBlank="1" showErrorMessage="1" errorTitle="Invalid count" error="Value must be between 0 and the current implemented total." sqref="U169" xr:uid="{00000000-0002-0000-0100-000062000000}">
      <formula1>0</formula1>
      <formula2>C89</formula2>
    </dataValidation>
    <dataValidation type="whole" allowBlank="1" showErrorMessage="1" errorTitle="Invalid count" error="Value must be between 0 and the current implemented total." sqref="W169" xr:uid="{00000000-0002-0000-0100-000063000000}">
      <formula1>0</formula1>
      <formula2>C90</formula2>
    </dataValidation>
    <dataValidation type="whole" allowBlank="1" showErrorMessage="1" errorTitle="Invalid overall count" error="Overall count must be between 0 and the current implemented total." sqref="Q170" xr:uid="{00000000-0002-0000-0100-000064000000}">
      <formula1>0</formula1>
      <formula2>C16</formula2>
    </dataValidation>
    <dataValidation type="whole" allowBlank="1" showErrorMessage="1" errorTitle="Invalid count" error="Value must be between 0 and the current implemented total." sqref="S170" xr:uid="{00000000-0002-0000-0100-000065000000}">
      <formula1>0</formula1>
      <formula2>C88</formula2>
    </dataValidation>
    <dataValidation type="whole" allowBlank="1" showErrorMessage="1" errorTitle="Invalid count" error="Value must be between 0 and the current implemented total." sqref="U170" xr:uid="{00000000-0002-0000-0100-000066000000}">
      <formula1>0</formula1>
      <formula2>C89</formula2>
    </dataValidation>
    <dataValidation type="whole" allowBlank="1" showErrorMessage="1" errorTitle="Invalid count" error="Value must be between 0 and the current implemented total." sqref="W170" xr:uid="{00000000-0002-0000-0100-000067000000}">
      <formula1>0</formula1>
      <formula2>C90</formula2>
    </dataValidation>
    <dataValidation type="whole" allowBlank="1" showErrorMessage="1" errorTitle="Invalid overall count" error="Overall count must be between 0 and the current implemented total." sqref="Q171" xr:uid="{00000000-0002-0000-0100-000068000000}">
      <formula1>0</formula1>
      <formula2>C16</formula2>
    </dataValidation>
    <dataValidation type="whole" allowBlank="1" showErrorMessage="1" errorTitle="Invalid count" error="Value must be between 0 and the current implemented total." sqref="S171" xr:uid="{00000000-0002-0000-0100-000069000000}">
      <formula1>0</formula1>
      <formula2>C88</formula2>
    </dataValidation>
    <dataValidation type="whole" allowBlank="1" showErrorMessage="1" errorTitle="Invalid count" error="Value must be between 0 and the current implemented total." sqref="U171" xr:uid="{00000000-0002-0000-0100-00006A000000}">
      <formula1>0</formula1>
      <formula2>C89</formula2>
    </dataValidation>
    <dataValidation type="whole" allowBlank="1" showErrorMessage="1" errorTitle="Invalid count" error="Value must be between 0 and the current implemented total." sqref="W171" xr:uid="{00000000-0002-0000-0100-00006B000000}">
      <formula1>0</formula1>
      <formula2>C90</formula2>
    </dataValidation>
    <dataValidation type="whole" allowBlank="1" showErrorMessage="1" errorTitle="Invalid overall count" error="Overall count must be between 0 and the current implemented total." sqref="Q172" xr:uid="{00000000-0002-0000-0100-00006C000000}">
      <formula1>0</formula1>
      <formula2>C16</formula2>
    </dataValidation>
    <dataValidation type="whole" allowBlank="1" showErrorMessage="1" errorTitle="Invalid count" error="Value must be between 0 and the current implemented total." sqref="S172" xr:uid="{00000000-0002-0000-0100-00006D000000}">
      <formula1>0</formula1>
      <formula2>C88</formula2>
    </dataValidation>
    <dataValidation type="whole" allowBlank="1" showErrorMessage="1" errorTitle="Invalid count" error="Value must be between 0 and the current implemented total." sqref="U172" xr:uid="{00000000-0002-0000-0100-00006E000000}">
      <formula1>0</formula1>
      <formula2>C89</formula2>
    </dataValidation>
    <dataValidation type="whole" allowBlank="1" showErrorMessage="1" errorTitle="Invalid count" error="Value must be between 0 and the current implemented total." sqref="W172" xr:uid="{00000000-0002-0000-0100-00006F000000}">
      <formula1>0</formula1>
      <formula2>C90</formula2>
    </dataValidation>
    <dataValidation type="whole" allowBlank="1" showErrorMessage="1" errorTitle="Invalid overall count" error="Overall count must be between 0 and the current implemented total." sqref="Q173" xr:uid="{00000000-0002-0000-0100-000070000000}">
      <formula1>0</formula1>
      <formula2>C16</formula2>
    </dataValidation>
    <dataValidation type="whole" allowBlank="1" showErrorMessage="1" errorTitle="Invalid count" error="Value must be between 0 and the current implemented total." sqref="S173" xr:uid="{00000000-0002-0000-0100-000071000000}">
      <formula1>0</formula1>
      <formula2>C88</formula2>
    </dataValidation>
    <dataValidation type="whole" allowBlank="1" showErrorMessage="1" errorTitle="Invalid count" error="Value must be between 0 and the current implemented total." sqref="U173" xr:uid="{00000000-0002-0000-0100-000072000000}">
      <formula1>0</formula1>
      <formula2>C89</formula2>
    </dataValidation>
    <dataValidation type="whole" allowBlank="1" showErrorMessage="1" errorTitle="Invalid count" error="Value must be between 0 and the current implemented total." sqref="W173" xr:uid="{00000000-0002-0000-0100-000073000000}">
      <formula1>0</formula1>
      <formula2>C90</formula2>
    </dataValidation>
    <dataValidation type="whole" allowBlank="1" showErrorMessage="1" errorTitle="Invalid overall count" error="Overall count must be between 0 and the current implemented total." sqref="Q174" xr:uid="{00000000-0002-0000-0100-000074000000}">
      <formula1>0</formula1>
      <formula2>C16</formula2>
    </dataValidation>
    <dataValidation type="whole" allowBlank="1" showErrorMessage="1" errorTitle="Invalid count" error="Value must be between 0 and the current implemented total." sqref="S174" xr:uid="{00000000-0002-0000-0100-000075000000}">
      <formula1>0</formula1>
      <formula2>C88</formula2>
    </dataValidation>
    <dataValidation type="whole" allowBlank="1" showErrorMessage="1" errorTitle="Invalid count" error="Value must be between 0 and the current implemented total." sqref="U174" xr:uid="{00000000-0002-0000-0100-000076000000}">
      <formula1>0</formula1>
      <formula2>C89</formula2>
    </dataValidation>
    <dataValidation type="whole" allowBlank="1" showErrorMessage="1" errorTitle="Invalid count" error="Value must be between 0 and the current implemented total." sqref="W174" xr:uid="{00000000-0002-0000-0100-000077000000}">
      <formula1>0</formula1>
      <formula2>C90</formula2>
    </dataValidation>
    <dataValidation type="whole" allowBlank="1" showErrorMessage="1" errorTitle="Invalid Asset Count" error="Value must be between 0 and the Total Asset Numbers above." sqref="Q187" xr:uid="{00000000-0002-0000-0100-000078000000}">
      <formula1>0</formula1>
      <formula2>$P183</formula2>
    </dataValidation>
    <dataValidation type="whole" allowBlank="1" showErrorMessage="1" errorTitle="Invalid Asset Count" error="Value must be between 0 and the Total Asset Numbers above." sqref="Q188" xr:uid="{00000000-0002-0000-0100-000079000000}">
      <formula1>0</formula1>
      <formula2>$P183</formula2>
    </dataValidation>
    <dataValidation type="whole" allowBlank="1" showErrorMessage="1" errorTitle="Invalid Asset Count" error="Value must be between 0 and the Total Asset Numbers above." sqref="Q189" xr:uid="{00000000-0002-0000-0100-00007A000000}">
      <formula1>0</formula1>
      <formula2>$P183</formula2>
    </dataValidation>
    <dataValidation type="whole" allowBlank="1" showErrorMessage="1" errorTitle="Invalid Asset Count" error="Value must be between 0 and the Total Asset Numbers above." sqref="Q190" xr:uid="{00000000-0002-0000-0100-00007B000000}">
      <formula1>0</formula1>
      <formula2>$P183</formula2>
    </dataValidation>
    <dataValidation type="whole" allowBlank="1" showErrorMessage="1" errorTitle="Invalid Asset Count" error="Value must be between 0 and the Total Asset Numbers above." sqref="Q191" xr:uid="{00000000-0002-0000-0100-00007C000000}">
      <formula1>0</formula1>
      <formula2>$P183</formula2>
    </dataValidation>
    <dataValidation type="whole" allowBlank="1" showErrorMessage="1" errorTitle="Invalid Asset Count" error="Value must be between 0 and the Total Asset Numbers above." sqref="Q192" xr:uid="{00000000-0002-0000-0100-00007D000000}">
      <formula1>0</formula1>
      <formula2>$P183</formula2>
    </dataValidation>
    <dataValidation type="whole" allowBlank="1" showErrorMessage="1" errorTitle="Invalid Asset Count" error="Value must be between 0 and the Total Asset Numbers above." sqref="Q193" xr:uid="{00000000-0002-0000-0100-00007E000000}">
      <formula1>0</formula1>
      <formula2>$P183</formula2>
    </dataValidation>
    <dataValidation type="whole" allowBlank="1" showErrorMessage="1" errorTitle="Invalid Asset Count" error="Value must be between 0 and the Total Asset Numbers above." sqref="Q194" xr:uid="{00000000-0002-0000-0100-00007F000000}">
      <formula1>0</formula1>
      <formula2>$P183</formula2>
    </dataValidation>
    <dataValidation type="whole" allowBlank="1" showErrorMessage="1" errorTitle="Invalid Asset Count" error="Value must be between 0 and the Total Asset Numbers above." sqref="Q195" xr:uid="{00000000-0002-0000-0100-000080000000}">
      <formula1>0</formula1>
      <formula2>$P183</formula2>
    </dataValidation>
    <dataValidation type="whole" allowBlank="1" showErrorMessage="1" errorTitle="Invalid Asset Count" error="Value must be between 0 and the Total Asset Numbers above." sqref="Q196" xr:uid="{00000000-0002-0000-0100-000081000000}">
      <formula1>0</formula1>
      <formula2>$P183</formula2>
    </dataValidation>
    <dataValidation type="whole" allowBlank="1" showErrorMessage="1" errorTitle="Invalid Asset Count" error="Value must be between 0 and the Total Asset Numbers above." sqref="Q197" xr:uid="{00000000-0002-0000-0100-000082000000}">
      <formula1>0</formula1>
      <formula2>$P183</formula2>
    </dataValidation>
    <dataValidation type="whole" allowBlank="1" showErrorMessage="1" errorTitle="Invalid Asset Count" error="Value must be between 0 and the Total Asset Numbers above." sqref="Q198" xr:uid="{00000000-0002-0000-0100-000083000000}">
      <formula1>0</formula1>
      <formula2>$P183</formula2>
    </dataValidation>
    <dataValidation type="whole" allowBlank="1" showErrorMessage="1" errorTitle="Invalid Asset Count" error="Value must be between 0 and the Total Asset Numbers above." sqref="Q199" xr:uid="{00000000-0002-0000-0100-000084000000}">
      <formula1>0</formula1>
      <formula2>$P183</formula2>
    </dataValidation>
    <dataValidation type="whole" allowBlank="1" showErrorMessage="1" errorTitle="Invalid Asset Count" error="Value must be between 0 and the Total Asset Numbers above." sqref="Q200" xr:uid="{00000000-0002-0000-0100-000085000000}">
      <formula1>0</formula1>
      <formula2>$P183</formula2>
    </dataValidation>
    <dataValidation type="whole" allowBlank="1" showErrorMessage="1" errorTitle="Invalid Asset Count" error="Value must be between 0 and the Total Asset Numbers above." sqref="Q201" xr:uid="{00000000-0002-0000-0100-000086000000}">
      <formula1>0</formula1>
      <formula2>$P183</formula2>
    </dataValidation>
    <dataValidation type="whole" allowBlank="1" showErrorMessage="1" errorTitle="Invalid Asset Count" error="Value must be between 0 and the Total Asset Numbers above." sqref="Q202" xr:uid="{00000000-0002-0000-0100-000087000000}">
      <formula1>0</formula1>
      <formula2>$P183</formula2>
    </dataValidation>
    <dataValidation type="whole" allowBlank="1" showErrorMessage="1" errorTitle="Invalid Asset Count" error="Value must be between 0 and the Total Asset Numbers above." sqref="Q203" xr:uid="{00000000-0002-0000-0100-000088000000}">
      <formula1>0</formula1>
      <formula2>$P183</formula2>
    </dataValidation>
    <dataValidation type="whole" allowBlank="1" showErrorMessage="1" errorTitle="Invalid Asset Count" error="Value must be between 0 and the Total Asset Numbers above." sqref="Q204" xr:uid="{00000000-0002-0000-0100-000089000000}">
      <formula1>0</formula1>
      <formula2>$P183</formula2>
    </dataValidation>
    <dataValidation type="whole" allowBlank="1" showErrorMessage="1" errorTitle="Invalid Asset Count" error="Value must be between 0 and the Total Asset Numbers above." sqref="Q205" xr:uid="{00000000-0002-0000-0100-00008A000000}">
      <formula1>0</formula1>
      <formula2>$P183</formula2>
    </dataValidation>
    <dataValidation type="whole" allowBlank="1" showErrorMessage="1" errorTitle="Invalid Asset Count" error="Value must be between 0 and the Total Asset Numbers above." sqref="Q206" xr:uid="{00000000-0002-0000-0100-00008B000000}">
      <formula1>0</formula1>
      <formula2>$P183</formula2>
    </dataValidation>
  </dataValidations>
  <hyperlinks>
    <hyperlink ref="B210"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465"/>
  <sheetViews>
    <sheetView workbookViewId="0">
      <pane xSplit="8" ySplit="1" topLeftCell="I2" activePane="bottomRight" state="frozen"/>
      <selection pane="topRight" activeCell="I1" sqref="I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5" width="12" customWidth="1" outlineLevel="1"/>
    <col min="6" max="6" width="13" customWidth="1" outlineLevel="1"/>
    <col min="7" max="7" width="12" customWidth="1" outlineLevel="1"/>
    <col min="8" max="8" width="15" customWidth="1"/>
    <col min="9" max="9" width="45" customWidth="1"/>
    <col min="10" max="10" width="55" customWidth="1"/>
    <col min="11" max="12" width="55" hidden="1" customWidth="1" outlineLevel="1" collapsed="1"/>
    <col min="13" max="13" width="18" hidden="1" customWidth="1" outlineLevel="1" collapsed="1"/>
    <col min="14" max="14" width="18" customWidth="1"/>
  </cols>
  <sheetData>
    <row r="1" spans="1:14"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7" t="s">
        <v>13</v>
      </c>
    </row>
    <row r="2" spans="1:14" ht="60" customHeight="1" x14ac:dyDescent="0.35">
      <c r="A2" s="11" t="s">
        <v>14</v>
      </c>
      <c r="B2" s="1" t="s">
        <v>15</v>
      </c>
      <c r="C2" s="2" t="s">
        <v>16</v>
      </c>
      <c r="D2" s="3" t="s">
        <v>17</v>
      </c>
      <c r="E2" s="4" t="s">
        <v>18</v>
      </c>
      <c r="F2" s="4" t="s">
        <v>19</v>
      </c>
      <c r="G2" s="4" t="s">
        <v>20</v>
      </c>
      <c r="H2" s="4" t="s">
        <v>21</v>
      </c>
      <c r="I2" s="5" t="s">
        <v>21</v>
      </c>
      <c r="J2" s="1" t="s">
        <v>22</v>
      </c>
      <c r="K2" s="1" t="s">
        <v>23</v>
      </c>
      <c r="L2" s="1" t="s">
        <v>24</v>
      </c>
      <c r="M2" s="4" t="str">
        <f t="shared" ref="M2:M256" si="0">IF(OR(H2="Implemented",H2="Compensated"),"Resolved",IF(OR(H2="Risk Accepted",H2="N/A"),"Excluded",IF(H2="Testing","Testing","Outstanding")))</f>
        <v>Outstanding</v>
      </c>
      <c r="N2" s="13" t="s">
        <v>21</v>
      </c>
    </row>
    <row r="3" spans="1:14" ht="60" customHeight="1" x14ac:dyDescent="0.35">
      <c r="A3" s="11" t="s">
        <v>25</v>
      </c>
      <c r="B3" s="1" t="s">
        <v>26</v>
      </c>
      <c r="C3" s="2" t="s">
        <v>16</v>
      </c>
      <c r="D3" s="3" t="s">
        <v>17</v>
      </c>
      <c r="E3" s="4" t="s">
        <v>18</v>
      </c>
      <c r="F3" s="4" t="s">
        <v>19</v>
      </c>
      <c r="G3" s="4" t="s">
        <v>20</v>
      </c>
      <c r="H3" s="4" t="s">
        <v>21</v>
      </c>
      <c r="I3" s="5" t="s">
        <v>21</v>
      </c>
      <c r="J3" s="1" t="s">
        <v>27</v>
      </c>
      <c r="K3" s="1" t="s">
        <v>28</v>
      </c>
      <c r="L3" s="1" t="s">
        <v>29</v>
      </c>
      <c r="M3" s="4" t="str">
        <f t="shared" si="0"/>
        <v>Outstanding</v>
      </c>
      <c r="N3" s="13" t="s">
        <v>21</v>
      </c>
    </row>
    <row r="4" spans="1:14" ht="60" customHeight="1" x14ac:dyDescent="0.35">
      <c r="A4" s="11" t="s">
        <v>30</v>
      </c>
      <c r="B4" s="1" t="s">
        <v>31</v>
      </c>
      <c r="C4" s="2" t="s">
        <v>16</v>
      </c>
      <c r="D4" s="3" t="s">
        <v>17</v>
      </c>
      <c r="E4" s="4" t="s">
        <v>18</v>
      </c>
      <c r="F4" s="4" t="s">
        <v>19</v>
      </c>
      <c r="G4" s="4" t="s">
        <v>20</v>
      </c>
      <c r="H4" s="4" t="s">
        <v>21</v>
      </c>
      <c r="I4" s="5" t="s">
        <v>21</v>
      </c>
      <c r="J4" s="1" t="s">
        <v>32</v>
      </c>
      <c r="K4" s="1" t="s">
        <v>33</v>
      </c>
      <c r="L4" s="1" t="s">
        <v>34</v>
      </c>
      <c r="M4" s="4" t="str">
        <f t="shared" si="0"/>
        <v>Outstanding</v>
      </c>
      <c r="N4" s="13" t="s">
        <v>21</v>
      </c>
    </row>
    <row r="5" spans="1:14" ht="60" customHeight="1" x14ac:dyDescent="0.35">
      <c r="A5" s="11" t="s">
        <v>35</v>
      </c>
      <c r="B5" s="1" t="s">
        <v>36</v>
      </c>
      <c r="C5" s="2" t="s">
        <v>16</v>
      </c>
      <c r="D5" s="3" t="s">
        <v>17</v>
      </c>
      <c r="E5" s="4" t="s">
        <v>18</v>
      </c>
      <c r="F5" s="4" t="s">
        <v>19</v>
      </c>
      <c r="G5" s="4" t="s">
        <v>20</v>
      </c>
      <c r="H5" s="4" t="s">
        <v>21</v>
      </c>
      <c r="I5" s="5" t="s">
        <v>21</v>
      </c>
      <c r="J5" s="1" t="s">
        <v>37</v>
      </c>
      <c r="K5" s="1" t="s">
        <v>38</v>
      </c>
      <c r="L5" s="1" t="s">
        <v>39</v>
      </c>
      <c r="M5" s="4" t="str">
        <f t="shared" si="0"/>
        <v>Outstanding</v>
      </c>
      <c r="N5" s="13" t="s">
        <v>21</v>
      </c>
    </row>
    <row r="6" spans="1:14" ht="60" customHeight="1" x14ac:dyDescent="0.35">
      <c r="A6" s="11" t="s">
        <v>40</v>
      </c>
      <c r="B6" s="1" t="s">
        <v>41</v>
      </c>
      <c r="C6" s="2" t="s">
        <v>16</v>
      </c>
      <c r="D6" s="3" t="s">
        <v>17</v>
      </c>
      <c r="E6" s="4" t="s">
        <v>18</v>
      </c>
      <c r="F6" s="4" t="s">
        <v>19</v>
      </c>
      <c r="G6" s="4" t="s">
        <v>20</v>
      </c>
      <c r="H6" s="4" t="s">
        <v>21</v>
      </c>
      <c r="I6" s="5" t="s">
        <v>21</v>
      </c>
      <c r="J6" s="1" t="s">
        <v>42</v>
      </c>
      <c r="K6" s="1" t="s">
        <v>43</v>
      </c>
      <c r="L6" s="1" t="s">
        <v>44</v>
      </c>
      <c r="M6" s="4" t="str">
        <f t="shared" si="0"/>
        <v>Outstanding</v>
      </c>
      <c r="N6" s="13" t="s">
        <v>21</v>
      </c>
    </row>
    <row r="7" spans="1:14" ht="60" customHeight="1" x14ac:dyDescent="0.35">
      <c r="A7" s="11" t="s">
        <v>45</v>
      </c>
      <c r="B7" s="1" t="s">
        <v>46</v>
      </c>
      <c r="C7" s="2" t="s">
        <v>16</v>
      </c>
      <c r="D7" s="3" t="s">
        <v>47</v>
      </c>
      <c r="E7" s="4" t="s">
        <v>18</v>
      </c>
      <c r="F7" s="4" t="s">
        <v>19</v>
      </c>
      <c r="G7" s="4" t="s">
        <v>20</v>
      </c>
      <c r="H7" s="4" t="s">
        <v>21</v>
      </c>
      <c r="I7" s="5" t="s">
        <v>21</v>
      </c>
      <c r="J7" s="1" t="s">
        <v>48</v>
      </c>
      <c r="K7" s="1" t="s">
        <v>49</v>
      </c>
      <c r="L7" s="1" t="s">
        <v>50</v>
      </c>
      <c r="M7" s="4" t="str">
        <f t="shared" si="0"/>
        <v>Outstanding</v>
      </c>
      <c r="N7" s="13" t="s">
        <v>21</v>
      </c>
    </row>
    <row r="8" spans="1:14" ht="60" customHeight="1" x14ac:dyDescent="0.35">
      <c r="A8" s="11" t="s">
        <v>51</v>
      </c>
      <c r="B8" s="1" t="s">
        <v>52</v>
      </c>
      <c r="C8" s="2" t="s">
        <v>16</v>
      </c>
      <c r="D8" s="3" t="s">
        <v>47</v>
      </c>
      <c r="E8" s="4" t="s">
        <v>18</v>
      </c>
      <c r="F8" s="4" t="s">
        <v>19</v>
      </c>
      <c r="G8" s="4" t="s">
        <v>20</v>
      </c>
      <c r="H8" s="4" t="s">
        <v>21</v>
      </c>
      <c r="I8" s="5" t="s">
        <v>21</v>
      </c>
      <c r="J8" s="1" t="s">
        <v>53</v>
      </c>
      <c r="K8" s="1" t="s">
        <v>54</v>
      </c>
      <c r="L8" s="1" t="s">
        <v>55</v>
      </c>
      <c r="M8" s="4" t="str">
        <f t="shared" si="0"/>
        <v>Outstanding</v>
      </c>
      <c r="N8" s="13" t="s">
        <v>21</v>
      </c>
    </row>
    <row r="9" spans="1:14" ht="60" customHeight="1" x14ac:dyDescent="0.35">
      <c r="A9" s="11" t="s">
        <v>56</v>
      </c>
      <c r="B9" s="1" t="s">
        <v>57</v>
      </c>
      <c r="C9" s="2" t="s">
        <v>16</v>
      </c>
      <c r="D9" s="3" t="s">
        <v>47</v>
      </c>
      <c r="E9" s="4" t="s">
        <v>18</v>
      </c>
      <c r="F9" s="4" t="s">
        <v>19</v>
      </c>
      <c r="G9" s="4" t="s">
        <v>20</v>
      </c>
      <c r="H9" s="4" t="s">
        <v>21</v>
      </c>
      <c r="I9" s="5" t="s">
        <v>21</v>
      </c>
      <c r="J9" s="1" t="s">
        <v>58</v>
      </c>
      <c r="K9" s="1" t="s">
        <v>59</v>
      </c>
      <c r="L9" s="1" t="s">
        <v>60</v>
      </c>
      <c r="M9" s="4" t="str">
        <f t="shared" si="0"/>
        <v>Outstanding</v>
      </c>
      <c r="N9" s="13" t="s">
        <v>21</v>
      </c>
    </row>
    <row r="10" spans="1:14" ht="60" customHeight="1" x14ac:dyDescent="0.35">
      <c r="A10" s="11" t="s">
        <v>61</v>
      </c>
      <c r="B10" s="1" t="s">
        <v>62</v>
      </c>
      <c r="C10" s="2" t="s">
        <v>16</v>
      </c>
      <c r="D10" s="3" t="s">
        <v>47</v>
      </c>
      <c r="E10" s="4" t="s">
        <v>18</v>
      </c>
      <c r="F10" s="4" t="s">
        <v>19</v>
      </c>
      <c r="G10" s="4" t="s">
        <v>20</v>
      </c>
      <c r="H10" s="4" t="s">
        <v>21</v>
      </c>
      <c r="I10" s="5" t="s">
        <v>21</v>
      </c>
      <c r="J10" s="1" t="s">
        <v>63</v>
      </c>
      <c r="K10" s="1" t="s">
        <v>64</v>
      </c>
      <c r="L10" s="1" t="s">
        <v>65</v>
      </c>
      <c r="M10" s="4" t="str">
        <f t="shared" si="0"/>
        <v>Outstanding</v>
      </c>
      <c r="N10" s="13" t="s">
        <v>21</v>
      </c>
    </row>
    <row r="11" spans="1:14" ht="60" customHeight="1" x14ac:dyDescent="0.35">
      <c r="A11" s="11" t="s">
        <v>66</v>
      </c>
      <c r="B11" s="1" t="s">
        <v>67</v>
      </c>
      <c r="C11" s="2" t="s">
        <v>16</v>
      </c>
      <c r="D11" s="3" t="s">
        <v>47</v>
      </c>
      <c r="E11" s="4" t="s">
        <v>18</v>
      </c>
      <c r="F11" s="4" t="s">
        <v>19</v>
      </c>
      <c r="G11" s="4" t="s">
        <v>20</v>
      </c>
      <c r="H11" s="4" t="s">
        <v>21</v>
      </c>
      <c r="I11" s="5" t="s">
        <v>21</v>
      </c>
      <c r="J11" s="1" t="s">
        <v>63</v>
      </c>
      <c r="K11" s="1" t="s">
        <v>68</v>
      </c>
      <c r="L11" s="1" t="s">
        <v>65</v>
      </c>
      <c r="M11" s="4" t="str">
        <f t="shared" si="0"/>
        <v>Outstanding</v>
      </c>
      <c r="N11" s="13" t="s">
        <v>21</v>
      </c>
    </row>
    <row r="12" spans="1:14" ht="60" customHeight="1" x14ac:dyDescent="0.35">
      <c r="A12" s="11" t="s">
        <v>69</v>
      </c>
      <c r="B12" s="1" t="s">
        <v>70</v>
      </c>
      <c r="C12" s="2" t="s">
        <v>16</v>
      </c>
      <c r="D12" s="3" t="s">
        <v>47</v>
      </c>
      <c r="E12" s="4" t="s">
        <v>18</v>
      </c>
      <c r="F12" s="4" t="s">
        <v>19</v>
      </c>
      <c r="G12" s="4" t="s">
        <v>20</v>
      </c>
      <c r="H12" s="4" t="s">
        <v>21</v>
      </c>
      <c r="I12" s="5" t="s">
        <v>21</v>
      </c>
      <c r="J12" s="1" t="s">
        <v>63</v>
      </c>
      <c r="K12" s="1" t="s">
        <v>71</v>
      </c>
      <c r="L12" s="1" t="s">
        <v>65</v>
      </c>
      <c r="M12" s="4" t="str">
        <f t="shared" si="0"/>
        <v>Outstanding</v>
      </c>
      <c r="N12" s="13" t="s">
        <v>21</v>
      </c>
    </row>
    <row r="13" spans="1:14" ht="60" customHeight="1" x14ac:dyDescent="0.35">
      <c r="A13" s="11" t="s">
        <v>72</v>
      </c>
      <c r="B13" s="1" t="s">
        <v>73</v>
      </c>
      <c r="C13" s="2" t="s">
        <v>16</v>
      </c>
      <c r="D13" s="3" t="s">
        <v>47</v>
      </c>
      <c r="E13" s="4" t="s">
        <v>18</v>
      </c>
      <c r="F13" s="4" t="s">
        <v>19</v>
      </c>
      <c r="G13" s="4" t="s">
        <v>20</v>
      </c>
      <c r="H13" s="4" t="s">
        <v>21</v>
      </c>
      <c r="I13" s="5" t="s">
        <v>21</v>
      </c>
      <c r="J13" s="1" t="s">
        <v>74</v>
      </c>
      <c r="K13" s="1" t="s">
        <v>75</v>
      </c>
      <c r="L13" s="1" t="s">
        <v>55</v>
      </c>
      <c r="M13" s="4" t="str">
        <f t="shared" si="0"/>
        <v>Outstanding</v>
      </c>
      <c r="N13" s="13" t="s">
        <v>21</v>
      </c>
    </row>
    <row r="14" spans="1:14" ht="60" customHeight="1" x14ac:dyDescent="0.35">
      <c r="A14" s="11" t="s">
        <v>76</v>
      </c>
      <c r="B14" s="1" t="s">
        <v>77</v>
      </c>
      <c r="C14" s="2" t="s">
        <v>16</v>
      </c>
      <c r="D14" s="3" t="s">
        <v>47</v>
      </c>
      <c r="E14" s="4" t="s">
        <v>18</v>
      </c>
      <c r="F14" s="4" t="s">
        <v>19</v>
      </c>
      <c r="G14" s="4" t="s">
        <v>20</v>
      </c>
      <c r="H14" s="4" t="s">
        <v>21</v>
      </c>
      <c r="I14" s="5" t="s">
        <v>21</v>
      </c>
      <c r="J14" s="1" t="s">
        <v>74</v>
      </c>
      <c r="K14" s="1" t="s">
        <v>78</v>
      </c>
      <c r="L14" s="1" t="s">
        <v>55</v>
      </c>
      <c r="M14" s="4" t="str">
        <f t="shared" si="0"/>
        <v>Outstanding</v>
      </c>
      <c r="N14" s="13" t="s">
        <v>21</v>
      </c>
    </row>
    <row r="15" spans="1:14" ht="60" customHeight="1" x14ac:dyDescent="0.35">
      <c r="A15" s="11" t="s">
        <v>79</v>
      </c>
      <c r="B15" s="1" t="s">
        <v>80</v>
      </c>
      <c r="C15" s="2" t="s">
        <v>16</v>
      </c>
      <c r="D15" s="3" t="s">
        <v>47</v>
      </c>
      <c r="E15" s="4" t="s">
        <v>18</v>
      </c>
      <c r="F15" s="4" t="s">
        <v>19</v>
      </c>
      <c r="G15" s="4" t="s">
        <v>20</v>
      </c>
      <c r="H15" s="4" t="s">
        <v>21</v>
      </c>
      <c r="I15" s="5" t="s">
        <v>21</v>
      </c>
      <c r="J15" s="1" t="s">
        <v>74</v>
      </c>
      <c r="K15" s="1" t="s">
        <v>81</v>
      </c>
      <c r="L15" s="1" t="s">
        <v>55</v>
      </c>
      <c r="M15" s="4" t="str">
        <f t="shared" si="0"/>
        <v>Outstanding</v>
      </c>
      <c r="N15" s="13" t="s">
        <v>21</v>
      </c>
    </row>
    <row r="16" spans="1:14" ht="60" customHeight="1" x14ac:dyDescent="0.35">
      <c r="A16" s="11" t="s">
        <v>82</v>
      </c>
      <c r="B16" s="1" t="s">
        <v>83</v>
      </c>
      <c r="C16" s="2" t="s">
        <v>16</v>
      </c>
      <c r="D16" s="3" t="s">
        <v>47</v>
      </c>
      <c r="E16" s="4" t="s">
        <v>18</v>
      </c>
      <c r="F16" s="4" t="s">
        <v>19</v>
      </c>
      <c r="G16" s="4" t="s">
        <v>20</v>
      </c>
      <c r="H16" s="4" t="s">
        <v>21</v>
      </c>
      <c r="I16" s="5" t="s">
        <v>21</v>
      </c>
      <c r="J16" s="1" t="s">
        <v>74</v>
      </c>
      <c r="K16" s="1" t="s">
        <v>84</v>
      </c>
      <c r="L16" s="1" t="s">
        <v>55</v>
      </c>
      <c r="M16" s="4" t="str">
        <f t="shared" si="0"/>
        <v>Outstanding</v>
      </c>
      <c r="N16" s="13" t="s">
        <v>21</v>
      </c>
    </row>
    <row r="17" spans="1:14" ht="60" customHeight="1" x14ac:dyDescent="0.35">
      <c r="A17" s="11" t="s">
        <v>85</v>
      </c>
      <c r="B17" s="1" t="s">
        <v>86</v>
      </c>
      <c r="C17" s="2" t="s">
        <v>16</v>
      </c>
      <c r="D17" s="3" t="s">
        <v>47</v>
      </c>
      <c r="E17" s="4" t="s">
        <v>18</v>
      </c>
      <c r="F17" s="4" t="s">
        <v>19</v>
      </c>
      <c r="G17" s="4" t="s">
        <v>20</v>
      </c>
      <c r="H17" s="4" t="s">
        <v>21</v>
      </c>
      <c r="I17" s="5" t="s">
        <v>21</v>
      </c>
      <c r="J17" s="1" t="s">
        <v>74</v>
      </c>
      <c r="K17" s="1" t="s">
        <v>87</v>
      </c>
      <c r="L17" s="1" t="s">
        <v>55</v>
      </c>
      <c r="M17" s="4" t="str">
        <f t="shared" si="0"/>
        <v>Outstanding</v>
      </c>
      <c r="N17" s="13" t="s">
        <v>21</v>
      </c>
    </row>
    <row r="18" spans="1:14" ht="60" customHeight="1" x14ac:dyDescent="0.35">
      <c r="A18" s="11" t="s">
        <v>88</v>
      </c>
      <c r="B18" s="1" t="s">
        <v>89</v>
      </c>
      <c r="C18" s="2" t="s">
        <v>16</v>
      </c>
      <c r="D18" s="3" t="s">
        <v>47</v>
      </c>
      <c r="E18" s="4" t="s">
        <v>18</v>
      </c>
      <c r="F18" s="4" t="s">
        <v>19</v>
      </c>
      <c r="G18" s="4" t="s">
        <v>20</v>
      </c>
      <c r="H18" s="4" t="s">
        <v>21</v>
      </c>
      <c r="I18" s="5" t="s">
        <v>21</v>
      </c>
      <c r="J18" s="1" t="s">
        <v>74</v>
      </c>
      <c r="K18" s="1" t="s">
        <v>90</v>
      </c>
      <c r="L18" s="1" t="s">
        <v>55</v>
      </c>
      <c r="M18" s="4" t="str">
        <f t="shared" si="0"/>
        <v>Outstanding</v>
      </c>
      <c r="N18" s="13" t="s">
        <v>21</v>
      </c>
    </row>
    <row r="19" spans="1:14" ht="60" customHeight="1" x14ac:dyDescent="0.35">
      <c r="A19" s="11" t="s">
        <v>91</v>
      </c>
      <c r="B19" s="1" t="s">
        <v>92</v>
      </c>
      <c r="C19" s="2" t="s">
        <v>16</v>
      </c>
      <c r="D19" s="3" t="s">
        <v>47</v>
      </c>
      <c r="E19" s="4" t="s">
        <v>18</v>
      </c>
      <c r="F19" s="4" t="s">
        <v>19</v>
      </c>
      <c r="G19" s="4" t="s">
        <v>20</v>
      </c>
      <c r="H19" s="4" t="s">
        <v>21</v>
      </c>
      <c r="I19" s="5" t="s">
        <v>21</v>
      </c>
      <c r="J19" s="1" t="s">
        <v>74</v>
      </c>
      <c r="K19" s="1" t="s">
        <v>93</v>
      </c>
      <c r="L19" s="1" t="s">
        <v>55</v>
      </c>
      <c r="M19" s="4" t="str">
        <f t="shared" si="0"/>
        <v>Outstanding</v>
      </c>
      <c r="N19" s="13" t="s">
        <v>21</v>
      </c>
    </row>
    <row r="20" spans="1:14" ht="60" customHeight="1" x14ac:dyDescent="0.35">
      <c r="A20" s="11" t="s">
        <v>94</v>
      </c>
      <c r="B20" s="1" t="s">
        <v>95</v>
      </c>
      <c r="C20" s="2" t="s">
        <v>96</v>
      </c>
      <c r="D20" s="3" t="s">
        <v>47</v>
      </c>
      <c r="E20" s="4" t="s">
        <v>18</v>
      </c>
      <c r="F20" s="4" t="s">
        <v>19</v>
      </c>
      <c r="G20" s="4" t="s">
        <v>20</v>
      </c>
      <c r="H20" s="4" t="s">
        <v>21</v>
      </c>
      <c r="I20" s="5" t="s">
        <v>21</v>
      </c>
      <c r="J20" s="1" t="s">
        <v>97</v>
      </c>
      <c r="K20" s="1" t="s">
        <v>98</v>
      </c>
      <c r="L20" s="1" t="s">
        <v>99</v>
      </c>
      <c r="M20" s="4" t="str">
        <f t="shared" si="0"/>
        <v>Outstanding</v>
      </c>
      <c r="N20" s="13" t="s">
        <v>21</v>
      </c>
    </row>
    <row r="21" spans="1:14" ht="60" customHeight="1" x14ac:dyDescent="0.35">
      <c r="A21" s="11" t="s">
        <v>100</v>
      </c>
      <c r="B21" s="1" t="s">
        <v>101</v>
      </c>
      <c r="C21" s="2" t="s">
        <v>16</v>
      </c>
      <c r="D21" s="3" t="s">
        <v>47</v>
      </c>
      <c r="E21" s="4" t="s">
        <v>18</v>
      </c>
      <c r="F21" s="4" t="s">
        <v>19</v>
      </c>
      <c r="G21" s="4" t="s">
        <v>20</v>
      </c>
      <c r="H21" s="4" t="s">
        <v>21</v>
      </c>
      <c r="I21" s="5" t="s">
        <v>21</v>
      </c>
      <c r="J21" s="1" t="s">
        <v>102</v>
      </c>
      <c r="K21" s="1" t="s">
        <v>103</v>
      </c>
      <c r="L21" s="1" t="s">
        <v>104</v>
      </c>
      <c r="M21" s="4" t="str">
        <f t="shared" si="0"/>
        <v>Outstanding</v>
      </c>
      <c r="N21" s="13" t="s">
        <v>21</v>
      </c>
    </row>
    <row r="22" spans="1:14" ht="60" customHeight="1" x14ac:dyDescent="0.35">
      <c r="A22" s="11" t="s">
        <v>105</v>
      </c>
      <c r="B22" s="1" t="s">
        <v>106</v>
      </c>
      <c r="C22" s="2" t="s">
        <v>16</v>
      </c>
      <c r="D22" s="3" t="s">
        <v>47</v>
      </c>
      <c r="E22" s="4" t="s">
        <v>18</v>
      </c>
      <c r="F22" s="4" t="s">
        <v>19</v>
      </c>
      <c r="G22" s="4" t="s">
        <v>20</v>
      </c>
      <c r="H22" s="4" t="s">
        <v>21</v>
      </c>
      <c r="I22" s="5" t="s">
        <v>21</v>
      </c>
      <c r="J22" s="1" t="s">
        <v>107</v>
      </c>
      <c r="K22" s="1" t="s">
        <v>108</v>
      </c>
      <c r="L22" s="1" t="s">
        <v>109</v>
      </c>
      <c r="M22" s="4" t="str">
        <f t="shared" si="0"/>
        <v>Outstanding</v>
      </c>
      <c r="N22" s="13" t="s">
        <v>21</v>
      </c>
    </row>
    <row r="23" spans="1:14" ht="60" customHeight="1" x14ac:dyDescent="0.35">
      <c r="A23" s="11" t="s">
        <v>110</v>
      </c>
      <c r="B23" s="1" t="s">
        <v>111</v>
      </c>
      <c r="C23" s="2" t="s">
        <v>16</v>
      </c>
      <c r="D23" s="3" t="s">
        <v>47</v>
      </c>
      <c r="E23" s="4" t="s">
        <v>18</v>
      </c>
      <c r="F23" s="4" t="s">
        <v>19</v>
      </c>
      <c r="G23" s="4" t="s">
        <v>20</v>
      </c>
      <c r="H23" s="4" t="s">
        <v>21</v>
      </c>
      <c r="I23" s="5" t="s">
        <v>21</v>
      </c>
      <c r="J23" s="1" t="s">
        <v>107</v>
      </c>
      <c r="K23" s="1" t="s">
        <v>112</v>
      </c>
      <c r="L23" s="1" t="s">
        <v>113</v>
      </c>
      <c r="M23" s="4" t="str">
        <f t="shared" si="0"/>
        <v>Outstanding</v>
      </c>
      <c r="N23" s="13" t="s">
        <v>21</v>
      </c>
    </row>
    <row r="24" spans="1:14" ht="60" customHeight="1" x14ac:dyDescent="0.35">
      <c r="A24" s="11" t="s">
        <v>114</v>
      </c>
      <c r="B24" s="1" t="s">
        <v>115</v>
      </c>
      <c r="C24" s="2" t="s">
        <v>16</v>
      </c>
      <c r="D24" s="3" t="s">
        <v>47</v>
      </c>
      <c r="E24" s="4" t="s">
        <v>18</v>
      </c>
      <c r="F24" s="4" t="s">
        <v>19</v>
      </c>
      <c r="G24" s="4" t="s">
        <v>20</v>
      </c>
      <c r="H24" s="4" t="s">
        <v>21</v>
      </c>
      <c r="I24" s="5" t="s">
        <v>21</v>
      </c>
      <c r="J24" s="1" t="s">
        <v>58</v>
      </c>
      <c r="K24" s="1" t="s">
        <v>116</v>
      </c>
      <c r="L24" s="1" t="s">
        <v>117</v>
      </c>
      <c r="M24" s="4" t="str">
        <f t="shared" si="0"/>
        <v>Outstanding</v>
      </c>
      <c r="N24" s="13" t="s">
        <v>21</v>
      </c>
    </row>
    <row r="25" spans="1:14" ht="60" customHeight="1" x14ac:dyDescent="0.35">
      <c r="A25" s="11" t="s">
        <v>118</v>
      </c>
      <c r="B25" s="1" t="s">
        <v>119</v>
      </c>
      <c r="C25" s="2" t="s">
        <v>16</v>
      </c>
      <c r="D25" s="3" t="s">
        <v>47</v>
      </c>
      <c r="E25" s="4" t="s">
        <v>18</v>
      </c>
      <c r="F25" s="4" t="s">
        <v>19</v>
      </c>
      <c r="G25" s="4" t="s">
        <v>20</v>
      </c>
      <c r="H25" s="4" t="s">
        <v>21</v>
      </c>
      <c r="I25" s="5" t="s">
        <v>21</v>
      </c>
      <c r="J25" s="1" t="s">
        <v>120</v>
      </c>
      <c r="K25" s="1" t="s">
        <v>121</v>
      </c>
      <c r="L25" s="1" t="s">
        <v>122</v>
      </c>
      <c r="M25" s="4" t="str">
        <f t="shared" si="0"/>
        <v>Outstanding</v>
      </c>
      <c r="N25" s="13" t="s">
        <v>21</v>
      </c>
    </row>
    <row r="26" spans="1:14" ht="60" customHeight="1" x14ac:dyDescent="0.35">
      <c r="A26" s="11" t="s">
        <v>123</v>
      </c>
      <c r="B26" s="1" t="s">
        <v>124</v>
      </c>
      <c r="C26" s="2" t="s">
        <v>16</v>
      </c>
      <c r="D26" s="3" t="s">
        <v>47</v>
      </c>
      <c r="E26" s="4" t="s">
        <v>18</v>
      </c>
      <c r="F26" s="4" t="s">
        <v>19</v>
      </c>
      <c r="G26" s="4" t="s">
        <v>20</v>
      </c>
      <c r="H26" s="4" t="s">
        <v>21</v>
      </c>
      <c r="I26" s="5" t="s">
        <v>21</v>
      </c>
      <c r="J26" s="1" t="s">
        <v>120</v>
      </c>
      <c r="K26" s="1" t="s">
        <v>125</v>
      </c>
      <c r="L26" s="1" t="s">
        <v>126</v>
      </c>
      <c r="M26" s="4" t="str">
        <f t="shared" si="0"/>
        <v>Outstanding</v>
      </c>
      <c r="N26" s="13" t="s">
        <v>21</v>
      </c>
    </row>
    <row r="27" spans="1:14" ht="60" customHeight="1" x14ac:dyDescent="0.35">
      <c r="A27" s="11" t="s">
        <v>127</v>
      </c>
      <c r="B27" s="1" t="s">
        <v>128</v>
      </c>
      <c r="C27" s="2" t="s">
        <v>16</v>
      </c>
      <c r="D27" s="3" t="s">
        <v>47</v>
      </c>
      <c r="E27" s="4" t="s">
        <v>18</v>
      </c>
      <c r="F27" s="4" t="s">
        <v>19</v>
      </c>
      <c r="G27" s="4" t="s">
        <v>20</v>
      </c>
      <c r="H27" s="4" t="s">
        <v>21</v>
      </c>
      <c r="I27" s="5" t="s">
        <v>21</v>
      </c>
      <c r="J27" s="1" t="s">
        <v>129</v>
      </c>
      <c r="K27" s="1" t="s">
        <v>130</v>
      </c>
      <c r="L27" s="1" t="s">
        <v>131</v>
      </c>
      <c r="M27" s="4" t="str">
        <f t="shared" si="0"/>
        <v>Outstanding</v>
      </c>
      <c r="N27" s="13" t="s">
        <v>21</v>
      </c>
    </row>
    <row r="28" spans="1:14" ht="60" customHeight="1" x14ac:dyDescent="0.35">
      <c r="A28" s="11" t="s">
        <v>132</v>
      </c>
      <c r="B28" s="1" t="s">
        <v>133</v>
      </c>
      <c r="C28" s="2" t="s">
        <v>16</v>
      </c>
      <c r="D28" s="3" t="s">
        <v>47</v>
      </c>
      <c r="E28" s="4" t="s">
        <v>18</v>
      </c>
      <c r="F28" s="4" t="s">
        <v>19</v>
      </c>
      <c r="G28" s="4" t="s">
        <v>20</v>
      </c>
      <c r="H28" s="4" t="s">
        <v>21</v>
      </c>
      <c r="I28" s="5" t="s">
        <v>21</v>
      </c>
      <c r="J28" s="1" t="s">
        <v>134</v>
      </c>
      <c r="K28" s="1" t="s">
        <v>135</v>
      </c>
      <c r="L28" s="1" t="s">
        <v>136</v>
      </c>
      <c r="M28" s="4" t="str">
        <f t="shared" si="0"/>
        <v>Outstanding</v>
      </c>
      <c r="N28" s="13" t="s">
        <v>21</v>
      </c>
    </row>
    <row r="29" spans="1:14" ht="60" customHeight="1" x14ac:dyDescent="0.35">
      <c r="A29" s="11" t="s">
        <v>137</v>
      </c>
      <c r="B29" s="1" t="s">
        <v>138</v>
      </c>
      <c r="C29" s="2" t="s">
        <v>16</v>
      </c>
      <c r="D29" s="3" t="s">
        <v>47</v>
      </c>
      <c r="E29" s="4" t="s">
        <v>18</v>
      </c>
      <c r="F29" s="4" t="s">
        <v>19</v>
      </c>
      <c r="G29" s="4" t="s">
        <v>20</v>
      </c>
      <c r="H29" s="4" t="s">
        <v>21</v>
      </c>
      <c r="I29" s="5" t="s">
        <v>21</v>
      </c>
      <c r="J29" s="1" t="s">
        <v>139</v>
      </c>
      <c r="K29" s="1" t="s">
        <v>140</v>
      </c>
      <c r="L29" s="1" t="s">
        <v>141</v>
      </c>
      <c r="M29" s="4" t="str">
        <f t="shared" si="0"/>
        <v>Outstanding</v>
      </c>
      <c r="N29" s="13" t="s">
        <v>21</v>
      </c>
    </row>
    <row r="30" spans="1:14" ht="60" customHeight="1" x14ac:dyDescent="0.35">
      <c r="A30" s="11" t="s">
        <v>142</v>
      </c>
      <c r="B30" s="1" t="s">
        <v>143</v>
      </c>
      <c r="C30" s="2" t="s">
        <v>16</v>
      </c>
      <c r="D30" s="3" t="s">
        <v>47</v>
      </c>
      <c r="E30" s="4" t="s">
        <v>18</v>
      </c>
      <c r="F30" s="4" t="s">
        <v>19</v>
      </c>
      <c r="G30" s="4" t="s">
        <v>20</v>
      </c>
      <c r="H30" s="4" t="s">
        <v>21</v>
      </c>
      <c r="I30" s="5" t="s">
        <v>21</v>
      </c>
      <c r="J30" s="1" t="s">
        <v>144</v>
      </c>
      <c r="K30" s="1" t="s">
        <v>145</v>
      </c>
      <c r="L30" s="1" t="s">
        <v>146</v>
      </c>
      <c r="M30" s="4" t="str">
        <f t="shared" si="0"/>
        <v>Outstanding</v>
      </c>
      <c r="N30" s="13" t="s">
        <v>21</v>
      </c>
    </row>
    <row r="31" spans="1:14" ht="60" customHeight="1" x14ac:dyDescent="0.35">
      <c r="A31" s="11" t="s">
        <v>147</v>
      </c>
      <c r="B31" s="1" t="s">
        <v>148</v>
      </c>
      <c r="C31" s="2" t="s">
        <v>16</v>
      </c>
      <c r="D31" s="3" t="s">
        <v>47</v>
      </c>
      <c r="E31" s="4" t="s">
        <v>18</v>
      </c>
      <c r="F31" s="4" t="s">
        <v>19</v>
      </c>
      <c r="G31" s="4" t="s">
        <v>20</v>
      </c>
      <c r="H31" s="4" t="s">
        <v>21</v>
      </c>
      <c r="I31" s="5" t="s">
        <v>21</v>
      </c>
      <c r="J31" s="1" t="s">
        <v>149</v>
      </c>
      <c r="K31" s="1" t="s">
        <v>150</v>
      </c>
      <c r="L31" s="1" t="s">
        <v>151</v>
      </c>
      <c r="M31" s="4" t="str">
        <f t="shared" si="0"/>
        <v>Outstanding</v>
      </c>
      <c r="N31" s="13" t="s">
        <v>21</v>
      </c>
    </row>
    <row r="32" spans="1:14" ht="60" customHeight="1" x14ac:dyDescent="0.35">
      <c r="A32" s="11" t="s">
        <v>152</v>
      </c>
      <c r="B32" s="1" t="s">
        <v>153</v>
      </c>
      <c r="C32" s="2" t="s">
        <v>16</v>
      </c>
      <c r="D32" s="3" t="s">
        <v>47</v>
      </c>
      <c r="E32" s="4" t="s">
        <v>18</v>
      </c>
      <c r="F32" s="4" t="s">
        <v>19</v>
      </c>
      <c r="G32" s="4" t="s">
        <v>20</v>
      </c>
      <c r="H32" s="4" t="s">
        <v>21</v>
      </c>
      <c r="I32" s="5" t="s">
        <v>21</v>
      </c>
      <c r="J32" s="1" t="s">
        <v>154</v>
      </c>
      <c r="K32" s="1" t="s">
        <v>155</v>
      </c>
      <c r="L32" s="1" t="s">
        <v>151</v>
      </c>
      <c r="M32" s="4" t="str">
        <f t="shared" si="0"/>
        <v>Outstanding</v>
      </c>
      <c r="N32" s="13" t="s">
        <v>21</v>
      </c>
    </row>
    <row r="33" spans="1:14" ht="60" customHeight="1" x14ac:dyDescent="0.35">
      <c r="A33" s="11" t="s">
        <v>156</v>
      </c>
      <c r="B33" s="1" t="s">
        <v>157</v>
      </c>
      <c r="C33" s="2" t="s">
        <v>16</v>
      </c>
      <c r="D33" s="3" t="s">
        <v>47</v>
      </c>
      <c r="E33" s="4" t="s">
        <v>18</v>
      </c>
      <c r="F33" s="4" t="s">
        <v>19</v>
      </c>
      <c r="G33" s="4" t="s">
        <v>20</v>
      </c>
      <c r="H33" s="4" t="s">
        <v>21</v>
      </c>
      <c r="I33" s="5" t="s">
        <v>21</v>
      </c>
      <c r="J33" s="1" t="s">
        <v>158</v>
      </c>
      <c r="K33" s="1" t="s">
        <v>159</v>
      </c>
      <c r="L33" s="1" t="s">
        <v>160</v>
      </c>
      <c r="M33" s="4" t="str">
        <f t="shared" si="0"/>
        <v>Outstanding</v>
      </c>
      <c r="N33" s="13" t="s">
        <v>21</v>
      </c>
    </row>
    <row r="34" spans="1:14" ht="60" customHeight="1" x14ac:dyDescent="0.35">
      <c r="A34" s="11" t="s">
        <v>161</v>
      </c>
      <c r="B34" s="1" t="s">
        <v>162</v>
      </c>
      <c r="C34" s="2" t="s">
        <v>163</v>
      </c>
      <c r="D34" s="3" t="s">
        <v>47</v>
      </c>
      <c r="E34" s="4" t="s">
        <v>18</v>
      </c>
      <c r="F34" s="4" t="s">
        <v>19</v>
      </c>
      <c r="G34" s="4" t="s">
        <v>20</v>
      </c>
      <c r="H34" s="4" t="s">
        <v>21</v>
      </c>
      <c r="I34" s="5" t="s">
        <v>21</v>
      </c>
      <c r="J34" s="1" t="s">
        <v>164</v>
      </c>
      <c r="K34" s="1" t="s">
        <v>165</v>
      </c>
      <c r="L34" s="1" t="s">
        <v>166</v>
      </c>
      <c r="M34" s="4" t="str">
        <f t="shared" si="0"/>
        <v>Outstanding</v>
      </c>
      <c r="N34" s="13" t="s">
        <v>21</v>
      </c>
    </row>
    <row r="35" spans="1:14" ht="60" customHeight="1" x14ac:dyDescent="0.35">
      <c r="A35" s="11" t="s">
        <v>167</v>
      </c>
      <c r="B35" s="1" t="s">
        <v>168</v>
      </c>
      <c r="C35" s="2" t="s">
        <v>16</v>
      </c>
      <c r="D35" s="3" t="s">
        <v>47</v>
      </c>
      <c r="E35" s="4" t="s">
        <v>18</v>
      </c>
      <c r="F35" s="4" t="s">
        <v>19</v>
      </c>
      <c r="G35" s="4" t="s">
        <v>20</v>
      </c>
      <c r="H35" s="4" t="s">
        <v>21</v>
      </c>
      <c r="I35" s="5" t="s">
        <v>21</v>
      </c>
      <c r="J35" s="1" t="s">
        <v>169</v>
      </c>
      <c r="K35" s="1" t="s">
        <v>170</v>
      </c>
      <c r="L35" s="1" t="s">
        <v>171</v>
      </c>
      <c r="M35" s="4" t="str">
        <f t="shared" si="0"/>
        <v>Outstanding</v>
      </c>
      <c r="N35" s="13" t="s">
        <v>21</v>
      </c>
    </row>
    <row r="36" spans="1:14" ht="60" customHeight="1" x14ac:dyDescent="0.35">
      <c r="A36" s="11" t="s">
        <v>172</v>
      </c>
      <c r="B36" s="1" t="s">
        <v>173</v>
      </c>
      <c r="C36" s="2" t="s">
        <v>16</v>
      </c>
      <c r="D36" s="3" t="s">
        <v>47</v>
      </c>
      <c r="E36" s="4" t="s">
        <v>18</v>
      </c>
      <c r="F36" s="4" t="s">
        <v>19</v>
      </c>
      <c r="G36" s="4" t="s">
        <v>20</v>
      </c>
      <c r="H36" s="4" t="s">
        <v>21</v>
      </c>
      <c r="I36" s="5" t="s">
        <v>21</v>
      </c>
      <c r="J36" s="1" t="s">
        <v>174</v>
      </c>
      <c r="K36" s="1" t="s">
        <v>175</v>
      </c>
      <c r="L36" s="1" t="s">
        <v>176</v>
      </c>
      <c r="M36" s="4" t="str">
        <f t="shared" si="0"/>
        <v>Outstanding</v>
      </c>
      <c r="N36" s="13" t="s">
        <v>21</v>
      </c>
    </row>
    <row r="37" spans="1:14" ht="60" customHeight="1" x14ac:dyDescent="0.35">
      <c r="A37" s="11" t="s">
        <v>177</v>
      </c>
      <c r="B37" s="1" t="s">
        <v>178</v>
      </c>
      <c r="C37" s="2" t="s">
        <v>16</v>
      </c>
      <c r="D37" s="3" t="s">
        <v>47</v>
      </c>
      <c r="E37" s="4" t="s">
        <v>18</v>
      </c>
      <c r="F37" s="4" t="s">
        <v>19</v>
      </c>
      <c r="G37" s="4" t="s">
        <v>20</v>
      </c>
      <c r="H37" s="4" t="s">
        <v>21</v>
      </c>
      <c r="I37" s="5" t="s">
        <v>21</v>
      </c>
      <c r="J37" s="1" t="s">
        <v>179</v>
      </c>
      <c r="K37" s="1" t="s">
        <v>180</v>
      </c>
      <c r="L37" s="1" t="s">
        <v>181</v>
      </c>
      <c r="M37" s="4" t="str">
        <f t="shared" si="0"/>
        <v>Outstanding</v>
      </c>
      <c r="N37" s="13" t="s">
        <v>21</v>
      </c>
    </row>
    <row r="38" spans="1:14" ht="60" customHeight="1" x14ac:dyDescent="0.35">
      <c r="A38" s="11" t="s">
        <v>182</v>
      </c>
      <c r="B38" s="1" t="s">
        <v>183</v>
      </c>
      <c r="C38" s="2" t="s">
        <v>16</v>
      </c>
      <c r="D38" s="3" t="s">
        <v>47</v>
      </c>
      <c r="E38" s="4" t="s">
        <v>18</v>
      </c>
      <c r="F38" s="4" t="s">
        <v>19</v>
      </c>
      <c r="G38" s="4" t="s">
        <v>20</v>
      </c>
      <c r="H38" s="4" t="s">
        <v>21</v>
      </c>
      <c r="I38" s="5" t="s">
        <v>21</v>
      </c>
      <c r="J38" s="1" t="s">
        <v>184</v>
      </c>
      <c r="K38" s="1" t="s">
        <v>185</v>
      </c>
      <c r="L38" s="1" t="s">
        <v>186</v>
      </c>
      <c r="M38" s="4" t="str">
        <f t="shared" si="0"/>
        <v>Outstanding</v>
      </c>
      <c r="N38" s="13" t="s">
        <v>21</v>
      </c>
    </row>
    <row r="39" spans="1:14" ht="60" customHeight="1" x14ac:dyDescent="0.35">
      <c r="A39" s="11" t="s">
        <v>187</v>
      </c>
      <c r="B39" s="1" t="s">
        <v>188</v>
      </c>
      <c r="C39" s="2" t="s">
        <v>16</v>
      </c>
      <c r="D39" s="3" t="s">
        <v>47</v>
      </c>
      <c r="E39" s="4" t="s">
        <v>18</v>
      </c>
      <c r="F39" s="4" t="s">
        <v>19</v>
      </c>
      <c r="G39" s="4" t="s">
        <v>20</v>
      </c>
      <c r="H39" s="4" t="s">
        <v>21</v>
      </c>
      <c r="I39" s="5" t="s">
        <v>21</v>
      </c>
      <c r="J39" s="1" t="s">
        <v>189</v>
      </c>
      <c r="K39" s="1" t="s">
        <v>190</v>
      </c>
      <c r="L39" s="1" t="s">
        <v>191</v>
      </c>
      <c r="M39" s="4" t="str">
        <f t="shared" si="0"/>
        <v>Outstanding</v>
      </c>
      <c r="N39" s="13" t="s">
        <v>21</v>
      </c>
    </row>
    <row r="40" spans="1:14" ht="60" customHeight="1" x14ac:dyDescent="0.35">
      <c r="A40" s="11" t="s">
        <v>192</v>
      </c>
      <c r="B40" s="1" t="s">
        <v>193</v>
      </c>
      <c r="C40" s="2" t="s">
        <v>16</v>
      </c>
      <c r="D40" s="3" t="s">
        <v>47</v>
      </c>
      <c r="E40" s="4" t="s">
        <v>18</v>
      </c>
      <c r="F40" s="4" t="s">
        <v>19</v>
      </c>
      <c r="G40" s="4" t="s">
        <v>20</v>
      </c>
      <c r="H40" s="4" t="s">
        <v>21</v>
      </c>
      <c r="I40" s="5" t="s">
        <v>21</v>
      </c>
      <c r="J40" s="1" t="s">
        <v>189</v>
      </c>
      <c r="K40" s="1" t="s">
        <v>194</v>
      </c>
      <c r="L40" s="1" t="s">
        <v>191</v>
      </c>
      <c r="M40" s="4" t="str">
        <f t="shared" si="0"/>
        <v>Outstanding</v>
      </c>
      <c r="N40" s="13" t="s">
        <v>21</v>
      </c>
    </row>
    <row r="41" spans="1:14" ht="60" customHeight="1" x14ac:dyDescent="0.35">
      <c r="A41" s="11" t="s">
        <v>195</v>
      </c>
      <c r="B41" s="1" t="s">
        <v>196</v>
      </c>
      <c r="C41" s="2" t="s">
        <v>16</v>
      </c>
      <c r="D41" s="3" t="s">
        <v>47</v>
      </c>
      <c r="E41" s="4" t="s">
        <v>18</v>
      </c>
      <c r="F41" s="4" t="s">
        <v>19</v>
      </c>
      <c r="G41" s="4" t="s">
        <v>20</v>
      </c>
      <c r="H41" s="4" t="s">
        <v>21</v>
      </c>
      <c r="I41" s="5" t="s">
        <v>21</v>
      </c>
      <c r="J41" s="1" t="s">
        <v>197</v>
      </c>
      <c r="K41" s="1" t="s">
        <v>198</v>
      </c>
      <c r="L41" s="1" t="s">
        <v>199</v>
      </c>
      <c r="M41" s="4" t="str">
        <f t="shared" si="0"/>
        <v>Outstanding</v>
      </c>
      <c r="N41" s="13" t="s">
        <v>21</v>
      </c>
    </row>
    <row r="42" spans="1:14" ht="60" customHeight="1" x14ac:dyDescent="0.35">
      <c r="A42" s="11" t="s">
        <v>200</v>
      </c>
      <c r="B42" s="1" t="s">
        <v>201</v>
      </c>
      <c r="C42" s="2" t="s">
        <v>16</v>
      </c>
      <c r="D42" s="3" t="s">
        <v>47</v>
      </c>
      <c r="E42" s="4" t="s">
        <v>18</v>
      </c>
      <c r="F42" s="4" t="s">
        <v>19</v>
      </c>
      <c r="G42" s="4" t="s">
        <v>20</v>
      </c>
      <c r="H42" s="4" t="s">
        <v>21</v>
      </c>
      <c r="I42" s="5" t="s">
        <v>21</v>
      </c>
      <c r="J42" s="1" t="s">
        <v>197</v>
      </c>
      <c r="K42" s="1" t="s">
        <v>202</v>
      </c>
      <c r="L42" s="1" t="s">
        <v>199</v>
      </c>
      <c r="M42" s="4" t="str">
        <f t="shared" si="0"/>
        <v>Outstanding</v>
      </c>
      <c r="N42" s="13" t="s">
        <v>21</v>
      </c>
    </row>
    <row r="43" spans="1:14" ht="60" customHeight="1" x14ac:dyDescent="0.35">
      <c r="A43" s="11" t="s">
        <v>203</v>
      </c>
      <c r="B43" s="1" t="s">
        <v>204</v>
      </c>
      <c r="C43" s="2" t="s">
        <v>16</v>
      </c>
      <c r="D43" s="3" t="s">
        <v>47</v>
      </c>
      <c r="E43" s="4" t="s">
        <v>18</v>
      </c>
      <c r="F43" s="4" t="s">
        <v>19</v>
      </c>
      <c r="G43" s="4" t="s">
        <v>20</v>
      </c>
      <c r="H43" s="4" t="s">
        <v>21</v>
      </c>
      <c r="I43" s="5" t="s">
        <v>21</v>
      </c>
      <c r="J43" s="1" t="s">
        <v>205</v>
      </c>
      <c r="K43" s="1" t="s">
        <v>206</v>
      </c>
      <c r="L43" s="1" t="s">
        <v>207</v>
      </c>
      <c r="M43" s="4" t="str">
        <f t="shared" si="0"/>
        <v>Outstanding</v>
      </c>
      <c r="N43" s="13" t="s">
        <v>21</v>
      </c>
    </row>
    <row r="44" spans="1:14" ht="60" customHeight="1" x14ac:dyDescent="0.35">
      <c r="A44" s="11" t="s">
        <v>208</v>
      </c>
      <c r="B44" s="1" t="s">
        <v>209</v>
      </c>
      <c r="C44" s="2" t="s">
        <v>16</v>
      </c>
      <c r="D44" s="3" t="s">
        <v>47</v>
      </c>
      <c r="E44" s="4" t="s">
        <v>18</v>
      </c>
      <c r="F44" s="4" t="s">
        <v>19</v>
      </c>
      <c r="G44" s="4" t="s">
        <v>20</v>
      </c>
      <c r="H44" s="4" t="s">
        <v>21</v>
      </c>
      <c r="I44" s="5" t="s">
        <v>21</v>
      </c>
      <c r="J44" s="1" t="s">
        <v>74</v>
      </c>
      <c r="K44" s="1" t="s">
        <v>210</v>
      </c>
      <c r="L44" s="1" t="s">
        <v>211</v>
      </c>
      <c r="M44" s="4" t="str">
        <f t="shared" si="0"/>
        <v>Outstanding</v>
      </c>
      <c r="N44" s="13" t="s">
        <v>21</v>
      </c>
    </row>
    <row r="45" spans="1:14" ht="60" customHeight="1" x14ac:dyDescent="0.35">
      <c r="A45" s="11" t="s">
        <v>212</v>
      </c>
      <c r="B45" s="1" t="s">
        <v>213</v>
      </c>
      <c r="C45" s="2" t="s">
        <v>16</v>
      </c>
      <c r="D45" s="3" t="s">
        <v>47</v>
      </c>
      <c r="E45" s="4" t="s">
        <v>18</v>
      </c>
      <c r="F45" s="4" t="s">
        <v>19</v>
      </c>
      <c r="G45" s="4" t="s">
        <v>20</v>
      </c>
      <c r="H45" s="4" t="s">
        <v>21</v>
      </c>
      <c r="I45" s="5" t="s">
        <v>21</v>
      </c>
      <c r="J45" s="1" t="s">
        <v>58</v>
      </c>
      <c r="K45" s="1" t="s">
        <v>214</v>
      </c>
      <c r="L45" s="1" t="s">
        <v>117</v>
      </c>
      <c r="M45" s="4" t="str">
        <f t="shared" si="0"/>
        <v>Outstanding</v>
      </c>
      <c r="N45" s="13" t="s">
        <v>21</v>
      </c>
    </row>
    <row r="46" spans="1:14" ht="60" customHeight="1" x14ac:dyDescent="0.35">
      <c r="A46" s="11" t="s">
        <v>215</v>
      </c>
      <c r="B46" s="1" t="s">
        <v>216</v>
      </c>
      <c r="C46" s="2" t="s">
        <v>16</v>
      </c>
      <c r="D46" s="3" t="s">
        <v>47</v>
      </c>
      <c r="E46" s="4" t="s">
        <v>18</v>
      </c>
      <c r="F46" s="4" t="s">
        <v>19</v>
      </c>
      <c r="G46" s="4" t="s">
        <v>20</v>
      </c>
      <c r="H46" s="4" t="s">
        <v>21</v>
      </c>
      <c r="I46" s="5" t="s">
        <v>21</v>
      </c>
      <c r="J46" s="1" t="s">
        <v>144</v>
      </c>
      <c r="K46" s="1" t="s">
        <v>217</v>
      </c>
      <c r="L46" s="1" t="s">
        <v>146</v>
      </c>
      <c r="M46" s="4" t="str">
        <f t="shared" si="0"/>
        <v>Outstanding</v>
      </c>
      <c r="N46" s="13" t="s">
        <v>21</v>
      </c>
    </row>
    <row r="47" spans="1:14" ht="60" customHeight="1" x14ac:dyDescent="0.35">
      <c r="A47" s="11" t="s">
        <v>218</v>
      </c>
      <c r="B47" s="1" t="s">
        <v>219</v>
      </c>
      <c r="C47" s="2" t="s">
        <v>16</v>
      </c>
      <c r="D47" s="3" t="s">
        <v>47</v>
      </c>
      <c r="E47" s="4" t="s">
        <v>18</v>
      </c>
      <c r="F47" s="4" t="s">
        <v>19</v>
      </c>
      <c r="G47" s="4" t="s">
        <v>20</v>
      </c>
      <c r="H47" s="4" t="s">
        <v>21</v>
      </c>
      <c r="I47" s="5" t="s">
        <v>21</v>
      </c>
      <c r="J47" s="1" t="s">
        <v>220</v>
      </c>
      <c r="K47" s="1" t="s">
        <v>221</v>
      </c>
      <c r="L47" s="1" t="s">
        <v>222</v>
      </c>
      <c r="M47" s="4" t="str">
        <f t="shared" si="0"/>
        <v>Outstanding</v>
      </c>
      <c r="N47" s="13" t="s">
        <v>21</v>
      </c>
    </row>
    <row r="48" spans="1:14" ht="60" customHeight="1" x14ac:dyDescent="0.35">
      <c r="A48" s="11" t="s">
        <v>223</v>
      </c>
      <c r="B48" s="1" t="s">
        <v>224</v>
      </c>
      <c r="C48" s="2" t="s">
        <v>163</v>
      </c>
      <c r="D48" s="3" t="s">
        <v>47</v>
      </c>
      <c r="E48" s="4" t="s">
        <v>18</v>
      </c>
      <c r="F48" s="4" t="s">
        <v>19</v>
      </c>
      <c r="G48" s="4" t="s">
        <v>20</v>
      </c>
      <c r="H48" s="4" t="s">
        <v>21</v>
      </c>
      <c r="I48" s="5" t="s">
        <v>21</v>
      </c>
      <c r="J48" s="1" t="s">
        <v>225</v>
      </c>
      <c r="K48" s="1" t="s">
        <v>226</v>
      </c>
      <c r="L48" s="1" t="s">
        <v>227</v>
      </c>
      <c r="M48" s="4" t="str">
        <f t="shared" si="0"/>
        <v>Outstanding</v>
      </c>
      <c r="N48" s="13" t="s">
        <v>21</v>
      </c>
    </row>
    <row r="49" spans="1:14" ht="60" customHeight="1" x14ac:dyDescent="0.35">
      <c r="A49" s="11" t="s">
        <v>228</v>
      </c>
      <c r="B49" s="1" t="s">
        <v>229</v>
      </c>
      <c r="C49" s="2" t="s">
        <v>16</v>
      </c>
      <c r="D49" s="3" t="s">
        <v>47</v>
      </c>
      <c r="E49" s="4" t="s">
        <v>18</v>
      </c>
      <c r="F49" s="4" t="s">
        <v>19</v>
      </c>
      <c r="G49" s="4" t="s">
        <v>20</v>
      </c>
      <c r="H49" s="4" t="s">
        <v>21</v>
      </c>
      <c r="I49" s="5" t="s">
        <v>21</v>
      </c>
      <c r="J49" s="1" t="s">
        <v>63</v>
      </c>
      <c r="K49" s="1" t="s">
        <v>230</v>
      </c>
      <c r="L49" s="1" t="s">
        <v>231</v>
      </c>
      <c r="M49" s="4" t="str">
        <f t="shared" si="0"/>
        <v>Outstanding</v>
      </c>
      <c r="N49" s="13" t="s">
        <v>21</v>
      </c>
    </row>
    <row r="50" spans="1:14" ht="60" customHeight="1" x14ac:dyDescent="0.35">
      <c r="A50" s="11" t="s">
        <v>232</v>
      </c>
      <c r="B50" s="1" t="s">
        <v>233</v>
      </c>
      <c r="C50" s="2" t="s">
        <v>16</v>
      </c>
      <c r="D50" s="3" t="s">
        <v>47</v>
      </c>
      <c r="E50" s="4" t="s">
        <v>18</v>
      </c>
      <c r="F50" s="4" t="s">
        <v>19</v>
      </c>
      <c r="G50" s="4" t="s">
        <v>20</v>
      </c>
      <c r="H50" s="4" t="s">
        <v>21</v>
      </c>
      <c r="I50" s="5" t="s">
        <v>21</v>
      </c>
      <c r="J50" s="1" t="s">
        <v>63</v>
      </c>
      <c r="K50" s="1" t="s">
        <v>234</v>
      </c>
      <c r="L50" s="1" t="s">
        <v>231</v>
      </c>
      <c r="M50" s="4" t="str">
        <f t="shared" si="0"/>
        <v>Outstanding</v>
      </c>
      <c r="N50" s="13" t="s">
        <v>21</v>
      </c>
    </row>
    <row r="51" spans="1:14" ht="60" customHeight="1" x14ac:dyDescent="0.35">
      <c r="A51" s="11" t="s">
        <v>235</v>
      </c>
      <c r="B51" s="1" t="s">
        <v>236</v>
      </c>
      <c r="C51" s="2" t="s">
        <v>16</v>
      </c>
      <c r="D51" s="3" t="s">
        <v>47</v>
      </c>
      <c r="E51" s="4" t="s">
        <v>18</v>
      </c>
      <c r="F51" s="4" t="s">
        <v>19</v>
      </c>
      <c r="G51" s="4" t="s">
        <v>20</v>
      </c>
      <c r="H51" s="4" t="s">
        <v>21</v>
      </c>
      <c r="I51" s="5" t="s">
        <v>21</v>
      </c>
      <c r="J51" s="1" t="s">
        <v>63</v>
      </c>
      <c r="K51" s="1" t="s">
        <v>237</v>
      </c>
      <c r="L51" s="1" t="s">
        <v>231</v>
      </c>
      <c r="M51" s="4" t="str">
        <f t="shared" si="0"/>
        <v>Outstanding</v>
      </c>
      <c r="N51" s="13" t="s">
        <v>21</v>
      </c>
    </row>
    <row r="52" spans="1:14" ht="60" customHeight="1" x14ac:dyDescent="0.35">
      <c r="A52" s="11" t="s">
        <v>238</v>
      </c>
      <c r="B52" s="1" t="s">
        <v>239</v>
      </c>
      <c r="C52" s="2" t="s">
        <v>16</v>
      </c>
      <c r="D52" s="3" t="s">
        <v>47</v>
      </c>
      <c r="E52" s="4" t="s">
        <v>18</v>
      </c>
      <c r="F52" s="4" t="s">
        <v>19</v>
      </c>
      <c r="G52" s="4" t="s">
        <v>20</v>
      </c>
      <c r="H52" s="4" t="s">
        <v>21</v>
      </c>
      <c r="I52" s="5" t="s">
        <v>21</v>
      </c>
      <c r="J52" s="1" t="s">
        <v>63</v>
      </c>
      <c r="K52" s="1" t="s">
        <v>240</v>
      </c>
      <c r="L52" s="1" t="s">
        <v>231</v>
      </c>
      <c r="M52" s="4" t="str">
        <f t="shared" si="0"/>
        <v>Outstanding</v>
      </c>
      <c r="N52" s="13" t="s">
        <v>21</v>
      </c>
    </row>
    <row r="53" spans="1:14" ht="60" customHeight="1" x14ac:dyDescent="0.35">
      <c r="A53" s="11" t="s">
        <v>241</v>
      </c>
      <c r="B53" s="1" t="s">
        <v>242</v>
      </c>
      <c r="C53" s="2" t="s">
        <v>16</v>
      </c>
      <c r="D53" s="3" t="s">
        <v>47</v>
      </c>
      <c r="E53" s="4" t="s">
        <v>18</v>
      </c>
      <c r="F53" s="4" t="s">
        <v>19</v>
      </c>
      <c r="G53" s="4" t="s">
        <v>20</v>
      </c>
      <c r="H53" s="4" t="s">
        <v>21</v>
      </c>
      <c r="I53" s="5" t="s">
        <v>21</v>
      </c>
      <c r="J53" s="1" t="s">
        <v>63</v>
      </c>
      <c r="K53" s="1" t="s">
        <v>243</v>
      </c>
      <c r="L53" s="1" t="s">
        <v>231</v>
      </c>
      <c r="M53" s="4" t="str">
        <f t="shared" si="0"/>
        <v>Outstanding</v>
      </c>
      <c r="N53" s="13" t="s">
        <v>21</v>
      </c>
    </row>
    <row r="54" spans="1:14" ht="60" customHeight="1" x14ac:dyDescent="0.35">
      <c r="A54" s="11" t="s">
        <v>244</v>
      </c>
      <c r="B54" s="1" t="s">
        <v>245</v>
      </c>
      <c r="C54" s="2" t="s">
        <v>16</v>
      </c>
      <c r="D54" s="3" t="s">
        <v>47</v>
      </c>
      <c r="E54" s="4" t="s">
        <v>18</v>
      </c>
      <c r="F54" s="4" t="s">
        <v>19</v>
      </c>
      <c r="G54" s="4" t="s">
        <v>20</v>
      </c>
      <c r="H54" s="4" t="s">
        <v>21</v>
      </c>
      <c r="I54" s="5" t="s">
        <v>21</v>
      </c>
      <c r="J54" s="1" t="s">
        <v>63</v>
      </c>
      <c r="K54" s="1" t="s">
        <v>246</v>
      </c>
      <c r="L54" s="1" t="s">
        <v>231</v>
      </c>
      <c r="M54" s="4" t="str">
        <f t="shared" si="0"/>
        <v>Outstanding</v>
      </c>
      <c r="N54" s="13" t="s">
        <v>21</v>
      </c>
    </row>
    <row r="55" spans="1:14" ht="60" customHeight="1" x14ac:dyDescent="0.35">
      <c r="A55" s="11" t="s">
        <v>247</v>
      </c>
      <c r="B55" s="1" t="s">
        <v>248</v>
      </c>
      <c r="C55" s="2" t="s">
        <v>16</v>
      </c>
      <c r="D55" s="3" t="s">
        <v>47</v>
      </c>
      <c r="E55" s="4" t="s">
        <v>18</v>
      </c>
      <c r="F55" s="4" t="s">
        <v>19</v>
      </c>
      <c r="G55" s="4" t="s">
        <v>20</v>
      </c>
      <c r="H55" s="4" t="s">
        <v>21</v>
      </c>
      <c r="I55" s="5" t="s">
        <v>21</v>
      </c>
      <c r="J55" s="1" t="s">
        <v>63</v>
      </c>
      <c r="K55" s="1" t="s">
        <v>249</v>
      </c>
      <c r="L55" s="1" t="s">
        <v>231</v>
      </c>
      <c r="M55" s="4" t="str">
        <f t="shared" si="0"/>
        <v>Outstanding</v>
      </c>
      <c r="N55" s="13" t="s">
        <v>21</v>
      </c>
    </row>
    <row r="56" spans="1:14" ht="60" customHeight="1" x14ac:dyDescent="0.35">
      <c r="A56" s="11" t="s">
        <v>250</v>
      </c>
      <c r="B56" s="1" t="s">
        <v>251</v>
      </c>
      <c r="C56" s="2" t="s">
        <v>16</v>
      </c>
      <c r="D56" s="3" t="s">
        <v>47</v>
      </c>
      <c r="E56" s="4" t="s">
        <v>18</v>
      </c>
      <c r="F56" s="4" t="s">
        <v>19</v>
      </c>
      <c r="G56" s="4" t="s">
        <v>20</v>
      </c>
      <c r="H56" s="4" t="s">
        <v>21</v>
      </c>
      <c r="I56" s="5" t="s">
        <v>21</v>
      </c>
      <c r="J56" s="1" t="s">
        <v>63</v>
      </c>
      <c r="K56" s="1" t="s">
        <v>252</v>
      </c>
      <c r="L56" s="1" t="s">
        <v>231</v>
      </c>
      <c r="M56" s="4" t="str">
        <f t="shared" si="0"/>
        <v>Outstanding</v>
      </c>
      <c r="N56" s="13" t="s">
        <v>21</v>
      </c>
    </row>
    <row r="57" spans="1:14" ht="60" customHeight="1" x14ac:dyDescent="0.35">
      <c r="A57" s="11" t="s">
        <v>253</v>
      </c>
      <c r="B57" s="1" t="s">
        <v>254</v>
      </c>
      <c r="C57" s="2" t="s">
        <v>16</v>
      </c>
      <c r="D57" s="3" t="s">
        <v>47</v>
      </c>
      <c r="E57" s="4" t="s">
        <v>18</v>
      </c>
      <c r="F57" s="4" t="s">
        <v>19</v>
      </c>
      <c r="G57" s="4" t="s">
        <v>20</v>
      </c>
      <c r="H57" s="4" t="s">
        <v>21</v>
      </c>
      <c r="I57" s="5" t="s">
        <v>21</v>
      </c>
      <c r="J57" s="1" t="s">
        <v>63</v>
      </c>
      <c r="K57" s="1" t="s">
        <v>255</v>
      </c>
      <c r="L57" s="1" t="s">
        <v>231</v>
      </c>
      <c r="M57" s="4" t="str">
        <f t="shared" si="0"/>
        <v>Outstanding</v>
      </c>
      <c r="N57" s="13" t="s">
        <v>21</v>
      </c>
    </row>
    <row r="58" spans="1:14" ht="60" customHeight="1" x14ac:dyDescent="0.35">
      <c r="A58" s="11" t="s">
        <v>256</v>
      </c>
      <c r="B58" s="1" t="s">
        <v>257</v>
      </c>
      <c r="C58" s="2" t="s">
        <v>16</v>
      </c>
      <c r="D58" s="3" t="s">
        <v>47</v>
      </c>
      <c r="E58" s="4" t="s">
        <v>18</v>
      </c>
      <c r="F58" s="4" t="s">
        <v>19</v>
      </c>
      <c r="G58" s="4" t="s">
        <v>20</v>
      </c>
      <c r="H58" s="4" t="s">
        <v>21</v>
      </c>
      <c r="I58" s="5" t="s">
        <v>21</v>
      </c>
      <c r="J58" s="1" t="s">
        <v>63</v>
      </c>
      <c r="K58" s="1" t="s">
        <v>258</v>
      </c>
      <c r="L58" s="1" t="s">
        <v>231</v>
      </c>
      <c r="M58" s="4" t="str">
        <f t="shared" si="0"/>
        <v>Outstanding</v>
      </c>
      <c r="N58" s="13" t="s">
        <v>21</v>
      </c>
    </row>
    <row r="59" spans="1:14" ht="60" customHeight="1" x14ac:dyDescent="0.35">
      <c r="A59" s="11" t="s">
        <v>259</v>
      </c>
      <c r="B59" s="1" t="s">
        <v>260</v>
      </c>
      <c r="C59" s="2" t="s">
        <v>16</v>
      </c>
      <c r="D59" s="3" t="s">
        <v>47</v>
      </c>
      <c r="E59" s="4" t="s">
        <v>18</v>
      </c>
      <c r="F59" s="4" t="s">
        <v>19</v>
      </c>
      <c r="G59" s="4" t="s">
        <v>20</v>
      </c>
      <c r="H59" s="4" t="s">
        <v>21</v>
      </c>
      <c r="I59" s="5" t="s">
        <v>21</v>
      </c>
      <c r="J59" s="1" t="s">
        <v>63</v>
      </c>
      <c r="K59" s="1" t="s">
        <v>261</v>
      </c>
      <c r="L59" s="1" t="s">
        <v>231</v>
      </c>
      <c r="M59" s="4" t="str">
        <f t="shared" si="0"/>
        <v>Outstanding</v>
      </c>
      <c r="N59" s="13" t="s">
        <v>21</v>
      </c>
    </row>
    <row r="60" spans="1:14" ht="60" customHeight="1" x14ac:dyDescent="0.35">
      <c r="A60" s="11" t="s">
        <v>262</v>
      </c>
      <c r="B60" s="1" t="s">
        <v>263</v>
      </c>
      <c r="C60" s="2" t="s">
        <v>16</v>
      </c>
      <c r="D60" s="3" t="s">
        <v>47</v>
      </c>
      <c r="E60" s="4" t="s">
        <v>18</v>
      </c>
      <c r="F60" s="4" t="s">
        <v>19</v>
      </c>
      <c r="G60" s="4" t="s">
        <v>20</v>
      </c>
      <c r="H60" s="4" t="s">
        <v>21</v>
      </c>
      <c r="I60" s="5" t="s">
        <v>21</v>
      </c>
      <c r="J60" s="1" t="s">
        <v>63</v>
      </c>
      <c r="K60" s="1" t="s">
        <v>264</v>
      </c>
      <c r="L60" s="1" t="s">
        <v>231</v>
      </c>
      <c r="M60" s="4" t="str">
        <f t="shared" si="0"/>
        <v>Outstanding</v>
      </c>
      <c r="N60" s="13" t="s">
        <v>21</v>
      </c>
    </row>
    <row r="61" spans="1:14" ht="60" customHeight="1" x14ac:dyDescent="0.35">
      <c r="A61" s="11" t="s">
        <v>265</v>
      </c>
      <c r="B61" s="1" t="s">
        <v>266</v>
      </c>
      <c r="C61" s="2" t="s">
        <v>16</v>
      </c>
      <c r="D61" s="3" t="s">
        <v>47</v>
      </c>
      <c r="E61" s="4" t="s">
        <v>18</v>
      </c>
      <c r="F61" s="4" t="s">
        <v>19</v>
      </c>
      <c r="G61" s="4" t="s">
        <v>20</v>
      </c>
      <c r="H61" s="4" t="s">
        <v>21</v>
      </c>
      <c r="I61" s="5" t="s">
        <v>21</v>
      </c>
      <c r="J61" s="1" t="s">
        <v>63</v>
      </c>
      <c r="K61" s="1" t="s">
        <v>267</v>
      </c>
      <c r="L61" s="1" t="s">
        <v>231</v>
      </c>
      <c r="M61" s="4" t="str">
        <f t="shared" si="0"/>
        <v>Outstanding</v>
      </c>
      <c r="N61" s="13" t="s">
        <v>21</v>
      </c>
    </row>
    <row r="62" spans="1:14" ht="60" customHeight="1" x14ac:dyDescent="0.35">
      <c r="A62" s="11" t="s">
        <v>268</v>
      </c>
      <c r="B62" s="1" t="s">
        <v>269</v>
      </c>
      <c r="C62" s="2" t="s">
        <v>16</v>
      </c>
      <c r="D62" s="3" t="s">
        <v>47</v>
      </c>
      <c r="E62" s="4" t="s">
        <v>18</v>
      </c>
      <c r="F62" s="4" t="s">
        <v>19</v>
      </c>
      <c r="G62" s="4" t="s">
        <v>20</v>
      </c>
      <c r="H62" s="4" t="s">
        <v>21</v>
      </c>
      <c r="I62" s="5" t="s">
        <v>21</v>
      </c>
      <c r="J62" s="1" t="s">
        <v>270</v>
      </c>
      <c r="K62" s="1" t="s">
        <v>271</v>
      </c>
      <c r="L62" s="1" t="s">
        <v>272</v>
      </c>
      <c r="M62" s="4" t="str">
        <f t="shared" si="0"/>
        <v>Outstanding</v>
      </c>
      <c r="N62" s="13" t="s">
        <v>21</v>
      </c>
    </row>
    <row r="63" spans="1:14" ht="60" customHeight="1" x14ac:dyDescent="0.35">
      <c r="A63" s="11" t="s">
        <v>273</v>
      </c>
      <c r="B63" s="1" t="s">
        <v>274</v>
      </c>
      <c r="C63" s="2" t="s">
        <v>16</v>
      </c>
      <c r="D63" s="3" t="s">
        <v>47</v>
      </c>
      <c r="E63" s="4" t="s">
        <v>18</v>
      </c>
      <c r="F63" s="4" t="s">
        <v>19</v>
      </c>
      <c r="G63" s="4" t="s">
        <v>20</v>
      </c>
      <c r="H63" s="4" t="s">
        <v>21</v>
      </c>
      <c r="I63" s="5" t="s">
        <v>21</v>
      </c>
      <c r="J63" s="1" t="s">
        <v>275</v>
      </c>
      <c r="K63" s="1" t="s">
        <v>276</v>
      </c>
      <c r="L63" s="1" t="s">
        <v>277</v>
      </c>
      <c r="M63" s="4" t="str">
        <f t="shared" si="0"/>
        <v>Outstanding</v>
      </c>
      <c r="N63" s="13" t="s">
        <v>21</v>
      </c>
    </row>
    <row r="64" spans="1:14" ht="60" customHeight="1" x14ac:dyDescent="0.35">
      <c r="A64" s="11" t="s">
        <v>278</v>
      </c>
      <c r="B64" s="1" t="s">
        <v>279</v>
      </c>
      <c r="C64" s="2" t="s">
        <v>16</v>
      </c>
      <c r="D64" s="3" t="s">
        <v>47</v>
      </c>
      <c r="E64" s="4" t="s">
        <v>18</v>
      </c>
      <c r="F64" s="4" t="s">
        <v>19</v>
      </c>
      <c r="G64" s="4" t="s">
        <v>20</v>
      </c>
      <c r="H64" s="4" t="s">
        <v>21</v>
      </c>
      <c r="I64" s="5" t="s">
        <v>21</v>
      </c>
      <c r="J64" s="1" t="s">
        <v>63</v>
      </c>
      <c r="K64" s="1" t="s">
        <v>280</v>
      </c>
      <c r="L64" s="1" t="s">
        <v>231</v>
      </c>
      <c r="M64" s="4" t="str">
        <f t="shared" si="0"/>
        <v>Outstanding</v>
      </c>
      <c r="N64" s="13" t="s">
        <v>21</v>
      </c>
    </row>
    <row r="65" spans="1:14" ht="60" customHeight="1" x14ac:dyDescent="0.35">
      <c r="A65" s="11" t="s">
        <v>281</v>
      </c>
      <c r="B65" s="1" t="s">
        <v>282</v>
      </c>
      <c r="C65" s="2" t="s">
        <v>16</v>
      </c>
      <c r="D65" s="3" t="s">
        <v>47</v>
      </c>
      <c r="E65" s="4" t="s">
        <v>18</v>
      </c>
      <c r="F65" s="4" t="s">
        <v>19</v>
      </c>
      <c r="G65" s="4" t="s">
        <v>20</v>
      </c>
      <c r="H65" s="4" t="s">
        <v>21</v>
      </c>
      <c r="I65" s="5" t="s">
        <v>21</v>
      </c>
      <c r="J65" s="1" t="s">
        <v>63</v>
      </c>
      <c r="K65" s="1" t="s">
        <v>283</v>
      </c>
      <c r="L65" s="1" t="s">
        <v>231</v>
      </c>
      <c r="M65" s="4" t="str">
        <f t="shared" si="0"/>
        <v>Outstanding</v>
      </c>
      <c r="N65" s="13" t="s">
        <v>21</v>
      </c>
    </row>
    <row r="66" spans="1:14" ht="60" customHeight="1" x14ac:dyDescent="0.35">
      <c r="A66" s="11" t="s">
        <v>284</v>
      </c>
      <c r="B66" s="1" t="s">
        <v>285</v>
      </c>
      <c r="C66" s="2" t="s">
        <v>16</v>
      </c>
      <c r="D66" s="3" t="s">
        <v>47</v>
      </c>
      <c r="E66" s="4" t="s">
        <v>18</v>
      </c>
      <c r="F66" s="4" t="s">
        <v>19</v>
      </c>
      <c r="G66" s="4" t="s">
        <v>20</v>
      </c>
      <c r="H66" s="4" t="s">
        <v>21</v>
      </c>
      <c r="I66" s="5" t="s">
        <v>21</v>
      </c>
      <c r="J66" s="1" t="s">
        <v>270</v>
      </c>
      <c r="K66" s="1" t="s">
        <v>286</v>
      </c>
      <c r="L66" s="1" t="s">
        <v>272</v>
      </c>
      <c r="M66" s="4" t="str">
        <f t="shared" si="0"/>
        <v>Outstanding</v>
      </c>
      <c r="N66" s="13" t="s">
        <v>21</v>
      </c>
    </row>
    <row r="67" spans="1:14" ht="60" customHeight="1" x14ac:dyDescent="0.35">
      <c r="A67" s="11" t="s">
        <v>287</v>
      </c>
      <c r="B67" s="1" t="s">
        <v>288</v>
      </c>
      <c r="C67" s="2" t="s">
        <v>16</v>
      </c>
      <c r="D67" s="3" t="s">
        <v>47</v>
      </c>
      <c r="E67" s="4" t="s">
        <v>18</v>
      </c>
      <c r="F67" s="4" t="s">
        <v>19</v>
      </c>
      <c r="G67" s="4" t="s">
        <v>20</v>
      </c>
      <c r="H67" s="4" t="s">
        <v>21</v>
      </c>
      <c r="I67" s="5" t="s">
        <v>21</v>
      </c>
      <c r="J67" s="1" t="s">
        <v>270</v>
      </c>
      <c r="K67" s="1" t="s">
        <v>289</v>
      </c>
      <c r="L67" s="1" t="s">
        <v>272</v>
      </c>
      <c r="M67" s="4" t="str">
        <f t="shared" si="0"/>
        <v>Outstanding</v>
      </c>
      <c r="N67" s="13" t="s">
        <v>21</v>
      </c>
    </row>
    <row r="68" spans="1:14" ht="60" customHeight="1" x14ac:dyDescent="0.35">
      <c r="A68" s="11" t="s">
        <v>290</v>
      </c>
      <c r="B68" s="1" t="s">
        <v>291</v>
      </c>
      <c r="C68" s="2" t="s">
        <v>16</v>
      </c>
      <c r="D68" s="3" t="s">
        <v>47</v>
      </c>
      <c r="E68" s="4" t="s">
        <v>18</v>
      </c>
      <c r="F68" s="4" t="s">
        <v>19</v>
      </c>
      <c r="G68" s="4" t="s">
        <v>20</v>
      </c>
      <c r="H68" s="4" t="s">
        <v>21</v>
      </c>
      <c r="I68" s="5" t="s">
        <v>21</v>
      </c>
      <c r="J68" s="1" t="s">
        <v>63</v>
      </c>
      <c r="K68" s="1" t="s">
        <v>292</v>
      </c>
      <c r="L68" s="1" t="s">
        <v>231</v>
      </c>
      <c r="M68" s="4" t="str">
        <f t="shared" si="0"/>
        <v>Outstanding</v>
      </c>
      <c r="N68" s="13" t="s">
        <v>21</v>
      </c>
    </row>
    <row r="69" spans="1:14" ht="60" customHeight="1" x14ac:dyDescent="0.35">
      <c r="A69" s="11" t="s">
        <v>293</v>
      </c>
      <c r="B69" s="1" t="s">
        <v>294</v>
      </c>
      <c r="C69" s="2" t="s">
        <v>16</v>
      </c>
      <c r="D69" s="3" t="s">
        <v>47</v>
      </c>
      <c r="E69" s="4" t="s">
        <v>18</v>
      </c>
      <c r="F69" s="4" t="s">
        <v>19</v>
      </c>
      <c r="G69" s="4" t="s">
        <v>20</v>
      </c>
      <c r="H69" s="4" t="s">
        <v>21</v>
      </c>
      <c r="I69" s="5" t="s">
        <v>21</v>
      </c>
      <c r="J69" s="1" t="s">
        <v>63</v>
      </c>
      <c r="K69" s="1" t="s">
        <v>295</v>
      </c>
      <c r="L69" s="1" t="s">
        <v>231</v>
      </c>
      <c r="M69" s="4" t="str">
        <f t="shared" si="0"/>
        <v>Outstanding</v>
      </c>
      <c r="N69" s="13" t="s">
        <v>21</v>
      </c>
    </row>
    <row r="70" spans="1:14" ht="60" customHeight="1" x14ac:dyDescent="0.35">
      <c r="A70" s="11" t="s">
        <v>296</v>
      </c>
      <c r="B70" s="1" t="s">
        <v>297</v>
      </c>
      <c r="C70" s="2" t="s">
        <v>16</v>
      </c>
      <c r="D70" s="3" t="s">
        <v>47</v>
      </c>
      <c r="E70" s="4" t="s">
        <v>18</v>
      </c>
      <c r="F70" s="4" t="s">
        <v>19</v>
      </c>
      <c r="G70" s="4" t="s">
        <v>20</v>
      </c>
      <c r="H70" s="4" t="s">
        <v>21</v>
      </c>
      <c r="I70" s="5" t="s">
        <v>21</v>
      </c>
      <c r="J70" s="1" t="s">
        <v>63</v>
      </c>
      <c r="K70" s="1" t="s">
        <v>298</v>
      </c>
      <c r="L70" s="1" t="s">
        <v>231</v>
      </c>
      <c r="M70" s="4" t="str">
        <f t="shared" si="0"/>
        <v>Outstanding</v>
      </c>
      <c r="N70" s="13" t="s">
        <v>21</v>
      </c>
    </row>
    <row r="71" spans="1:14" ht="60" customHeight="1" x14ac:dyDescent="0.35">
      <c r="A71" s="11" t="s">
        <v>299</v>
      </c>
      <c r="B71" s="1" t="s">
        <v>300</v>
      </c>
      <c r="C71" s="2" t="s">
        <v>163</v>
      </c>
      <c r="D71" s="3" t="s">
        <v>47</v>
      </c>
      <c r="E71" s="4" t="s">
        <v>18</v>
      </c>
      <c r="F71" s="4" t="s">
        <v>19</v>
      </c>
      <c r="G71" s="4" t="s">
        <v>20</v>
      </c>
      <c r="H71" s="4" t="s">
        <v>21</v>
      </c>
      <c r="I71" s="5" t="s">
        <v>21</v>
      </c>
      <c r="J71" s="1" t="s">
        <v>164</v>
      </c>
      <c r="K71" s="1" t="s">
        <v>301</v>
      </c>
      <c r="L71" s="1" t="s">
        <v>302</v>
      </c>
      <c r="M71" s="4" t="str">
        <f t="shared" si="0"/>
        <v>Outstanding</v>
      </c>
      <c r="N71" s="13" t="s">
        <v>21</v>
      </c>
    </row>
    <row r="72" spans="1:14" ht="60" customHeight="1" x14ac:dyDescent="0.35">
      <c r="A72" s="11" t="s">
        <v>303</v>
      </c>
      <c r="B72" s="1" t="s">
        <v>304</v>
      </c>
      <c r="C72" s="2" t="s">
        <v>163</v>
      </c>
      <c r="D72" s="3" t="s">
        <v>47</v>
      </c>
      <c r="E72" s="4" t="s">
        <v>18</v>
      </c>
      <c r="F72" s="4" t="s">
        <v>19</v>
      </c>
      <c r="G72" s="4" t="s">
        <v>20</v>
      </c>
      <c r="H72" s="4" t="s">
        <v>21</v>
      </c>
      <c r="I72" s="5" t="s">
        <v>21</v>
      </c>
      <c r="J72" s="1" t="s">
        <v>305</v>
      </c>
      <c r="K72" s="1" t="s">
        <v>301</v>
      </c>
      <c r="L72" s="1" t="s">
        <v>302</v>
      </c>
      <c r="M72" s="4" t="str">
        <f t="shared" si="0"/>
        <v>Outstanding</v>
      </c>
      <c r="N72" s="13" t="s">
        <v>21</v>
      </c>
    </row>
    <row r="73" spans="1:14" ht="60" customHeight="1" x14ac:dyDescent="0.35">
      <c r="A73" s="11" t="s">
        <v>306</v>
      </c>
      <c r="B73" s="1" t="s">
        <v>307</v>
      </c>
      <c r="C73" s="2" t="s">
        <v>163</v>
      </c>
      <c r="D73" s="3" t="s">
        <v>47</v>
      </c>
      <c r="E73" s="4" t="s">
        <v>18</v>
      </c>
      <c r="F73" s="4" t="s">
        <v>19</v>
      </c>
      <c r="G73" s="4" t="s">
        <v>20</v>
      </c>
      <c r="H73" s="4" t="s">
        <v>21</v>
      </c>
      <c r="I73" s="5" t="s">
        <v>21</v>
      </c>
      <c r="J73" s="1" t="s">
        <v>305</v>
      </c>
      <c r="K73" s="1" t="s">
        <v>308</v>
      </c>
      <c r="L73" s="1" t="s">
        <v>302</v>
      </c>
      <c r="M73" s="4" t="str">
        <f t="shared" si="0"/>
        <v>Outstanding</v>
      </c>
      <c r="N73" s="13" t="s">
        <v>21</v>
      </c>
    </row>
    <row r="74" spans="1:14" ht="60" customHeight="1" x14ac:dyDescent="0.35">
      <c r="A74" s="11" t="s">
        <v>309</v>
      </c>
      <c r="B74" s="1" t="s">
        <v>310</v>
      </c>
      <c r="C74" s="2" t="s">
        <v>16</v>
      </c>
      <c r="D74" s="3" t="s">
        <v>47</v>
      </c>
      <c r="E74" s="4" t="s">
        <v>18</v>
      </c>
      <c r="F74" s="4" t="s">
        <v>19</v>
      </c>
      <c r="G74" s="4" t="s">
        <v>20</v>
      </c>
      <c r="H74" s="4" t="s">
        <v>21</v>
      </c>
      <c r="I74" s="5" t="s">
        <v>21</v>
      </c>
      <c r="J74" s="1" t="s">
        <v>197</v>
      </c>
      <c r="K74" s="1" t="s">
        <v>311</v>
      </c>
      <c r="L74" s="1" t="s">
        <v>199</v>
      </c>
      <c r="M74" s="4" t="str">
        <f t="shared" si="0"/>
        <v>Outstanding</v>
      </c>
      <c r="N74" s="13" t="s">
        <v>21</v>
      </c>
    </row>
    <row r="75" spans="1:14" ht="60" customHeight="1" x14ac:dyDescent="0.35">
      <c r="A75" s="11" t="s">
        <v>312</v>
      </c>
      <c r="B75" s="1" t="s">
        <v>313</v>
      </c>
      <c r="C75" s="2" t="s">
        <v>16</v>
      </c>
      <c r="D75" s="3" t="s">
        <v>47</v>
      </c>
      <c r="E75" s="4" t="s">
        <v>18</v>
      </c>
      <c r="F75" s="4" t="s">
        <v>19</v>
      </c>
      <c r="G75" s="4" t="s">
        <v>20</v>
      </c>
      <c r="H75" s="4" t="s">
        <v>21</v>
      </c>
      <c r="I75" s="5" t="s">
        <v>21</v>
      </c>
      <c r="J75" s="1" t="s">
        <v>314</v>
      </c>
      <c r="K75" s="1" t="s">
        <v>315</v>
      </c>
      <c r="L75" s="1" t="s">
        <v>316</v>
      </c>
      <c r="M75" s="4" t="str">
        <f t="shared" si="0"/>
        <v>Outstanding</v>
      </c>
      <c r="N75" s="13" t="s">
        <v>21</v>
      </c>
    </row>
    <row r="76" spans="1:14" ht="60" customHeight="1" x14ac:dyDescent="0.35">
      <c r="A76" s="11" t="s">
        <v>317</v>
      </c>
      <c r="B76" s="1" t="s">
        <v>318</v>
      </c>
      <c r="C76" s="2" t="s">
        <v>16</v>
      </c>
      <c r="D76" s="3" t="s">
        <v>319</v>
      </c>
      <c r="E76" s="4" t="s">
        <v>18</v>
      </c>
      <c r="F76" s="4" t="s">
        <v>19</v>
      </c>
      <c r="G76" s="4" t="s">
        <v>20</v>
      </c>
      <c r="H76" s="4" t="s">
        <v>21</v>
      </c>
      <c r="I76" s="5" t="s">
        <v>21</v>
      </c>
      <c r="J76" s="1" t="s">
        <v>320</v>
      </c>
      <c r="K76" s="1" t="s">
        <v>321</v>
      </c>
      <c r="L76" s="1" t="s">
        <v>322</v>
      </c>
      <c r="M76" s="4" t="str">
        <f t="shared" si="0"/>
        <v>Outstanding</v>
      </c>
      <c r="N76" s="13" t="s">
        <v>21</v>
      </c>
    </row>
    <row r="77" spans="1:14" ht="60" customHeight="1" x14ac:dyDescent="0.35">
      <c r="A77" s="11" t="s">
        <v>323</v>
      </c>
      <c r="B77" s="1" t="s">
        <v>324</v>
      </c>
      <c r="C77" s="2" t="s">
        <v>16</v>
      </c>
      <c r="D77" s="3" t="s">
        <v>319</v>
      </c>
      <c r="E77" s="4" t="s">
        <v>18</v>
      </c>
      <c r="F77" s="4" t="s">
        <v>19</v>
      </c>
      <c r="G77" s="4" t="s">
        <v>20</v>
      </c>
      <c r="H77" s="4" t="s">
        <v>21</v>
      </c>
      <c r="I77" s="5" t="s">
        <v>21</v>
      </c>
      <c r="J77" s="1" t="s">
        <v>325</v>
      </c>
      <c r="K77" s="1" t="s">
        <v>326</v>
      </c>
      <c r="L77" s="1" t="s">
        <v>327</v>
      </c>
      <c r="M77" s="4" t="str">
        <f t="shared" si="0"/>
        <v>Outstanding</v>
      </c>
      <c r="N77" s="13" t="s">
        <v>21</v>
      </c>
    </row>
    <row r="78" spans="1:14" ht="60" customHeight="1" x14ac:dyDescent="0.35">
      <c r="A78" s="11" t="s">
        <v>328</v>
      </c>
      <c r="B78" s="1" t="s">
        <v>329</v>
      </c>
      <c r="C78" s="2" t="s">
        <v>16</v>
      </c>
      <c r="D78" s="3" t="s">
        <v>319</v>
      </c>
      <c r="E78" s="4" t="s">
        <v>18</v>
      </c>
      <c r="F78" s="4" t="s">
        <v>19</v>
      </c>
      <c r="G78" s="4" t="s">
        <v>20</v>
      </c>
      <c r="H78" s="4" t="s">
        <v>21</v>
      </c>
      <c r="I78" s="5" t="s">
        <v>21</v>
      </c>
      <c r="J78" s="1" t="s">
        <v>330</v>
      </c>
      <c r="K78" s="1" t="s">
        <v>331</v>
      </c>
      <c r="L78" s="1" t="s">
        <v>332</v>
      </c>
      <c r="M78" s="4" t="str">
        <f t="shared" si="0"/>
        <v>Outstanding</v>
      </c>
      <c r="N78" s="13" t="s">
        <v>21</v>
      </c>
    </row>
    <row r="79" spans="1:14" ht="60" customHeight="1" x14ac:dyDescent="0.35">
      <c r="A79" s="11" t="s">
        <v>333</v>
      </c>
      <c r="B79" s="1" t="s">
        <v>334</v>
      </c>
      <c r="C79" s="2" t="s">
        <v>16</v>
      </c>
      <c r="D79" s="3" t="s">
        <v>319</v>
      </c>
      <c r="E79" s="4" t="s">
        <v>18</v>
      </c>
      <c r="F79" s="4" t="s">
        <v>19</v>
      </c>
      <c r="G79" s="4" t="s">
        <v>20</v>
      </c>
      <c r="H79" s="4" t="s">
        <v>21</v>
      </c>
      <c r="I79" s="5" t="s">
        <v>21</v>
      </c>
      <c r="J79" s="1" t="s">
        <v>335</v>
      </c>
      <c r="K79" s="1" t="s">
        <v>331</v>
      </c>
      <c r="L79" s="1" t="s">
        <v>336</v>
      </c>
      <c r="M79" s="4" t="str">
        <f t="shared" si="0"/>
        <v>Outstanding</v>
      </c>
      <c r="N79" s="13" t="s">
        <v>21</v>
      </c>
    </row>
    <row r="80" spans="1:14" ht="60" customHeight="1" x14ac:dyDescent="0.35">
      <c r="A80" s="11" t="s">
        <v>337</v>
      </c>
      <c r="B80" s="1" t="s">
        <v>338</v>
      </c>
      <c r="C80" s="2" t="s">
        <v>16</v>
      </c>
      <c r="D80" s="3" t="s">
        <v>319</v>
      </c>
      <c r="E80" s="4" t="s">
        <v>18</v>
      </c>
      <c r="F80" s="4" t="s">
        <v>19</v>
      </c>
      <c r="G80" s="4" t="s">
        <v>20</v>
      </c>
      <c r="H80" s="4" t="s">
        <v>21</v>
      </c>
      <c r="I80" s="5" t="s">
        <v>21</v>
      </c>
      <c r="J80" s="1" t="s">
        <v>339</v>
      </c>
      <c r="K80" s="1" t="s">
        <v>340</v>
      </c>
      <c r="L80" s="1" t="s">
        <v>341</v>
      </c>
      <c r="M80" s="4" t="str">
        <f t="shared" si="0"/>
        <v>Outstanding</v>
      </c>
      <c r="N80" s="13" t="s">
        <v>21</v>
      </c>
    </row>
    <row r="81" spans="1:14" ht="60" customHeight="1" x14ac:dyDescent="0.35">
      <c r="A81" s="11" t="s">
        <v>342</v>
      </c>
      <c r="B81" s="1" t="s">
        <v>343</v>
      </c>
      <c r="C81" s="2" t="s">
        <v>16</v>
      </c>
      <c r="D81" s="3" t="s">
        <v>319</v>
      </c>
      <c r="E81" s="4" t="s">
        <v>18</v>
      </c>
      <c r="F81" s="4" t="s">
        <v>19</v>
      </c>
      <c r="G81" s="4" t="s">
        <v>20</v>
      </c>
      <c r="H81" s="4" t="s">
        <v>21</v>
      </c>
      <c r="I81" s="5" t="s">
        <v>21</v>
      </c>
      <c r="J81" s="1" t="s">
        <v>344</v>
      </c>
      <c r="K81" s="1" t="s">
        <v>345</v>
      </c>
      <c r="L81" s="1" t="s">
        <v>346</v>
      </c>
      <c r="M81" s="4" t="str">
        <f t="shared" si="0"/>
        <v>Outstanding</v>
      </c>
      <c r="N81" s="13" t="s">
        <v>21</v>
      </c>
    </row>
    <row r="82" spans="1:14" ht="60" customHeight="1" x14ac:dyDescent="0.35">
      <c r="A82" s="11" t="s">
        <v>347</v>
      </c>
      <c r="B82" s="1" t="s">
        <v>348</v>
      </c>
      <c r="C82" s="2" t="s">
        <v>96</v>
      </c>
      <c r="D82" s="3" t="s">
        <v>319</v>
      </c>
      <c r="E82" s="4" t="s">
        <v>18</v>
      </c>
      <c r="F82" s="4" t="s">
        <v>19</v>
      </c>
      <c r="G82" s="4" t="s">
        <v>20</v>
      </c>
      <c r="H82" s="4" t="s">
        <v>21</v>
      </c>
      <c r="I82" s="5" t="s">
        <v>21</v>
      </c>
      <c r="J82" s="1" t="s">
        <v>349</v>
      </c>
      <c r="K82" s="1" t="s">
        <v>350</v>
      </c>
      <c r="L82" s="1" t="s">
        <v>351</v>
      </c>
      <c r="M82" s="4" t="str">
        <f t="shared" si="0"/>
        <v>Outstanding</v>
      </c>
      <c r="N82" s="13" t="s">
        <v>21</v>
      </c>
    </row>
    <row r="83" spans="1:14" ht="60" customHeight="1" x14ac:dyDescent="0.35">
      <c r="A83" s="11" t="s">
        <v>352</v>
      </c>
      <c r="B83" s="1" t="s">
        <v>353</v>
      </c>
      <c r="C83" s="2" t="s">
        <v>16</v>
      </c>
      <c r="D83" s="3" t="s">
        <v>319</v>
      </c>
      <c r="E83" s="4" t="s">
        <v>18</v>
      </c>
      <c r="F83" s="4" t="s">
        <v>19</v>
      </c>
      <c r="G83" s="4" t="s">
        <v>20</v>
      </c>
      <c r="H83" s="4" t="s">
        <v>21</v>
      </c>
      <c r="I83" s="5" t="s">
        <v>21</v>
      </c>
      <c r="J83" s="1" t="s">
        <v>354</v>
      </c>
      <c r="K83" s="1" t="s">
        <v>355</v>
      </c>
      <c r="L83" s="1" t="s">
        <v>356</v>
      </c>
      <c r="M83" s="4" t="str">
        <f t="shared" si="0"/>
        <v>Outstanding</v>
      </c>
      <c r="N83" s="13" t="s">
        <v>21</v>
      </c>
    </row>
    <row r="84" spans="1:14" ht="60" customHeight="1" x14ac:dyDescent="0.35">
      <c r="A84" s="11" t="s">
        <v>357</v>
      </c>
      <c r="B84" s="1" t="s">
        <v>358</v>
      </c>
      <c r="C84" s="2" t="s">
        <v>16</v>
      </c>
      <c r="D84" s="3" t="s">
        <v>319</v>
      </c>
      <c r="E84" s="4" t="s">
        <v>18</v>
      </c>
      <c r="F84" s="4" t="s">
        <v>19</v>
      </c>
      <c r="G84" s="4" t="s">
        <v>20</v>
      </c>
      <c r="H84" s="4" t="s">
        <v>21</v>
      </c>
      <c r="I84" s="5" t="s">
        <v>21</v>
      </c>
      <c r="J84" s="1" t="s">
        <v>359</v>
      </c>
      <c r="K84" s="1" t="s">
        <v>355</v>
      </c>
      <c r="L84" s="1" t="s">
        <v>360</v>
      </c>
      <c r="M84" s="4" t="str">
        <f t="shared" si="0"/>
        <v>Outstanding</v>
      </c>
      <c r="N84" s="13" t="s">
        <v>21</v>
      </c>
    </row>
    <row r="85" spans="1:14" ht="60" customHeight="1" x14ac:dyDescent="0.35">
      <c r="A85" s="11" t="s">
        <v>361</v>
      </c>
      <c r="B85" s="1" t="s">
        <v>362</v>
      </c>
      <c r="C85" s="2" t="s">
        <v>16</v>
      </c>
      <c r="D85" s="3" t="s">
        <v>319</v>
      </c>
      <c r="E85" s="4" t="s">
        <v>18</v>
      </c>
      <c r="F85" s="4" t="s">
        <v>19</v>
      </c>
      <c r="G85" s="4" t="s">
        <v>20</v>
      </c>
      <c r="H85" s="4" t="s">
        <v>21</v>
      </c>
      <c r="I85" s="5" t="s">
        <v>21</v>
      </c>
      <c r="J85" s="1" t="s">
        <v>363</v>
      </c>
      <c r="K85" s="1" t="s">
        <v>364</v>
      </c>
      <c r="L85" s="1" t="s">
        <v>365</v>
      </c>
      <c r="M85" s="4" t="str">
        <f t="shared" si="0"/>
        <v>Outstanding</v>
      </c>
      <c r="N85" s="13" t="s">
        <v>21</v>
      </c>
    </row>
    <row r="86" spans="1:14" ht="60" customHeight="1" x14ac:dyDescent="0.35">
      <c r="A86" s="11" t="s">
        <v>366</v>
      </c>
      <c r="B86" s="1" t="s">
        <v>367</v>
      </c>
      <c r="C86" s="2" t="s">
        <v>16</v>
      </c>
      <c r="D86" s="3" t="s">
        <v>319</v>
      </c>
      <c r="E86" s="4" t="s">
        <v>18</v>
      </c>
      <c r="F86" s="4" t="s">
        <v>19</v>
      </c>
      <c r="G86" s="4" t="s">
        <v>20</v>
      </c>
      <c r="H86" s="4" t="s">
        <v>21</v>
      </c>
      <c r="I86" s="5" t="s">
        <v>21</v>
      </c>
      <c r="J86" s="1" t="s">
        <v>368</v>
      </c>
      <c r="K86" s="1" t="s">
        <v>369</v>
      </c>
      <c r="L86" s="1" t="s">
        <v>370</v>
      </c>
      <c r="M86" s="4" t="str">
        <f t="shared" si="0"/>
        <v>Outstanding</v>
      </c>
      <c r="N86" s="13" t="s">
        <v>21</v>
      </c>
    </row>
    <row r="87" spans="1:14" ht="60" customHeight="1" x14ac:dyDescent="0.35">
      <c r="A87" s="11" t="s">
        <v>371</v>
      </c>
      <c r="B87" s="1" t="s">
        <v>372</v>
      </c>
      <c r="C87" s="2" t="s">
        <v>16</v>
      </c>
      <c r="D87" s="3" t="s">
        <v>319</v>
      </c>
      <c r="E87" s="4" t="s">
        <v>18</v>
      </c>
      <c r="F87" s="4" t="s">
        <v>19</v>
      </c>
      <c r="G87" s="4" t="s">
        <v>20</v>
      </c>
      <c r="H87" s="4" t="s">
        <v>21</v>
      </c>
      <c r="I87" s="5" t="s">
        <v>21</v>
      </c>
      <c r="J87" s="1" t="s">
        <v>373</v>
      </c>
      <c r="K87" s="1" t="s">
        <v>369</v>
      </c>
      <c r="L87" s="1" t="s">
        <v>374</v>
      </c>
      <c r="M87" s="4" t="str">
        <f t="shared" si="0"/>
        <v>Outstanding</v>
      </c>
      <c r="N87" s="13" t="s">
        <v>21</v>
      </c>
    </row>
    <row r="88" spans="1:14" ht="60" customHeight="1" x14ac:dyDescent="0.35">
      <c r="A88" s="11" t="s">
        <v>375</v>
      </c>
      <c r="B88" s="1" t="s">
        <v>376</v>
      </c>
      <c r="C88" s="2" t="s">
        <v>16</v>
      </c>
      <c r="D88" s="3" t="s">
        <v>319</v>
      </c>
      <c r="E88" s="4" t="s">
        <v>18</v>
      </c>
      <c r="F88" s="4" t="s">
        <v>19</v>
      </c>
      <c r="G88" s="4" t="s">
        <v>20</v>
      </c>
      <c r="H88" s="4" t="s">
        <v>21</v>
      </c>
      <c r="I88" s="5" t="s">
        <v>21</v>
      </c>
      <c r="J88" s="1" t="s">
        <v>377</v>
      </c>
      <c r="K88" s="1" t="s">
        <v>378</v>
      </c>
      <c r="L88" s="1" t="s">
        <v>379</v>
      </c>
      <c r="M88" s="4" t="str">
        <f t="shared" si="0"/>
        <v>Outstanding</v>
      </c>
      <c r="N88" s="13" t="s">
        <v>21</v>
      </c>
    </row>
    <row r="89" spans="1:14" ht="60" customHeight="1" x14ac:dyDescent="0.35">
      <c r="A89" s="11" t="s">
        <v>380</v>
      </c>
      <c r="B89" s="1" t="s">
        <v>381</v>
      </c>
      <c r="C89" s="2" t="s">
        <v>16</v>
      </c>
      <c r="D89" s="3" t="s">
        <v>319</v>
      </c>
      <c r="E89" s="4" t="s">
        <v>18</v>
      </c>
      <c r="F89" s="4" t="s">
        <v>19</v>
      </c>
      <c r="G89" s="4" t="s">
        <v>20</v>
      </c>
      <c r="H89" s="4" t="s">
        <v>21</v>
      </c>
      <c r="I89" s="5" t="s">
        <v>21</v>
      </c>
      <c r="J89" s="1" t="s">
        <v>382</v>
      </c>
      <c r="K89" s="1" t="s">
        <v>383</v>
      </c>
      <c r="L89" s="1" t="s">
        <v>384</v>
      </c>
      <c r="M89" s="4" t="str">
        <f t="shared" si="0"/>
        <v>Outstanding</v>
      </c>
      <c r="N89" s="13" t="s">
        <v>21</v>
      </c>
    </row>
    <row r="90" spans="1:14" ht="60" customHeight="1" x14ac:dyDescent="0.35">
      <c r="A90" s="11" t="s">
        <v>385</v>
      </c>
      <c r="B90" s="1" t="s">
        <v>386</v>
      </c>
      <c r="C90" s="2" t="s">
        <v>16</v>
      </c>
      <c r="D90" s="3" t="s">
        <v>319</v>
      </c>
      <c r="E90" s="4" t="s">
        <v>18</v>
      </c>
      <c r="F90" s="4" t="s">
        <v>19</v>
      </c>
      <c r="G90" s="4" t="s">
        <v>20</v>
      </c>
      <c r="H90" s="4" t="s">
        <v>21</v>
      </c>
      <c r="I90" s="5" t="s">
        <v>21</v>
      </c>
      <c r="J90" s="1" t="s">
        <v>387</v>
      </c>
      <c r="K90" s="1" t="s">
        <v>388</v>
      </c>
      <c r="L90" s="1" t="s">
        <v>389</v>
      </c>
      <c r="M90" s="4" t="str">
        <f t="shared" si="0"/>
        <v>Outstanding</v>
      </c>
      <c r="N90" s="13" t="s">
        <v>21</v>
      </c>
    </row>
    <row r="91" spans="1:14" ht="60" customHeight="1" x14ac:dyDescent="0.35">
      <c r="A91" s="11" t="s">
        <v>390</v>
      </c>
      <c r="B91" s="1" t="s">
        <v>391</v>
      </c>
      <c r="C91" s="2" t="s">
        <v>16</v>
      </c>
      <c r="D91" s="3" t="s">
        <v>319</v>
      </c>
      <c r="E91" s="4" t="s">
        <v>18</v>
      </c>
      <c r="F91" s="4" t="s">
        <v>19</v>
      </c>
      <c r="G91" s="4" t="s">
        <v>20</v>
      </c>
      <c r="H91" s="4" t="s">
        <v>21</v>
      </c>
      <c r="I91" s="5" t="s">
        <v>21</v>
      </c>
      <c r="J91" s="1" t="s">
        <v>392</v>
      </c>
      <c r="K91" s="1" t="s">
        <v>393</v>
      </c>
      <c r="L91" s="1" t="s">
        <v>394</v>
      </c>
      <c r="M91" s="4" t="str">
        <f t="shared" si="0"/>
        <v>Outstanding</v>
      </c>
      <c r="N91" s="13" t="s">
        <v>21</v>
      </c>
    </row>
    <row r="92" spans="1:14" ht="60" customHeight="1" x14ac:dyDescent="0.35">
      <c r="A92" s="11" t="s">
        <v>395</v>
      </c>
      <c r="B92" s="1" t="s">
        <v>396</v>
      </c>
      <c r="C92" s="2" t="s">
        <v>16</v>
      </c>
      <c r="D92" s="3" t="s">
        <v>319</v>
      </c>
      <c r="E92" s="4" t="s">
        <v>18</v>
      </c>
      <c r="F92" s="4" t="s">
        <v>19</v>
      </c>
      <c r="G92" s="4" t="s">
        <v>20</v>
      </c>
      <c r="H92" s="4" t="s">
        <v>21</v>
      </c>
      <c r="I92" s="5" t="s">
        <v>21</v>
      </c>
      <c r="J92" s="1" t="s">
        <v>397</v>
      </c>
      <c r="K92" s="1" t="s">
        <v>393</v>
      </c>
      <c r="L92" s="1" t="s">
        <v>398</v>
      </c>
      <c r="M92" s="4" t="str">
        <f t="shared" si="0"/>
        <v>Outstanding</v>
      </c>
      <c r="N92" s="13" t="s">
        <v>21</v>
      </c>
    </row>
    <row r="93" spans="1:14" ht="60" customHeight="1" x14ac:dyDescent="0.35">
      <c r="A93" s="11" t="s">
        <v>399</v>
      </c>
      <c r="B93" s="1" t="s">
        <v>400</v>
      </c>
      <c r="C93" s="2" t="s">
        <v>16</v>
      </c>
      <c r="D93" s="3" t="s">
        <v>319</v>
      </c>
      <c r="E93" s="4" t="s">
        <v>18</v>
      </c>
      <c r="F93" s="4" t="s">
        <v>19</v>
      </c>
      <c r="G93" s="4" t="s">
        <v>20</v>
      </c>
      <c r="H93" s="4" t="s">
        <v>21</v>
      </c>
      <c r="I93" s="5" t="s">
        <v>21</v>
      </c>
      <c r="J93" s="1" t="s">
        <v>401</v>
      </c>
      <c r="K93" s="1" t="s">
        <v>402</v>
      </c>
      <c r="L93" s="1" t="s">
        <v>403</v>
      </c>
      <c r="M93" s="4" t="str">
        <f t="shared" si="0"/>
        <v>Outstanding</v>
      </c>
      <c r="N93" s="13" t="s">
        <v>21</v>
      </c>
    </row>
    <row r="94" spans="1:14" ht="60" customHeight="1" x14ac:dyDescent="0.35">
      <c r="A94" s="11" t="s">
        <v>404</v>
      </c>
      <c r="B94" s="1" t="s">
        <v>405</v>
      </c>
      <c r="C94" s="2" t="s">
        <v>16</v>
      </c>
      <c r="D94" s="3" t="s">
        <v>319</v>
      </c>
      <c r="E94" s="4" t="s">
        <v>18</v>
      </c>
      <c r="F94" s="4" t="s">
        <v>19</v>
      </c>
      <c r="G94" s="4" t="s">
        <v>20</v>
      </c>
      <c r="H94" s="4" t="s">
        <v>21</v>
      </c>
      <c r="I94" s="5" t="s">
        <v>21</v>
      </c>
      <c r="J94" s="1" t="s">
        <v>401</v>
      </c>
      <c r="K94" s="1" t="s">
        <v>406</v>
      </c>
      <c r="L94" s="1" t="s">
        <v>403</v>
      </c>
      <c r="M94" s="4" t="str">
        <f t="shared" si="0"/>
        <v>Outstanding</v>
      </c>
      <c r="N94" s="13" t="s">
        <v>21</v>
      </c>
    </row>
    <row r="95" spans="1:14" ht="60" customHeight="1" x14ac:dyDescent="0.35">
      <c r="A95" s="11" t="s">
        <v>407</v>
      </c>
      <c r="B95" s="1" t="s">
        <v>408</v>
      </c>
      <c r="C95" s="2" t="s">
        <v>16</v>
      </c>
      <c r="D95" s="3" t="s">
        <v>319</v>
      </c>
      <c r="E95" s="4" t="s">
        <v>18</v>
      </c>
      <c r="F95" s="4" t="s">
        <v>19</v>
      </c>
      <c r="G95" s="4" t="s">
        <v>20</v>
      </c>
      <c r="H95" s="4" t="s">
        <v>21</v>
      </c>
      <c r="I95" s="5" t="s">
        <v>21</v>
      </c>
      <c r="J95" s="1" t="s">
        <v>409</v>
      </c>
      <c r="K95" s="1" t="s">
        <v>406</v>
      </c>
      <c r="L95" s="1" t="s">
        <v>410</v>
      </c>
      <c r="M95" s="4" t="str">
        <f t="shared" si="0"/>
        <v>Outstanding</v>
      </c>
      <c r="N95" s="13" t="s">
        <v>21</v>
      </c>
    </row>
    <row r="96" spans="1:14" ht="60" customHeight="1" x14ac:dyDescent="0.35">
      <c r="A96" s="11" t="s">
        <v>411</v>
      </c>
      <c r="B96" s="1" t="s">
        <v>412</v>
      </c>
      <c r="C96" s="2" t="s">
        <v>16</v>
      </c>
      <c r="D96" s="3" t="s">
        <v>319</v>
      </c>
      <c r="E96" s="4" t="s">
        <v>18</v>
      </c>
      <c r="F96" s="4" t="s">
        <v>19</v>
      </c>
      <c r="G96" s="4" t="s">
        <v>20</v>
      </c>
      <c r="H96" s="4" t="s">
        <v>21</v>
      </c>
      <c r="I96" s="5" t="s">
        <v>21</v>
      </c>
      <c r="J96" s="1" t="s">
        <v>413</v>
      </c>
      <c r="K96" s="1" t="s">
        <v>414</v>
      </c>
      <c r="L96" s="1" t="s">
        <v>415</v>
      </c>
      <c r="M96" s="4" t="str">
        <f t="shared" si="0"/>
        <v>Outstanding</v>
      </c>
      <c r="N96" s="13" t="s">
        <v>21</v>
      </c>
    </row>
    <row r="97" spans="1:14" ht="60" customHeight="1" x14ac:dyDescent="0.35">
      <c r="A97" s="11" t="s">
        <v>416</v>
      </c>
      <c r="B97" s="1" t="s">
        <v>417</v>
      </c>
      <c r="C97" s="2" t="s">
        <v>16</v>
      </c>
      <c r="D97" s="3" t="s">
        <v>319</v>
      </c>
      <c r="E97" s="4" t="s">
        <v>18</v>
      </c>
      <c r="F97" s="4" t="s">
        <v>19</v>
      </c>
      <c r="G97" s="4" t="s">
        <v>20</v>
      </c>
      <c r="H97" s="4" t="s">
        <v>21</v>
      </c>
      <c r="I97" s="5" t="s">
        <v>21</v>
      </c>
      <c r="J97" s="1" t="s">
        <v>418</v>
      </c>
      <c r="K97" s="1" t="s">
        <v>419</v>
      </c>
      <c r="L97" s="1" t="s">
        <v>420</v>
      </c>
      <c r="M97" s="4" t="str">
        <f t="shared" si="0"/>
        <v>Outstanding</v>
      </c>
      <c r="N97" s="13" t="s">
        <v>21</v>
      </c>
    </row>
    <row r="98" spans="1:14" ht="60" customHeight="1" x14ac:dyDescent="0.35">
      <c r="A98" s="11" t="s">
        <v>421</v>
      </c>
      <c r="B98" s="1" t="s">
        <v>422</v>
      </c>
      <c r="C98" s="2" t="s">
        <v>16</v>
      </c>
      <c r="D98" s="3" t="s">
        <v>319</v>
      </c>
      <c r="E98" s="4" t="s">
        <v>18</v>
      </c>
      <c r="F98" s="4" t="s">
        <v>19</v>
      </c>
      <c r="G98" s="4" t="s">
        <v>20</v>
      </c>
      <c r="H98" s="4" t="s">
        <v>21</v>
      </c>
      <c r="I98" s="5" t="s">
        <v>21</v>
      </c>
      <c r="J98" s="1" t="s">
        <v>423</v>
      </c>
      <c r="K98" s="1" t="s">
        <v>419</v>
      </c>
      <c r="L98" s="1" t="s">
        <v>424</v>
      </c>
      <c r="M98" s="4" t="str">
        <f t="shared" si="0"/>
        <v>Outstanding</v>
      </c>
      <c r="N98" s="13" t="s">
        <v>21</v>
      </c>
    </row>
    <row r="99" spans="1:14" ht="60" customHeight="1" x14ac:dyDescent="0.35">
      <c r="A99" s="11" t="s">
        <v>425</v>
      </c>
      <c r="B99" s="1" t="s">
        <v>426</v>
      </c>
      <c r="C99" s="2" t="s">
        <v>16</v>
      </c>
      <c r="D99" s="3" t="s">
        <v>319</v>
      </c>
      <c r="E99" s="4" t="s">
        <v>18</v>
      </c>
      <c r="F99" s="4" t="s">
        <v>19</v>
      </c>
      <c r="G99" s="4" t="s">
        <v>20</v>
      </c>
      <c r="H99" s="4" t="s">
        <v>21</v>
      </c>
      <c r="I99" s="5" t="s">
        <v>21</v>
      </c>
      <c r="J99" s="1" t="s">
        <v>427</v>
      </c>
      <c r="K99" s="1" t="s">
        <v>428</v>
      </c>
      <c r="L99" s="1" t="s">
        <v>429</v>
      </c>
      <c r="M99" s="4" t="str">
        <f t="shared" si="0"/>
        <v>Outstanding</v>
      </c>
      <c r="N99" s="13" t="s">
        <v>21</v>
      </c>
    </row>
    <row r="100" spans="1:14" ht="60" customHeight="1" x14ac:dyDescent="0.35">
      <c r="A100" s="11" t="s">
        <v>430</v>
      </c>
      <c r="B100" s="1" t="s">
        <v>431</v>
      </c>
      <c r="C100" s="2" t="s">
        <v>16</v>
      </c>
      <c r="D100" s="3" t="s">
        <v>319</v>
      </c>
      <c r="E100" s="4" t="s">
        <v>18</v>
      </c>
      <c r="F100" s="4" t="s">
        <v>19</v>
      </c>
      <c r="G100" s="4" t="s">
        <v>20</v>
      </c>
      <c r="H100" s="4" t="s">
        <v>21</v>
      </c>
      <c r="I100" s="5" t="s">
        <v>21</v>
      </c>
      <c r="J100" s="1" t="s">
        <v>432</v>
      </c>
      <c r="K100" s="1" t="s">
        <v>419</v>
      </c>
      <c r="L100" s="1" t="s">
        <v>433</v>
      </c>
      <c r="M100" s="4" t="str">
        <f t="shared" si="0"/>
        <v>Outstanding</v>
      </c>
      <c r="N100" s="13" t="s">
        <v>21</v>
      </c>
    </row>
    <row r="101" spans="1:14" ht="60" customHeight="1" x14ac:dyDescent="0.35">
      <c r="A101" s="11" t="s">
        <v>434</v>
      </c>
      <c r="B101" s="1" t="s">
        <v>435</v>
      </c>
      <c r="C101" s="2" t="s">
        <v>16</v>
      </c>
      <c r="D101" s="3" t="s">
        <v>319</v>
      </c>
      <c r="E101" s="4" t="s">
        <v>18</v>
      </c>
      <c r="F101" s="4" t="s">
        <v>19</v>
      </c>
      <c r="G101" s="4" t="s">
        <v>20</v>
      </c>
      <c r="H101" s="4" t="s">
        <v>21</v>
      </c>
      <c r="I101" s="5" t="s">
        <v>21</v>
      </c>
      <c r="J101" s="1" t="s">
        <v>436</v>
      </c>
      <c r="K101" s="1" t="s">
        <v>428</v>
      </c>
      <c r="L101" s="1" t="s">
        <v>437</v>
      </c>
      <c r="M101" s="4" t="str">
        <f t="shared" si="0"/>
        <v>Outstanding</v>
      </c>
      <c r="N101" s="13" t="s">
        <v>21</v>
      </c>
    </row>
    <row r="102" spans="1:14" ht="60" customHeight="1" x14ac:dyDescent="0.35">
      <c r="A102" s="11" t="s">
        <v>438</v>
      </c>
      <c r="B102" s="1" t="s">
        <v>439</v>
      </c>
      <c r="C102" s="2" t="s">
        <v>16</v>
      </c>
      <c r="D102" s="3" t="s">
        <v>319</v>
      </c>
      <c r="E102" s="4" t="s">
        <v>18</v>
      </c>
      <c r="F102" s="4" t="s">
        <v>19</v>
      </c>
      <c r="G102" s="4" t="s">
        <v>20</v>
      </c>
      <c r="H102" s="4" t="s">
        <v>21</v>
      </c>
      <c r="I102" s="5" t="s">
        <v>21</v>
      </c>
      <c r="J102" s="1" t="s">
        <v>440</v>
      </c>
      <c r="K102" s="1" t="s">
        <v>428</v>
      </c>
      <c r="L102" s="1" t="s">
        <v>441</v>
      </c>
      <c r="M102" s="4" t="str">
        <f t="shared" si="0"/>
        <v>Outstanding</v>
      </c>
      <c r="N102" s="13" t="s">
        <v>21</v>
      </c>
    </row>
    <row r="103" spans="1:14" ht="60" customHeight="1" x14ac:dyDescent="0.35">
      <c r="A103" s="11" t="s">
        <v>442</v>
      </c>
      <c r="B103" s="1" t="s">
        <v>443</v>
      </c>
      <c r="C103" s="2" t="s">
        <v>16</v>
      </c>
      <c r="D103" s="3" t="s">
        <v>319</v>
      </c>
      <c r="E103" s="4" t="s">
        <v>18</v>
      </c>
      <c r="F103" s="4" t="s">
        <v>19</v>
      </c>
      <c r="G103" s="4" t="s">
        <v>20</v>
      </c>
      <c r="H103" s="4" t="s">
        <v>21</v>
      </c>
      <c r="I103" s="5" t="s">
        <v>21</v>
      </c>
      <c r="J103" s="1" t="s">
        <v>444</v>
      </c>
      <c r="K103" s="1" t="s">
        <v>445</v>
      </c>
      <c r="L103" s="1" t="s">
        <v>446</v>
      </c>
      <c r="M103" s="4" t="str">
        <f t="shared" si="0"/>
        <v>Outstanding</v>
      </c>
      <c r="N103" s="13" t="s">
        <v>21</v>
      </c>
    </row>
    <row r="104" spans="1:14" ht="60" customHeight="1" x14ac:dyDescent="0.35">
      <c r="A104" s="11" t="s">
        <v>447</v>
      </c>
      <c r="B104" s="1" t="s">
        <v>448</v>
      </c>
      <c r="C104" s="2" t="s">
        <v>16</v>
      </c>
      <c r="D104" s="3" t="s">
        <v>319</v>
      </c>
      <c r="E104" s="4" t="s">
        <v>18</v>
      </c>
      <c r="F104" s="4" t="s">
        <v>19</v>
      </c>
      <c r="G104" s="4" t="s">
        <v>20</v>
      </c>
      <c r="H104" s="4" t="s">
        <v>21</v>
      </c>
      <c r="I104" s="5" t="s">
        <v>21</v>
      </c>
      <c r="J104" s="1" t="s">
        <v>449</v>
      </c>
      <c r="K104" s="1" t="s">
        <v>445</v>
      </c>
      <c r="L104" s="1" t="s">
        <v>450</v>
      </c>
      <c r="M104" s="4" t="str">
        <f t="shared" si="0"/>
        <v>Outstanding</v>
      </c>
      <c r="N104" s="13" t="s">
        <v>21</v>
      </c>
    </row>
    <row r="105" spans="1:14" ht="60" customHeight="1" x14ac:dyDescent="0.35">
      <c r="A105" s="11" t="s">
        <v>451</v>
      </c>
      <c r="B105" s="1" t="s">
        <v>452</v>
      </c>
      <c r="C105" s="2" t="s">
        <v>16</v>
      </c>
      <c r="D105" s="3" t="s">
        <v>319</v>
      </c>
      <c r="E105" s="4" t="s">
        <v>18</v>
      </c>
      <c r="F105" s="4" t="s">
        <v>19</v>
      </c>
      <c r="G105" s="4" t="s">
        <v>20</v>
      </c>
      <c r="H105" s="4" t="s">
        <v>21</v>
      </c>
      <c r="I105" s="5" t="s">
        <v>21</v>
      </c>
      <c r="J105" s="1" t="s">
        <v>453</v>
      </c>
      <c r="K105" s="1" t="s">
        <v>445</v>
      </c>
      <c r="L105" s="1" t="s">
        <v>454</v>
      </c>
      <c r="M105" s="4" t="str">
        <f t="shared" si="0"/>
        <v>Outstanding</v>
      </c>
      <c r="N105" s="13" t="s">
        <v>21</v>
      </c>
    </row>
    <row r="106" spans="1:14" ht="60" customHeight="1" x14ac:dyDescent="0.35">
      <c r="A106" s="11" t="s">
        <v>455</v>
      </c>
      <c r="B106" s="1" t="s">
        <v>456</v>
      </c>
      <c r="C106" s="2" t="s">
        <v>16</v>
      </c>
      <c r="D106" s="3" t="s">
        <v>319</v>
      </c>
      <c r="E106" s="4" t="s">
        <v>18</v>
      </c>
      <c r="F106" s="4" t="s">
        <v>19</v>
      </c>
      <c r="G106" s="4" t="s">
        <v>20</v>
      </c>
      <c r="H106" s="4" t="s">
        <v>21</v>
      </c>
      <c r="I106" s="5" t="s">
        <v>21</v>
      </c>
      <c r="J106" s="1" t="s">
        <v>457</v>
      </c>
      <c r="K106" s="1" t="s">
        <v>445</v>
      </c>
      <c r="L106" s="1" t="s">
        <v>458</v>
      </c>
      <c r="M106" s="4" t="str">
        <f t="shared" si="0"/>
        <v>Outstanding</v>
      </c>
      <c r="N106" s="13" t="s">
        <v>21</v>
      </c>
    </row>
    <row r="107" spans="1:14" ht="60" customHeight="1" x14ac:dyDescent="0.35">
      <c r="A107" s="11" t="s">
        <v>459</v>
      </c>
      <c r="B107" s="1" t="s">
        <v>460</v>
      </c>
      <c r="C107" s="2" t="s">
        <v>16</v>
      </c>
      <c r="D107" s="3" t="s">
        <v>319</v>
      </c>
      <c r="E107" s="4" t="s">
        <v>18</v>
      </c>
      <c r="F107" s="4" t="s">
        <v>19</v>
      </c>
      <c r="G107" s="4" t="s">
        <v>20</v>
      </c>
      <c r="H107" s="4" t="s">
        <v>21</v>
      </c>
      <c r="I107" s="5" t="s">
        <v>21</v>
      </c>
      <c r="J107" s="1" t="s">
        <v>461</v>
      </c>
      <c r="K107" s="1" t="s">
        <v>445</v>
      </c>
      <c r="L107" s="1" t="s">
        <v>462</v>
      </c>
      <c r="M107" s="4" t="str">
        <f t="shared" si="0"/>
        <v>Outstanding</v>
      </c>
      <c r="N107" s="13" t="s">
        <v>21</v>
      </c>
    </row>
    <row r="108" spans="1:14" ht="60" customHeight="1" x14ac:dyDescent="0.35">
      <c r="A108" s="11" t="s">
        <v>463</v>
      </c>
      <c r="B108" s="1" t="s">
        <v>464</v>
      </c>
      <c r="C108" s="2" t="s">
        <v>16</v>
      </c>
      <c r="D108" s="3" t="s">
        <v>319</v>
      </c>
      <c r="E108" s="4" t="s">
        <v>18</v>
      </c>
      <c r="F108" s="4" t="s">
        <v>19</v>
      </c>
      <c r="G108" s="4" t="s">
        <v>20</v>
      </c>
      <c r="H108" s="4" t="s">
        <v>21</v>
      </c>
      <c r="I108" s="5" t="s">
        <v>21</v>
      </c>
      <c r="J108" s="1" t="s">
        <v>465</v>
      </c>
      <c r="K108" s="1" t="s">
        <v>445</v>
      </c>
      <c r="L108" s="1" t="s">
        <v>466</v>
      </c>
      <c r="M108" s="4" t="str">
        <f t="shared" si="0"/>
        <v>Outstanding</v>
      </c>
      <c r="N108" s="13" t="s">
        <v>21</v>
      </c>
    </row>
    <row r="109" spans="1:14" ht="60" customHeight="1" x14ac:dyDescent="0.35">
      <c r="A109" s="11" t="s">
        <v>467</v>
      </c>
      <c r="B109" s="1" t="s">
        <v>468</v>
      </c>
      <c r="C109" s="2" t="s">
        <v>16</v>
      </c>
      <c r="D109" s="3" t="s">
        <v>319</v>
      </c>
      <c r="E109" s="4" t="s">
        <v>18</v>
      </c>
      <c r="F109" s="4" t="s">
        <v>19</v>
      </c>
      <c r="G109" s="4" t="s">
        <v>20</v>
      </c>
      <c r="H109" s="4" t="s">
        <v>21</v>
      </c>
      <c r="I109" s="5" t="s">
        <v>21</v>
      </c>
      <c r="J109" s="1" t="s">
        <v>469</v>
      </c>
      <c r="K109" s="1" t="s">
        <v>470</v>
      </c>
      <c r="L109" s="1" t="s">
        <v>471</v>
      </c>
      <c r="M109" s="4" t="str">
        <f t="shared" si="0"/>
        <v>Outstanding</v>
      </c>
      <c r="N109" s="13" t="s">
        <v>21</v>
      </c>
    </row>
    <row r="110" spans="1:14" ht="60" customHeight="1" x14ac:dyDescent="0.35">
      <c r="A110" s="11" t="s">
        <v>472</v>
      </c>
      <c r="B110" s="1" t="s">
        <v>473</v>
      </c>
      <c r="C110" s="2" t="s">
        <v>16</v>
      </c>
      <c r="D110" s="3" t="s">
        <v>319</v>
      </c>
      <c r="E110" s="4" t="s">
        <v>18</v>
      </c>
      <c r="F110" s="4" t="s">
        <v>19</v>
      </c>
      <c r="G110" s="4" t="s">
        <v>20</v>
      </c>
      <c r="H110" s="4" t="s">
        <v>21</v>
      </c>
      <c r="I110" s="5" t="s">
        <v>21</v>
      </c>
      <c r="J110" s="1" t="s">
        <v>474</v>
      </c>
      <c r="K110" s="1" t="s">
        <v>470</v>
      </c>
      <c r="L110" s="1" t="s">
        <v>475</v>
      </c>
      <c r="M110" s="4" t="str">
        <f t="shared" si="0"/>
        <v>Outstanding</v>
      </c>
      <c r="N110" s="13" t="s">
        <v>21</v>
      </c>
    </row>
    <row r="111" spans="1:14" ht="60" customHeight="1" x14ac:dyDescent="0.35">
      <c r="A111" s="11" t="s">
        <v>476</v>
      </c>
      <c r="B111" s="1" t="s">
        <v>477</v>
      </c>
      <c r="C111" s="2" t="s">
        <v>16</v>
      </c>
      <c r="D111" s="3" t="s">
        <v>319</v>
      </c>
      <c r="E111" s="4" t="s">
        <v>18</v>
      </c>
      <c r="F111" s="4" t="s">
        <v>19</v>
      </c>
      <c r="G111" s="4" t="s">
        <v>20</v>
      </c>
      <c r="H111" s="4" t="s">
        <v>21</v>
      </c>
      <c r="I111" s="5" t="s">
        <v>21</v>
      </c>
      <c r="J111" s="1" t="s">
        <v>478</v>
      </c>
      <c r="K111" s="1" t="s">
        <v>470</v>
      </c>
      <c r="L111" s="1" t="s">
        <v>479</v>
      </c>
      <c r="M111" s="4" t="str">
        <f t="shared" si="0"/>
        <v>Outstanding</v>
      </c>
      <c r="N111" s="13" t="s">
        <v>21</v>
      </c>
    </row>
    <row r="112" spans="1:14" ht="60" customHeight="1" x14ac:dyDescent="0.35">
      <c r="A112" s="11" t="s">
        <v>480</v>
      </c>
      <c r="B112" s="1" t="s">
        <v>481</v>
      </c>
      <c r="C112" s="2" t="s">
        <v>16</v>
      </c>
      <c r="D112" s="3" t="s">
        <v>319</v>
      </c>
      <c r="E112" s="4" t="s">
        <v>18</v>
      </c>
      <c r="F112" s="4" t="s">
        <v>19</v>
      </c>
      <c r="G112" s="4" t="s">
        <v>20</v>
      </c>
      <c r="H112" s="4" t="s">
        <v>21</v>
      </c>
      <c r="I112" s="5" t="s">
        <v>21</v>
      </c>
      <c r="J112" s="1" t="s">
        <v>482</v>
      </c>
      <c r="K112" s="1" t="s">
        <v>483</v>
      </c>
      <c r="L112" s="1" t="s">
        <v>484</v>
      </c>
      <c r="M112" s="4" t="str">
        <f t="shared" si="0"/>
        <v>Outstanding</v>
      </c>
      <c r="N112" s="13" t="s">
        <v>21</v>
      </c>
    </row>
    <row r="113" spans="1:14" ht="60" customHeight="1" x14ac:dyDescent="0.35">
      <c r="A113" s="11" t="s">
        <v>485</v>
      </c>
      <c r="B113" s="1" t="s">
        <v>486</v>
      </c>
      <c r="C113" s="2" t="s">
        <v>16</v>
      </c>
      <c r="D113" s="3" t="s">
        <v>319</v>
      </c>
      <c r="E113" s="4" t="s">
        <v>18</v>
      </c>
      <c r="F113" s="4" t="s">
        <v>19</v>
      </c>
      <c r="G113" s="4" t="s">
        <v>20</v>
      </c>
      <c r="H113" s="4" t="s">
        <v>21</v>
      </c>
      <c r="I113" s="5" t="s">
        <v>21</v>
      </c>
      <c r="J113" s="1" t="s">
        <v>487</v>
      </c>
      <c r="K113" s="1" t="s">
        <v>483</v>
      </c>
      <c r="L113" s="1" t="s">
        <v>488</v>
      </c>
      <c r="M113" s="4" t="str">
        <f t="shared" si="0"/>
        <v>Outstanding</v>
      </c>
      <c r="N113" s="13" t="s">
        <v>21</v>
      </c>
    </row>
    <row r="114" spans="1:14" ht="60" customHeight="1" x14ac:dyDescent="0.35">
      <c r="A114" s="11" t="s">
        <v>489</v>
      </c>
      <c r="B114" s="1" t="s">
        <v>490</v>
      </c>
      <c r="C114" s="2" t="s">
        <v>16</v>
      </c>
      <c r="D114" s="3" t="s">
        <v>319</v>
      </c>
      <c r="E114" s="4" t="s">
        <v>18</v>
      </c>
      <c r="F114" s="4" t="s">
        <v>19</v>
      </c>
      <c r="G114" s="4" t="s">
        <v>20</v>
      </c>
      <c r="H114" s="4" t="s">
        <v>21</v>
      </c>
      <c r="I114" s="5" t="s">
        <v>21</v>
      </c>
      <c r="J114" s="1" t="s">
        <v>491</v>
      </c>
      <c r="K114" s="1" t="s">
        <v>483</v>
      </c>
      <c r="L114" s="1" t="s">
        <v>492</v>
      </c>
      <c r="M114" s="4" t="str">
        <f t="shared" si="0"/>
        <v>Outstanding</v>
      </c>
      <c r="N114" s="13" t="s">
        <v>21</v>
      </c>
    </row>
    <row r="115" spans="1:14" ht="60" customHeight="1" x14ac:dyDescent="0.35">
      <c r="A115" s="11" t="s">
        <v>493</v>
      </c>
      <c r="B115" s="1" t="s">
        <v>494</v>
      </c>
      <c r="C115" s="2" t="s">
        <v>16</v>
      </c>
      <c r="D115" s="3" t="s">
        <v>319</v>
      </c>
      <c r="E115" s="4" t="s">
        <v>18</v>
      </c>
      <c r="F115" s="4" t="s">
        <v>19</v>
      </c>
      <c r="G115" s="4" t="s">
        <v>20</v>
      </c>
      <c r="H115" s="4" t="s">
        <v>21</v>
      </c>
      <c r="I115" s="5" t="s">
        <v>21</v>
      </c>
      <c r="J115" s="1" t="s">
        <v>495</v>
      </c>
      <c r="K115" s="1" t="s">
        <v>483</v>
      </c>
      <c r="L115" s="1" t="s">
        <v>496</v>
      </c>
      <c r="M115" s="4" t="str">
        <f t="shared" si="0"/>
        <v>Outstanding</v>
      </c>
      <c r="N115" s="13" t="s">
        <v>21</v>
      </c>
    </row>
    <row r="116" spans="1:14" ht="60" customHeight="1" x14ac:dyDescent="0.35">
      <c r="A116" s="11" t="s">
        <v>497</v>
      </c>
      <c r="B116" s="1" t="s">
        <v>498</v>
      </c>
      <c r="C116" s="2" t="s">
        <v>16</v>
      </c>
      <c r="D116" s="3" t="s">
        <v>319</v>
      </c>
      <c r="E116" s="4" t="s">
        <v>18</v>
      </c>
      <c r="F116" s="4" t="s">
        <v>19</v>
      </c>
      <c r="G116" s="4" t="s">
        <v>20</v>
      </c>
      <c r="H116" s="4" t="s">
        <v>21</v>
      </c>
      <c r="I116" s="5" t="s">
        <v>21</v>
      </c>
      <c r="J116" s="1" t="s">
        <v>499</v>
      </c>
      <c r="K116" s="1" t="s">
        <v>483</v>
      </c>
      <c r="L116" s="1" t="s">
        <v>500</v>
      </c>
      <c r="M116" s="4" t="str">
        <f t="shared" si="0"/>
        <v>Outstanding</v>
      </c>
      <c r="N116" s="13" t="s">
        <v>21</v>
      </c>
    </row>
    <row r="117" spans="1:14" ht="60" customHeight="1" x14ac:dyDescent="0.35">
      <c r="A117" s="11" t="s">
        <v>501</v>
      </c>
      <c r="B117" s="1" t="s">
        <v>502</v>
      </c>
      <c r="C117" s="2" t="s">
        <v>16</v>
      </c>
      <c r="D117" s="3" t="s">
        <v>319</v>
      </c>
      <c r="E117" s="4" t="s">
        <v>18</v>
      </c>
      <c r="F117" s="4" t="s">
        <v>19</v>
      </c>
      <c r="G117" s="4" t="s">
        <v>20</v>
      </c>
      <c r="H117" s="4" t="s">
        <v>21</v>
      </c>
      <c r="I117" s="5" t="s">
        <v>21</v>
      </c>
      <c r="J117" s="1" t="s">
        <v>503</v>
      </c>
      <c r="K117" s="1" t="s">
        <v>483</v>
      </c>
      <c r="L117" s="1" t="s">
        <v>504</v>
      </c>
      <c r="M117" s="4" t="str">
        <f t="shared" si="0"/>
        <v>Outstanding</v>
      </c>
      <c r="N117" s="13" t="s">
        <v>21</v>
      </c>
    </row>
    <row r="118" spans="1:14" ht="60" customHeight="1" x14ac:dyDescent="0.35">
      <c r="A118" s="11" t="s">
        <v>505</v>
      </c>
      <c r="B118" s="1" t="s">
        <v>506</v>
      </c>
      <c r="C118" s="2" t="s">
        <v>16</v>
      </c>
      <c r="D118" s="3" t="s">
        <v>319</v>
      </c>
      <c r="E118" s="4" t="s">
        <v>18</v>
      </c>
      <c r="F118" s="4" t="s">
        <v>19</v>
      </c>
      <c r="G118" s="4" t="s">
        <v>20</v>
      </c>
      <c r="H118" s="4" t="s">
        <v>21</v>
      </c>
      <c r="I118" s="5" t="s">
        <v>21</v>
      </c>
      <c r="J118" s="1" t="s">
        <v>507</v>
      </c>
      <c r="K118" s="1" t="s">
        <v>483</v>
      </c>
      <c r="L118" s="1" t="s">
        <v>508</v>
      </c>
      <c r="M118" s="4" t="str">
        <f t="shared" si="0"/>
        <v>Outstanding</v>
      </c>
      <c r="N118" s="13" t="s">
        <v>21</v>
      </c>
    </row>
    <row r="119" spans="1:14" ht="60" customHeight="1" x14ac:dyDescent="0.35">
      <c r="A119" s="11" t="s">
        <v>509</v>
      </c>
      <c r="B119" s="1" t="s">
        <v>510</v>
      </c>
      <c r="C119" s="2" t="s">
        <v>16</v>
      </c>
      <c r="D119" s="3" t="s">
        <v>319</v>
      </c>
      <c r="E119" s="4" t="s">
        <v>18</v>
      </c>
      <c r="F119" s="4" t="s">
        <v>19</v>
      </c>
      <c r="G119" s="4" t="s">
        <v>20</v>
      </c>
      <c r="H119" s="4" t="s">
        <v>21</v>
      </c>
      <c r="I119" s="5" t="s">
        <v>21</v>
      </c>
      <c r="J119" s="1" t="s">
        <v>511</v>
      </c>
      <c r="K119" s="1" t="s">
        <v>483</v>
      </c>
      <c r="L119" s="1" t="s">
        <v>512</v>
      </c>
      <c r="M119" s="4" t="str">
        <f t="shared" si="0"/>
        <v>Outstanding</v>
      </c>
      <c r="N119" s="13" t="s">
        <v>21</v>
      </c>
    </row>
    <row r="120" spans="1:14" ht="60" customHeight="1" x14ac:dyDescent="0.35">
      <c r="A120" s="11" t="s">
        <v>513</v>
      </c>
      <c r="B120" s="1" t="s">
        <v>514</v>
      </c>
      <c r="C120" s="2" t="s">
        <v>16</v>
      </c>
      <c r="D120" s="3" t="s">
        <v>319</v>
      </c>
      <c r="E120" s="4" t="s">
        <v>18</v>
      </c>
      <c r="F120" s="4" t="s">
        <v>19</v>
      </c>
      <c r="G120" s="4" t="s">
        <v>20</v>
      </c>
      <c r="H120" s="4" t="s">
        <v>21</v>
      </c>
      <c r="I120" s="5" t="s">
        <v>21</v>
      </c>
      <c r="J120" s="1" t="s">
        <v>515</v>
      </c>
      <c r="K120" s="1" t="s">
        <v>483</v>
      </c>
      <c r="L120" s="1" t="s">
        <v>516</v>
      </c>
      <c r="M120" s="4" t="str">
        <f t="shared" si="0"/>
        <v>Outstanding</v>
      </c>
      <c r="N120" s="13" t="s">
        <v>21</v>
      </c>
    </row>
    <row r="121" spans="1:14" ht="60" customHeight="1" x14ac:dyDescent="0.35">
      <c r="A121" s="11" t="s">
        <v>517</v>
      </c>
      <c r="B121" s="1" t="s">
        <v>518</v>
      </c>
      <c r="C121" s="2" t="s">
        <v>16</v>
      </c>
      <c r="D121" s="3" t="s">
        <v>319</v>
      </c>
      <c r="E121" s="4" t="s">
        <v>18</v>
      </c>
      <c r="F121" s="4" t="s">
        <v>19</v>
      </c>
      <c r="G121" s="4" t="s">
        <v>20</v>
      </c>
      <c r="H121" s="4" t="s">
        <v>21</v>
      </c>
      <c r="I121" s="5" t="s">
        <v>21</v>
      </c>
      <c r="J121" s="1" t="s">
        <v>519</v>
      </c>
      <c r="K121" s="1" t="s">
        <v>483</v>
      </c>
      <c r="L121" s="1" t="s">
        <v>520</v>
      </c>
      <c r="M121" s="4" t="str">
        <f t="shared" si="0"/>
        <v>Outstanding</v>
      </c>
      <c r="N121" s="13" t="s">
        <v>21</v>
      </c>
    </row>
    <row r="122" spans="1:14" ht="60" customHeight="1" x14ac:dyDescent="0.35">
      <c r="A122" s="11" t="s">
        <v>521</v>
      </c>
      <c r="B122" s="1" t="s">
        <v>522</v>
      </c>
      <c r="C122" s="2" t="s">
        <v>16</v>
      </c>
      <c r="D122" s="3" t="s">
        <v>319</v>
      </c>
      <c r="E122" s="4" t="s">
        <v>18</v>
      </c>
      <c r="F122" s="4" t="s">
        <v>19</v>
      </c>
      <c r="G122" s="4" t="s">
        <v>20</v>
      </c>
      <c r="H122" s="4" t="s">
        <v>21</v>
      </c>
      <c r="I122" s="5" t="s">
        <v>21</v>
      </c>
      <c r="J122" s="1" t="s">
        <v>523</v>
      </c>
      <c r="K122" s="1" t="s">
        <v>483</v>
      </c>
      <c r="L122" s="1" t="s">
        <v>524</v>
      </c>
      <c r="M122" s="4" t="str">
        <f t="shared" si="0"/>
        <v>Outstanding</v>
      </c>
      <c r="N122" s="13" t="s">
        <v>21</v>
      </c>
    </row>
    <row r="123" spans="1:14" ht="60" customHeight="1" x14ac:dyDescent="0.35">
      <c r="A123" s="11" t="s">
        <v>525</v>
      </c>
      <c r="B123" s="1" t="s">
        <v>526</v>
      </c>
      <c r="C123" s="2" t="s">
        <v>16</v>
      </c>
      <c r="D123" s="3" t="s">
        <v>319</v>
      </c>
      <c r="E123" s="4" t="s">
        <v>18</v>
      </c>
      <c r="F123" s="4" t="s">
        <v>19</v>
      </c>
      <c r="G123" s="4" t="s">
        <v>20</v>
      </c>
      <c r="H123" s="4" t="s">
        <v>21</v>
      </c>
      <c r="I123" s="5" t="s">
        <v>21</v>
      </c>
      <c r="J123" s="1" t="s">
        <v>527</v>
      </c>
      <c r="K123" s="1" t="s">
        <v>483</v>
      </c>
      <c r="L123" s="1" t="s">
        <v>528</v>
      </c>
      <c r="M123" s="4" t="str">
        <f t="shared" si="0"/>
        <v>Outstanding</v>
      </c>
      <c r="N123" s="13" t="s">
        <v>21</v>
      </c>
    </row>
    <row r="124" spans="1:14" ht="60" customHeight="1" x14ac:dyDescent="0.35">
      <c r="A124" s="11" t="s">
        <v>529</v>
      </c>
      <c r="B124" s="1" t="s">
        <v>530</v>
      </c>
      <c r="C124" s="2" t="s">
        <v>16</v>
      </c>
      <c r="D124" s="3" t="s">
        <v>319</v>
      </c>
      <c r="E124" s="4" t="s">
        <v>18</v>
      </c>
      <c r="F124" s="4" t="s">
        <v>19</v>
      </c>
      <c r="G124" s="4" t="s">
        <v>20</v>
      </c>
      <c r="H124" s="4" t="s">
        <v>21</v>
      </c>
      <c r="I124" s="5" t="s">
        <v>21</v>
      </c>
      <c r="J124" s="1" t="s">
        <v>531</v>
      </c>
      <c r="K124" s="1" t="s">
        <v>483</v>
      </c>
      <c r="L124" s="1" t="s">
        <v>532</v>
      </c>
      <c r="M124" s="4" t="str">
        <f t="shared" si="0"/>
        <v>Outstanding</v>
      </c>
      <c r="N124" s="13" t="s">
        <v>21</v>
      </c>
    </row>
    <row r="125" spans="1:14" ht="60" customHeight="1" x14ac:dyDescent="0.35">
      <c r="A125" s="11" t="s">
        <v>533</v>
      </c>
      <c r="B125" s="1" t="s">
        <v>534</v>
      </c>
      <c r="C125" s="2" t="s">
        <v>16</v>
      </c>
      <c r="D125" s="3" t="s">
        <v>319</v>
      </c>
      <c r="E125" s="4" t="s">
        <v>18</v>
      </c>
      <c r="F125" s="4" t="s">
        <v>19</v>
      </c>
      <c r="G125" s="4" t="s">
        <v>20</v>
      </c>
      <c r="H125" s="4" t="s">
        <v>21</v>
      </c>
      <c r="I125" s="5" t="s">
        <v>21</v>
      </c>
      <c r="J125" s="1" t="s">
        <v>535</v>
      </c>
      <c r="K125" s="1" t="s">
        <v>483</v>
      </c>
      <c r="L125" s="1" t="s">
        <v>536</v>
      </c>
      <c r="M125" s="4" t="str">
        <f t="shared" si="0"/>
        <v>Outstanding</v>
      </c>
      <c r="N125" s="13" t="s">
        <v>21</v>
      </c>
    </row>
    <row r="126" spans="1:14" ht="60" customHeight="1" x14ac:dyDescent="0.35">
      <c r="A126" s="11" t="s">
        <v>537</v>
      </c>
      <c r="B126" s="1" t="s">
        <v>538</v>
      </c>
      <c r="C126" s="2" t="s">
        <v>16</v>
      </c>
      <c r="D126" s="3" t="s">
        <v>319</v>
      </c>
      <c r="E126" s="4" t="s">
        <v>18</v>
      </c>
      <c r="F126" s="4" t="s">
        <v>19</v>
      </c>
      <c r="G126" s="4" t="s">
        <v>20</v>
      </c>
      <c r="H126" s="4" t="s">
        <v>21</v>
      </c>
      <c r="I126" s="5" t="s">
        <v>21</v>
      </c>
      <c r="J126" s="1" t="s">
        <v>539</v>
      </c>
      <c r="K126" s="1" t="s">
        <v>540</v>
      </c>
      <c r="L126" s="1" t="s">
        <v>541</v>
      </c>
      <c r="M126" s="4" t="str">
        <f t="shared" si="0"/>
        <v>Outstanding</v>
      </c>
      <c r="N126" s="13" t="s">
        <v>21</v>
      </c>
    </row>
    <row r="127" spans="1:14" ht="60" customHeight="1" x14ac:dyDescent="0.35">
      <c r="A127" s="11" t="s">
        <v>542</v>
      </c>
      <c r="B127" s="1" t="s">
        <v>543</v>
      </c>
      <c r="C127" s="2" t="s">
        <v>16</v>
      </c>
      <c r="D127" s="3" t="s">
        <v>319</v>
      </c>
      <c r="E127" s="4" t="s">
        <v>18</v>
      </c>
      <c r="F127" s="4" t="s">
        <v>19</v>
      </c>
      <c r="G127" s="4" t="s">
        <v>20</v>
      </c>
      <c r="H127" s="4" t="s">
        <v>21</v>
      </c>
      <c r="I127" s="5" t="s">
        <v>21</v>
      </c>
      <c r="J127" s="1" t="s">
        <v>544</v>
      </c>
      <c r="K127" s="1" t="s">
        <v>545</v>
      </c>
      <c r="L127" s="1" t="s">
        <v>546</v>
      </c>
      <c r="M127" s="4" t="str">
        <f t="shared" si="0"/>
        <v>Outstanding</v>
      </c>
      <c r="N127" s="13" t="s">
        <v>21</v>
      </c>
    </row>
    <row r="128" spans="1:14" ht="60" customHeight="1" x14ac:dyDescent="0.35">
      <c r="A128" s="11" t="s">
        <v>547</v>
      </c>
      <c r="B128" s="1" t="s">
        <v>548</v>
      </c>
      <c r="C128" s="2" t="s">
        <v>16</v>
      </c>
      <c r="D128" s="3" t="s">
        <v>319</v>
      </c>
      <c r="E128" s="4" t="s">
        <v>18</v>
      </c>
      <c r="F128" s="4" t="s">
        <v>19</v>
      </c>
      <c r="G128" s="4" t="s">
        <v>20</v>
      </c>
      <c r="H128" s="4" t="s">
        <v>21</v>
      </c>
      <c r="I128" s="5" t="s">
        <v>21</v>
      </c>
      <c r="J128" s="1" t="s">
        <v>549</v>
      </c>
      <c r="K128" s="1" t="s">
        <v>540</v>
      </c>
      <c r="L128" s="1" t="s">
        <v>550</v>
      </c>
      <c r="M128" s="4" t="str">
        <f t="shared" si="0"/>
        <v>Outstanding</v>
      </c>
      <c r="N128" s="13" t="s">
        <v>21</v>
      </c>
    </row>
    <row r="129" spans="1:14" ht="60" customHeight="1" x14ac:dyDescent="0.35">
      <c r="A129" s="11" t="s">
        <v>551</v>
      </c>
      <c r="B129" s="1" t="s">
        <v>552</v>
      </c>
      <c r="C129" s="2" t="s">
        <v>16</v>
      </c>
      <c r="D129" s="3" t="s">
        <v>319</v>
      </c>
      <c r="E129" s="4" t="s">
        <v>18</v>
      </c>
      <c r="F129" s="4" t="s">
        <v>19</v>
      </c>
      <c r="G129" s="4" t="s">
        <v>20</v>
      </c>
      <c r="H129" s="4" t="s">
        <v>21</v>
      </c>
      <c r="I129" s="5" t="s">
        <v>21</v>
      </c>
      <c r="J129" s="1" t="s">
        <v>553</v>
      </c>
      <c r="K129" s="1" t="s">
        <v>540</v>
      </c>
      <c r="L129" s="1" t="s">
        <v>554</v>
      </c>
      <c r="M129" s="4" t="str">
        <f t="shared" si="0"/>
        <v>Outstanding</v>
      </c>
      <c r="N129" s="13" t="s">
        <v>21</v>
      </c>
    </row>
    <row r="130" spans="1:14" ht="60" customHeight="1" x14ac:dyDescent="0.35">
      <c r="A130" s="11" t="s">
        <v>555</v>
      </c>
      <c r="B130" s="1" t="s">
        <v>556</v>
      </c>
      <c r="C130" s="2" t="s">
        <v>16</v>
      </c>
      <c r="D130" s="3" t="s">
        <v>319</v>
      </c>
      <c r="E130" s="4" t="s">
        <v>18</v>
      </c>
      <c r="F130" s="4" t="s">
        <v>19</v>
      </c>
      <c r="G130" s="4" t="s">
        <v>20</v>
      </c>
      <c r="H130" s="4" t="s">
        <v>21</v>
      </c>
      <c r="I130" s="5" t="s">
        <v>21</v>
      </c>
      <c r="J130" s="1" t="s">
        <v>557</v>
      </c>
      <c r="K130" s="1" t="s">
        <v>558</v>
      </c>
      <c r="L130" s="1" t="s">
        <v>559</v>
      </c>
      <c r="M130" s="4" t="str">
        <f t="shared" si="0"/>
        <v>Outstanding</v>
      </c>
      <c r="N130" s="13" t="s">
        <v>21</v>
      </c>
    </row>
    <row r="131" spans="1:14" ht="60" customHeight="1" x14ac:dyDescent="0.35">
      <c r="A131" s="11" t="s">
        <v>560</v>
      </c>
      <c r="B131" s="1" t="s">
        <v>561</v>
      </c>
      <c r="C131" s="2" t="s">
        <v>163</v>
      </c>
      <c r="D131" s="3" t="s">
        <v>319</v>
      </c>
      <c r="E131" s="4" t="s">
        <v>18</v>
      </c>
      <c r="F131" s="4" t="s">
        <v>19</v>
      </c>
      <c r="G131" s="4" t="s">
        <v>20</v>
      </c>
      <c r="H131" s="4" t="s">
        <v>21</v>
      </c>
      <c r="I131" s="5" t="s">
        <v>21</v>
      </c>
      <c r="J131" s="1" t="s">
        <v>562</v>
      </c>
      <c r="K131" s="1" t="s">
        <v>563</v>
      </c>
      <c r="L131" s="1" t="s">
        <v>564</v>
      </c>
      <c r="M131" s="4" t="str">
        <f t="shared" si="0"/>
        <v>Outstanding</v>
      </c>
      <c r="N131" s="13" t="s">
        <v>21</v>
      </c>
    </row>
    <row r="132" spans="1:14" ht="60" customHeight="1" x14ac:dyDescent="0.35">
      <c r="A132" s="11" t="s">
        <v>565</v>
      </c>
      <c r="B132" s="1" t="s">
        <v>566</v>
      </c>
      <c r="C132" s="2" t="s">
        <v>16</v>
      </c>
      <c r="D132" s="3" t="s">
        <v>319</v>
      </c>
      <c r="E132" s="4" t="s">
        <v>18</v>
      </c>
      <c r="F132" s="4" t="s">
        <v>19</v>
      </c>
      <c r="G132" s="4" t="s">
        <v>20</v>
      </c>
      <c r="H132" s="4" t="s">
        <v>21</v>
      </c>
      <c r="I132" s="5" t="s">
        <v>21</v>
      </c>
      <c r="J132" s="1" t="s">
        <v>567</v>
      </c>
      <c r="K132" s="1" t="s">
        <v>568</v>
      </c>
      <c r="L132" s="1" t="s">
        <v>569</v>
      </c>
      <c r="M132" s="4" t="str">
        <f t="shared" si="0"/>
        <v>Outstanding</v>
      </c>
      <c r="N132" s="13" t="s">
        <v>21</v>
      </c>
    </row>
    <row r="133" spans="1:14" ht="60" customHeight="1" x14ac:dyDescent="0.35">
      <c r="A133" s="11" t="s">
        <v>570</v>
      </c>
      <c r="B133" s="1" t="s">
        <v>571</v>
      </c>
      <c r="C133" s="2" t="s">
        <v>16</v>
      </c>
      <c r="D133" s="3" t="s">
        <v>319</v>
      </c>
      <c r="E133" s="4" t="s">
        <v>18</v>
      </c>
      <c r="F133" s="4" t="s">
        <v>19</v>
      </c>
      <c r="G133" s="4" t="s">
        <v>20</v>
      </c>
      <c r="H133" s="4" t="s">
        <v>21</v>
      </c>
      <c r="I133" s="5" t="s">
        <v>21</v>
      </c>
      <c r="J133" s="1" t="s">
        <v>572</v>
      </c>
      <c r="K133" s="1" t="s">
        <v>568</v>
      </c>
      <c r="L133" s="1" t="s">
        <v>573</v>
      </c>
      <c r="M133" s="4" t="str">
        <f t="shared" si="0"/>
        <v>Outstanding</v>
      </c>
      <c r="N133" s="13" t="s">
        <v>21</v>
      </c>
    </row>
    <row r="134" spans="1:14" ht="60" customHeight="1" x14ac:dyDescent="0.35">
      <c r="A134" s="11" t="s">
        <v>574</v>
      </c>
      <c r="B134" s="1" t="s">
        <v>575</v>
      </c>
      <c r="C134" s="2" t="s">
        <v>16</v>
      </c>
      <c r="D134" s="3" t="s">
        <v>319</v>
      </c>
      <c r="E134" s="4" t="s">
        <v>18</v>
      </c>
      <c r="F134" s="4" t="s">
        <v>19</v>
      </c>
      <c r="G134" s="4" t="s">
        <v>20</v>
      </c>
      <c r="H134" s="4" t="s">
        <v>21</v>
      </c>
      <c r="I134" s="5" t="s">
        <v>21</v>
      </c>
      <c r="J134" s="1" t="s">
        <v>576</v>
      </c>
      <c r="K134" s="1" t="s">
        <v>577</v>
      </c>
      <c r="L134" s="1" t="s">
        <v>578</v>
      </c>
      <c r="M134" s="4" t="str">
        <f t="shared" si="0"/>
        <v>Outstanding</v>
      </c>
      <c r="N134" s="13" t="s">
        <v>21</v>
      </c>
    </row>
    <row r="135" spans="1:14" ht="60" customHeight="1" x14ac:dyDescent="0.35">
      <c r="A135" s="11" t="s">
        <v>579</v>
      </c>
      <c r="B135" s="1" t="s">
        <v>580</v>
      </c>
      <c r="C135" s="2" t="s">
        <v>16</v>
      </c>
      <c r="D135" s="3" t="s">
        <v>319</v>
      </c>
      <c r="E135" s="4" t="s">
        <v>18</v>
      </c>
      <c r="F135" s="4" t="s">
        <v>19</v>
      </c>
      <c r="G135" s="4" t="s">
        <v>20</v>
      </c>
      <c r="H135" s="4" t="s">
        <v>21</v>
      </c>
      <c r="I135" s="5" t="s">
        <v>21</v>
      </c>
      <c r="J135" s="1" t="s">
        <v>581</v>
      </c>
      <c r="K135" s="1" t="s">
        <v>577</v>
      </c>
      <c r="L135" s="1" t="s">
        <v>582</v>
      </c>
      <c r="M135" s="4" t="str">
        <f t="shared" si="0"/>
        <v>Outstanding</v>
      </c>
      <c r="N135" s="13" t="s">
        <v>21</v>
      </c>
    </row>
    <row r="136" spans="1:14" ht="60" customHeight="1" x14ac:dyDescent="0.35">
      <c r="A136" s="11" t="s">
        <v>583</v>
      </c>
      <c r="B136" s="1" t="s">
        <v>584</v>
      </c>
      <c r="C136" s="2" t="s">
        <v>16</v>
      </c>
      <c r="D136" s="3" t="s">
        <v>319</v>
      </c>
      <c r="E136" s="4" t="s">
        <v>18</v>
      </c>
      <c r="F136" s="4" t="s">
        <v>19</v>
      </c>
      <c r="G136" s="4" t="s">
        <v>20</v>
      </c>
      <c r="H136" s="4" t="s">
        <v>21</v>
      </c>
      <c r="I136" s="5" t="s">
        <v>21</v>
      </c>
      <c r="J136" s="1" t="s">
        <v>585</v>
      </c>
      <c r="K136" s="1" t="s">
        <v>586</v>
      </c>
      <c r="L136" s="1" t="s">
        <v>587</v>
      </c>
      <c r="M136" s="4" t="str">
        <f t="shared" si="0"/>
        <v>Outstanding</v>
      </c>
      <c r="N136" s="13" t="s">
        <v>21</v>
      </c>
    </row>
    <row r="137" spans="1:14" ht="60" customHeight="1" x14ac:dyDescent="0.35">
      <c r="A137" s="11" t="s">
        <v>588</v>
      </c>
      <c r="B137" s="1" t="s">
        <v>589</v>
      </c>
      <c r="C137" s="2" t="s">
        <v>16</v>
      </c>
      <c r="D137" s="3" t="s">
        <v>319</v>
      </c>
      <c r="E137" s="4" t="s">
        <v>18</v>
      </c>
      <c r="F137" s="4" t="s">
        <v>19</v>
      </c>
      <c r="G137" s="4" t="s">
        <v>20</v>
      </c>
      <c r="H137" s="4" t="s">
        <v>21</v>
      </c>
      <c r="I137" s="5" t="s">
        <v>21</v>
      </c>
      <c r="J137" s="1" t="s">
        <v>590</v>
      </c>
      <c r="K137" s="1" t="s">
        <v>586</v>
      </c>
      <c r="L137" s="1" t="s">
        <v>591</v>
      </c>
      <c r="M137" s="4" t="str">
        <f t="shared" si="0"/>
        <v>Outstanding</v>
      </c>
      <c r="N137" s="13" t="s">
        <v>21</v>
      </c>
    </row>
    <row r="138" spans="1:14" ht="60" customHeight="1" x14ac:dyDescent="0.35">
      <c r="A138" s="11" t="s">
        <v>592</v>
      </c>
      <c r="B138" s="1" t="s">
        <v>593</v>
      </c>
      <c r="C138" s="2" t="s">
        <v>16</v>
      </c>
      <c r="D138" s="3" t="s">
        <v>319</v>
      </c>
      <c r="E138" s="4" t="s">
        <v>18</v>
      </c>
      <c r="F138" s="4" t="s">
        <v>19</v>
      </c>
      <c r="G138" s="4" t="s">
        <v>20</v>
      </c>
      <c r="H138" s="4" t="s">
        <v>21</v>
      </c>
      <c r="I138" s="5" t="s">
        <v>21</v>
      </c>
      <c r="J138" s="1" t="s">
        <v>594</v>
      </c>
      <c r="K138" s="1" t="s">
        <v>595</v>
      </c>
      <c r="L138" s="1" t="s">
        <v>596</v>
      </c>
      <c r="M138" s="4" t="str">
        <f t="shared" si="0"/>
        <v>Outstanding</v>
      </c>
      <c r="N138" s="13" t="s">
        <v>21</v>
      </c>
    </row>
    <row r="139" spans="1:14" ht="60" customHeight="1" x14ac:dyDescent="0.35">
      <c r="A139" s="11" t="s">
        <v>597</v>
      </c>
      <c r="B139" s="1" t="s">
        <v>598</v>
      </c>
      <c r="C139" s="2" t="s">
        <v>16</v>
      </c>
      <c r="D139" s="3" t="s">
        <v>319</v>
      </c>
      <c r="E139" s="4" t="s">
        <v>18</v>
      </c>
      <c r="F139" s="4" t="s">
        <v>19</v>
      </c>
      <c r="G139" s="4" t="s">
        <v>20</v>
      </c>
      <c r="H139" s="4" t="s">
        <v>21</v>
      </c>
      <c r="I139" s="5" t="s">
        <v>21</v>
      </c>
      <c r="J139" s="1" t="s">
        <v>599</v>
      </c>
      <c r="K139" s="1" t="s">
        <v>600</v>
      </c>
      <c r="L139" s="1" t="s">
        <v>601</v>
      </c>
      <c r="M139" s="4" t="str">
        <f t="shared" si="0"/>
        <v>Outstanding</v>
      </c>
      <c r="N139" s="13" t="s">
        <v>21</v>
      </c>
    </row>
    <row r="140" spans="1:14" ht="60" customHeight="1" x14ac:dyDescent="0.35">
      <c r="A140" s="11" t="s">
        <v>602</v>
      </c>
      <c r="B140" s="1" t="s">
        <v>603</v>
      </c>
      <c r="C140" s="2" t="s">
        <v>16</v>
      </c>
      <c r="D140" s="3" t="s">
        <v>319</v>
      </c>
      <c r="E140" s="4" t="s">
        <v>18</v>
      </c>
      <c r="F140" s="4" t="s">
        <v>19</v>
      </c>
      <c r="G140" s="4" t="s">
        <v>20</v>
      </c>
      <c r="H140" s="4" t="s">
        <v>21</v>
      </c>
      <c r="I140" s="5" t="s">
        <v>21</v>
      </c>
      <c r="J140" s="1" t="s">
        <v>604</v>
      </c>
      <c r="K140" s="1" t="s">
        <v>600</v>
      </c>
      <c r="L140" s="1" t="s">
        <v>605</v>
      </c>
      <c r="M140" s="4" t="str">
        <f t="shared" si="0"/>
        <v>Outstanding</v>
      </c>
      <c r="N140" s="13" t="s">
        <v>21</v>
      </c>
    </row>
    <row r="141" spans="1:14" ht="60" customHeight="1" x14ac:dyDescent="0.35">
      <c r="A141" s="11" t="s">
        <v>606</v>
      </c>
      <c r="B141" s="1" t="s">
        <v>607</v>
      </c>
      <c r="C141" s="2" t="s">
        <v>16</v>
      </c>
      <c r="D141" s="3" t="s">
        <v>319</v>
      </c>
      <c r="E141" s="4" t="s">
        <v>18</v>
      </c>
      <c r="F141" s="4" t="s">
        <v>19</v>
      </c>
      <c r="G141" s="4" t="s">
        <v>20</v>
      </c>
      <c r="H141" s="4" t="s">
        <v>21</v>
      </c>
      <c r="I141" s="5" t="s">
        <v>21</v>
      </c>
      <c r="J141" s="1" t="s">
        <v>608</v>
      </c>
      <c r="K141" s="1" t="s">
        <v>609</v>
      </c>
      <c r="L141" s="1" t="s">
        <v>610</v>
      </c>
      <c r="M141" s="4" t="str">
        <f t="shared" si="0"/>
        <v>Outstanding</v>
      </c>
      <c r="N141" s="13" t="s">
        <v>21</v>
      </c>
    </row>
    <row r="142" spans="1:14" ht="60" customHeight="1" x14ac:dyDescent="0.35">
      <c r="A142" s="11" t="s">
        <v>611</v>
      </c>
      <c r="B142" s="1" t="s">
        <v>612</v>
      </c>
      <c r="C142" s="2" t="s">
        <v>16</v>
      </c>
      <c r="D142" s="3" t="s">
        <v>319</v>
      </c>
      <c r="E142" s="4" t="s">
        <v>18</v>
      </c>
      <c r="F142" s="4" t="s">
        <v>19</v>
      </c>
      <c r="G142" s="4" t="s">
        <v>20</v>
      </c>
      <c r="H142" s="4" t="s">
        <v>21</v>
      </c>
      <c r="I142" s="5" t="s">
        <v>21</v>
      </c>
      <c r="J142" s="1" t="s">
        <v>613</v>
      </c>
      <c r="K142" s="1" t="s">
        <v>614</v>
      </c>
      <c r="L142" s="1" t="s">
        <v>615</v>
      </c>
      <c r="M142" s="4" t="str">
        <f t="shared" si="0"/>
        <v>Outstanding</v>
      </c>
      <c r="N142" s="13" t="s">
        <v>21</v>
      </c>
    </row>
    <row r="143" spans="1:14" ht="60" customHeight="1" x14ac:dyDescent="0.35">
      <c r="A143" s="11" t="s">
        <v>616</v>
      </c>
      <c r="B143" s="1" t="s">
        <v>617</v>
      </c>
      <c r="C143" s="2" t="s">
        <v>16</v>
      </c>
      <c r="D143" s="3" t="s">
        <v>319</v>
      </c>
      <c r="E143" s="4" t="s">
        <v>18</v>
      </c>
      <c r="F143" s="4" t="s">
        <v>19</v>
      </c>
      <c r="G143" s="4" t="s">
        <v>20</v>
      </c>
      <c r="H143" s="4" t="s">
        <v>21</v>
      </c>
      <c r="I143" s="5" t="s">
        <v>21</v>
      </c>
      <c r="J143" s="1" t="s">
        <v>618</v>
      </c>
      <c r="K143" s="1" t="s">
        <v>619</v>
      </c>
      <c r="L143" s="1" t="s">
        <v>620</v>
      </c>
      <c r="M143" s="4" t="str">
        <f t="shared" si="0"/>
        <v>Outstanding</v>
      </c>
      <c r="N143" s="13" t="s">
        <v>21</v>
      </c>
    </row>
    <row r="144" spans="1:14" ht="60" customHeight="1" x14ac:dyDescent="0.35">
      <c r="A144" s="11" t="s">
        <v>621</v>
      </c>
      <c r="B144" s="1" t="s">
        <v>622</v>
      </c>
      <c r="C144" s="2" t="s">
        <v>16</v>
      </c>
      <c r="D144" s="3" t="s">
        <v>319</v>
      </c>
      <c r="E144" s="4" t="s">
        <v>18</v>
      </c>
      <c r="F144" s="4" t="s">
        <v>19</v>
      </c>
      <c r="G144" s="4" t="s">
        <v>20</v>
      </c>
      <c r="H144" s="4" t="s">
        <v>21</v>
      </c>
      <c r="I144" s="5" t="s">
        <v>21</v>
      </c>
      <c r="J144" s="1" t="s">
        <v>623</v>
      </c>
      <c r="K144" s="1" t="s">
        <v>624</v>
      </c>
      <c r="L144" s="1" t="s">
        <v>625</v>
      </c>
      <c r="M144" s="4" t="str">
        <f t="shared" si="0"/>
        <v>Outstanding</v>
      </c>
      <c r="N144" s="13" t="s">
        <v>21</v>
      </c>
    </row>
    <row r="145" spans="1:14" ht="60" customHeight="1" x14ac:dyDescent="0.35">
      <c r="A145" s="11" t="s">
        <v>626</v>
      </c>
      <c r="B145" s="1" t="s">
        <v>627</v>
      </c>
      <c r="C145" s="2" t="s">
        <v>16</v>
      </c>
      <c r="D145" s="3" t="s">
        <v>319</v>
      </c>
      <c r="E145" s="4" t="s">
        <v>18</v>
      </c>
      <c r="F145" s="4" t="s">
        <v>19</v>
      </c>
      <c r="G145" s="4" t="s">
        <v>20</v>
      </c>
      <c r="H145" s="4" t="s">
        <v>21</v>
      </c>
      <c r="I145" s="5" t="s">
        <v>21</v>
      </c>
      <c r="J145" s="1" t="s">
        <v>628</v>
      </c>
      <c r="K145" s="1" t="s">
        <v>629</v>
      </c>
      <c r="L145" s="1" t="s">
        <v>630</v>
      </c>
      <c r="M145" s="4" t="str">
        <f t="shared" si="0"/>
        <v>Outstanding</v>
      </c>
      <c r="N145" s="13" t="s">
        <v>21</v>
      </c>
    </row>
    <row r="146" spans="1:14" ht="60" customHeight="1" x14ac:dyDescent="0.35">
      <c r="A146" s="11" t="s">
        <v>631</v>
      </c>
      <c r="B146" s="1" t="s">
        <v>632</v>
      </c>
      <c r="C146" s="2" t="s">
        <v>16</v>
      </c>
      <c r="D146" s="3" t="s">
        <v>319</v>
      </c>
      <c r="E146" s="4" t="s">
        <v>18</v>
      </c>
      <c r="F146" s="4" t="s">
        <v>19</v>
      </c>
      <c r="G146" s="4" t="s">
        <v>20</v>
      </c>
      <c r="H146" s="4" t="s">
        <v>21</v>
      </c>
      <c r="I146" s="5" t="s">
        <v>21</v>
      </c>
      <c r="J146" s="1" t="s">
        <v>633</v>
      </c>
      <c r="K146" s="1" t="s">
        <v>629</v>
      </c>
      <c r="L146" s="1" t="s">
        <v>634</v>
      </c>
      <c r="M146" s="4" t="str">
        <f t="shared" si="0"/>
        <v>Outstanding</v>
      </c>
      <c r="N146" s="13" t="s">
        <v>21</v>
      </c>
    </row>
    <row r="147" spans="1:14" ht="60" customHeight="1" x14ac:dyDescent="0.35">
      <c r="A147" s="11" t="s">
        <v>635</v>
      </c>
      <c r="B147" s="1" t="s">
        <v>636</v>
      </c>
      <c r="C147" s="2" t="s">
        <v>16</v>
      </c>
      <c r="D147" s="3" t="s">
        <v>319</v>
      </c>
      <c r="E147" s="4" t="s">
        <v>18</v>
      </c>
      <c r="F147" s="4" t="s">
        <v>19</v>
      </c>
      <c r="G147" s="4" t="s">
        <v>20</v>
      </c>
      <c r="H147" s="4" t="s">
        <v>21</v>
      </c>
      <c r="I147" s="5" t="s">
        <v>21</v>
      </c>
      <c r="J147" s="1" t="s">
        <v>637</v>
      </c>
      <c r="K147" s="1" t="s">
        <v>638</v>
      </c>
      <c r="L147" s="1" t="s">
        <v>639</v>
      </c>
      <c r="M147" s="4" t="str">
        <f t="shared" si="0"/>
        <v>Outstanding</v>
      </c>
      <c r="N147" s="13" t="s">
        <v>21</v>
      </c>
    </row>
    <row r="148" spans="1:14" ht="60" customHeight="1" x14ac:dyDescent="0.35">
      <c r="A148" s="11" t="s">
        <v>640</v>
      </c>
      <c r="B148" s="1" t="s">
        <v>641</v>
      </c>
      <c r="C148" s="2" t="s">
        <v>16</v>
      </c>
      <c r="D148" s="3" t="s">
        <v>319</v>
      </c>
      <c r="E148" s="4" t="s">
        <v>18</v>
      </c>
      <c r="F148" s="4" t="s">
        <v>19</v>
      </c>
      <c r="G148" s="4" t="s">
        <v>20</v>
      </c>
      <c r="H148" s="4" t="s">
        <v>21</v>
      </c>
      <c r="I148" s="5" t="s">
        <v>21</v>
      </c>
      <c r="J148" s="1" t="s">
        <v>642</v>
      </c>
      <c r="K148" s="1" t="s">
        <v>643</v>
      </c>
      <c r="L148" s="1" t="s">
        <v>644</v>
      </c>
      <c r="M148" s="4" t="str">
        <f t="shared" si="0"/>
        <v>Outstanding</v>
      </c>
      <c r="N148" s="13" t="s">
        <v>21</v>
      </c>
    </row>
    <row r="149" spans="1:14" ht="60" customHeight="1" x14ac:dyDescent="0.35">
      <c r="A149" s="11" t="s">
        <v>645</v>
      </c>
      <c r="B149" s="1" t="s">
        <v>646</v>
      </c>
      <c r="C149" s="2" t="s">
        <v>16</v>
      </c>
      <c r="D149" s="3" t="s">
        <v>319</v>
      </c>
      <c r="E149" s="4" t="s">
        <v>18</v>
      </c>
      <c r="F149" s="4" t="s">
        <v>19</v>
      </c>
      <c r="G149" s="4" t="s">
        <v>20</v>
      </c>
      <c r="H149" s="4" t="s">
        <v>21</v>
      </c>
      <c r="I149" s="5" t="s">
        <v>21</v>
      </c>
      <c r="J149" s="1" t="s">
        <v>647</v>
      </c>
      <c r="K149" s="1" t="s">
        <v>648</v>
      </c>
      <c r="L149" s="1" t="s">
        <v>649</v>
      </c>
      <c r="M149" s="4" t="str">
        <f t="shared" si="0"/>
        <v>Outstanding</v>
      </c>
      <c r="N149" s="13" t="s">
        <v>21</v>
      </c>
    </row>
    <row r="150" spans="1:14" ht="60" customHeight="1" x14ac:dyDescent="0.35">
      <c r="A150" s="11" t="s">
        <v>650</v>
      </c>
      <c r="B150" s="1" t="s">
        <v>651</v>
      </c>
      <c r="C150" s="2" t="s">
        <v>16</v>
      </c>
      <c r="D150" s="3" t="s">
        <v>319</v>
      </c>
      <c r="E150" s="4" t="s">
        <v>18</v>
      </c>
      <c r="F150" s="4" t="s">
        <v>19</v>
      </c>
      <c r="G150" s="4" t="s">
        <v>20</v>
      </c>
      <c r="H150" s="4" t="s">
        <v>21</v>
      </c>
      <c r="I150" s="5" t="s">
        <v>21</v>
      </c>
      <c r="J150" s="1" t="s">
        <v>652</v>
      </c>
      <c r="K150" s="1" t="s">
        <v>653</v>
      </c>
      <c r="L150" s="1" t="s">
        <v>654</v>
      </c>
      <c r="M150" s="4" t="str">
        <f t="shared" si="0"/>
        <v>Outstanding</v>
      </c>
      <c r="N150" s="13" t="s">
        <v>21</v>
      </c>
    </row>
    <row r="151" spans="1:14" ht="60" customHeight="1" x14ac:dyDescent="0.35">
      <c r="A151" s="11" t="s">
        <v>655</v>
      </c>
      <c r="B151" s="1" t="s">
        <v>656</v>
      </c>
      <c r="C151" s="2" t="s">
        <v>16</v>
      </c>
      <c r="D151" s="3" t="s">
        <v>319</v>
      </c>
      <c r="E151" s="4" t="s">
        <v>18</v>
      </c>
      <c r="F151" s="4" t="s">
        <v>19</v>
      </c>
      <c r="G151" s="4" t="s">
        <v>20</v>
      </c>
      <c r="H151" s="4" t="s">
        <v>21</v>
      </c>
      <c r="I151" s="5" t="s">
        <v>21</v>
      </c>
      <c r="J151" s="1" t="s">
        <v>657</v>
      </c>
      <c r="K151" s="1" t="s">
        <v>658</v>
      </c>
      <c r="L151" s="1" t="s">
        <v>659</v>
      </c>
      <c r="M151" s="4" t="str">
        <f t="shared" si="0"/>
        <v>Outstanding</v>
      </c>
      <c r="N151" s="13" t="s">
        <v>21</v>
      </c>
    </row>
    <row r="152" spans="1:14" ht="60" customHeight="1" x14ac:dyDescent="0.35">
      <c r="A152" s="11" t="s">
        <v>660</v>
      </c>
      <c r="B152" s="1" t="s">
        <v>661</v>
      </c>
      <c r="C152" s="2" t="s">
        <v>16</v>
      </c>
      <c r="D152" s="3" t="s">
        <v>319</v>
      </c>
      <c r="E152" s="4" t="s">
        <v>18</v>
      </c>
      <c r="F152" s="4" t="s">
        <v>19</v>
      </c>
      <c r="G152" s="4" t="s">
        <v>20</v>
      </c>
      <c r="H152" s="4" t="s">
        <v>21</v>
      </c>
      <c r="I152" s="5" t="s">
        <v>21</v>
      </c>
      <c r="J152" s="1" t="s">
        <v>662</v>
      </c>
      <c r="K152" s="1" t="s">
        <v>663</v>
      </c>
      <c r="L152" s="1" t="s">
        <v>664</v>
      </c>
      <c r="M152" s="4" t="str">
        <f t="shared" si="0"/>
        <v>Outstanding</v>
      </c>
      <c r="N152" s="13" t="s">
        <v>21</v>
      </c>
    </row>
    <row r="153" spans="1:14" ht="60" customHeight="1" x14ac:dyDescent="0.35">
      <c r="A153" s="11" t="s">
        <v>665</v>
      </c>
      <c r="B153" s="1" t="s">
        <v>666</v>
      </c>
      <c r="C153" s="2" t="s">
        <v>16</v>
      </c>
      <c r="D153" s="3" t="s">
        <v>319</v>
      </c>
      <c r="E153" s="4" t="s">
        <v>18</v>
      </c>
      <c r="F153" s="4" t="s">
        <v>19</v>
      </c>
      <c r="G153" s="4" t="s">
        <v>20</v>
      </c>
      <c r="H153" s="4" t="s">
        <v>21</v>
      </c>
      <c r="I153" s="5" t="s">
        <v>21</v>
      </c>
      <c r="J153" s="1" t="s">
        <v>667</v>
      </c>
      <c r="K153" s="1" t="s">
        <v>668</v>
      </c>
      <c r="L153" s="1" t="s">
        <v>669</v>
      </c>
      <c r="M153" s="4" t="str">
        <f t="shared" si="0"/>
        <v>Outstanding</v>
      </c>
      <c r="N153" s="13" t="s">
        <v>21</v>
      </c>
    </row>
    <row r="154" spans="1:14" ht="60" customHeight="1" x14ac:dyDescent="0.35">
      <c r="A154" s="11" t="s">
        <v>670</v>
      </c>
      <c r="B154" s="1" t="s">
        <v>671</v>
      </c>
      <c r="C154" s="2" t="s">
        <v>16</v>
      </c>
      <c r="D154" s="3" t="s">
        <v>319</v>
      </c>
      <c r="E154" s="4" t="s">
        <v>18</v>
      </c>
      <c r="F154" s="4" t="s">
        <v>19</v>
      </c>
      <c r="G154" s="4" t="s">
        <v>20</v>
      </c>
      <c r="H154" s="4" t="s">
        <v>21</v>
      </c>
      <c r="I154" s="5" t="s">
        <v>21</v>
      </c>
      <c r="J154" s="1" t="s">
        <v>672</v>
      </c>
      <c r="K154" s="1" t="s">
        <v>673</v>
      </c>
      <c r="L154" s="1" t="s">
        <v>674</v>
      </c>
      <c r="M154" s="4" t="str">
        <f t="shared" si="0"/>
        <v>Outstanding</v>
      </c>
      <c r="N154" s="13" t="s">
        <v>21</v>
      </c>
    </row>
    <row r="155" spans="1:14" ht="60" customHeight="1" x14ac:dyDescent="0.35">
      <c r="A155" s="11" t="s">
        <v>675</v>
      </c>
      <c r="B155" s="1" t="s">
        <v>676</v>
      </c>
      <c r="C155" s="2" t="s">
        <v>16</v>
      </c>
      <c r="D155" s="3" t="s">
        <v>319</v>
      </c>
      <c r="E155" s="4" t="s">
        <v>18</v>
      </c>
      <c r="F155" s="4" t="s">
        <v>19</v>
      </c>
      <c r="G155" s="4" t="s">
        <v>20</v>
      </c>
      <c r="H155" s="4" t="s">
        <v>21</v>
      </c>
      <c r="I155" s="5" t="s">
        <v>21</v>
      </c>
      <c r="J155" s="1" t="s">
        <v>677</v>
      </c>
      <c r="K155" s="1" t="s">
        <v>678</v>
      </c>
      <c r="L155" s="1" t="s">
        <v>679</v>
      </c>
      <c r="M155" s="4" t="str">
        <f t="shared" si="0"/>
        <v>Outstanding</v>
      </c>
      <c r="N155" s="13" t="s">
        <v>21</v>
      </c>
    </row>
    <row r="156" spans="1:14" ht="60" customHeight="1" x14ac:dyDescent="0.35">
      <c r="A156" s="11" t="s">
        <v>680</v>
      </c>
      <c r="B156" s="1" t="s">
        <v>681</v>
      </c>
      <c r="C156" s="2" t="s">
        <v>16</v>
      </c>
      <c r="D156" s="3" t="s">
        <v>319</v>
      </c>
      <c r="E156" s="4" t="s">
        <v>18</v>
      </c>
      <c r="F156" s="4" t="s">
        <v>19</v>
      </c>
      <c r="G156" s="4" t="s">
        <v>20</v>
      </c>
      <c r="H156" s="4" t="s">
        <v>21</v>
      </c>
      <c r="I156" s="5" t="s">
        <v>21</v>
      </c>
      <c r="J156" s="1" t="s">
        <v>682</v>
      </c>
      <c r="K156" s="1" t="s">
        <v>683</v>
      </c>
      <c r="L156" s="1" t="s">
        <v>684</v>
      </c>
      <c r="M156" s="4" t="str">
        <f t="shared" si="0"/>
        <v>Outstanding</v>
      </c>
      <c r="N156" s="13" t="s">
        <v>21</v>
      </c>
    </row>
    <row r="157" spans="1:14" ht="60" customHeight="1" x14ac:dyDescent="0.35">
      <c r="A157" s="11" t="s">
        <v>685</v>
      </c>
      <c r="B157" s="1" t="s">
        <v>686</v>
      </c>
      <c r="C157" s="2" t="s">
        <v>16</v>
      </c>
      <c r="D157" s="3" t="s">
        <v>319</v>
      </c>
      <c r="E157" s="4" t="s">
        <v>18</v>
      </c>
      <c r="F157" s="4" t="s">
        <v>19</v>
      </c>
      <c r="G157" s="4" t="s">
        <v>20</v>
      </c>
      <c r="H157" s="4" t="s">
        <v>21</v>
      </c>
      <c r="I157" s="5" t="s">
        <v>21</v>
      </c>
      <c r="J157" s="1" t="s">
        <v>687</v>
      </c>
      <c r="K157" s="1" t="s">
        <v>688</v>
      </c>
      <c r="L157" s="1" t="s">
        <v>689</v>
      </c>
      <c r="M157" s="4" t="str">
        <f t="shared" si="0"/>
        <v>Outstanding</v>
      </c>
      <c r="N157" s="13" t="s">
        <v>21</v>
      </c>
    </row>
    <row r="158" spans="1:14" ht="60" customHeight="1" x14ac:dyDescent="0.35">
      <c r="A158" s="11" t="s">
        <v>690</v>
      </c>
      <c r="B158" s="1" t="s">
        <v>691</v>
      </c>
      <c r="C158" s="2" t="s">
        <v>16</v>
      </c>
      <c r="D158" s="3" t="s">
        <v>319</v>
      </c>
      <c r="E158" s="4" t="s">
        <v>18</v>
      </c>
      <c r="F158" s="4" t="s">
        <v>19</v>
      </c>
      <c r="G158" s="4" t="s">
        <v>20</v>
      </c>
      <c r="H158" s="4" t="s">
        <v>21</v>
      </c>
      <c r="I158" s="5" t="s">
        <v>21</v>
      </c>
      <c r="J158" s="1" t="s">
        <v>692</v>
      </c>
      <c r="K158" s="1" t="s">
        <v>693</v>
      </c>
      <c r="L158" s="1" t="s">
        <v>694</v>
      </c>
      <c r="M158" s="4" t="str">
        <f t="shared" si="0"/>
        <v>Outstanding</v>
      </c>
      <c r="N158" s="13" t="s">
        <v>21</v>
      </c>
    </row>
    <row r="159" spans="1:14" ht="60" customHeight="1" x14ac:dyDescent="0.35">
      <c r="A159" s="11" t="s">
        <v>695</v>
      </c>
      <c r="B159" s="1" t="s">
        <v>696</v>
      </c>
      <c r="C159" s="2" t="s">
        <v>16</v>
      </c>
      <c r="D159" s="3" t="s">
        <v>319</v>
      </c>
      <c r="E159" s="4" t="s">
        <v>18</v>
      </c>
      <c r="F159" s="4" t="s">
        <v>19</v>
      </c>
      <c r="G159" s="4" t="s">
        <v>20</v>
      </c>
      <c r="H159" s="4" t="s">
        <v>21</v>
      </c>
      <c r="I159" s="5" t="s">
        <v>21</v>
      </c>
      <c r="J159" s="1" t="s">
        <v>697</v>
      </c>
      <c r="K159" s="1" t="s">
        <v>698</v>
      </c>
      <c r="L159" s="1" t="s">
        <v>699</v>
      </c>
      <c r="M159" s="4" t="str">
        <f t="shared" si="0"/>
        <v>Outstanding</v>
      </c>
      <c r="N159" s="13" t="s">
        <v>21</v>
      </c>
    </row>
    <row r="160" spans="1:14" ht="60" customHeight="1" x14ac:dyDescent="0.35">
      <c r="A160" s="11" t="s">
        <v>700</v>
      </c>
      <c r="B160" s="1" t="s">
        <v>701</v>
      </c>
      <c r="C160" s="2" t="s">
        <v>16</v>
      </c>
      <c r="D160" s="3" t="s">
        <v>319</v>
      </c>
      <c r="E160" s="4" t="s">
        <v>18</v>
      </c>
      <c r="F160" s="4" t="s">
        <v>19</v>
      </c>
      <c r="G160" s="4" t="s">
        <v>20</v>
      </c>
      <c r="H160" s="4" t="s">
        <v>21</v>
      </c>
      <c r="I160" s="5" t="s">
        <v>21</v>
      </c>
      <c r="J160" s="1" t="s">
        <v>702</v>
      </c>
      <c r="K160" s="1" t="s">
        <v>703</v>
      </c>
      <c r="L160" s="1" t="s">
        <v>704</v>
      </c>
      <c r="M160" s="4" t="str">
        <f t="shared" si="0"/>
        <v>Outstanding</v>
      </c>
      <c r="N160" s="13" t="s">
        <v>21</v>
      </c>
    </row>
    <row r="161" spans="1:14" ht="60" customHeight="1" x14ac:dyDescent="0.35">
      <c r="A161" s="11" t="s">
        <v>705</v>
      </c>
      <c r="B161" s="1" t="s">
        <v>706</v>
      </c>
      <c r="C161" s="2" t="s">
        <v>16</v>
      </c>
      <c r="D161" s="3" t="s">
        <v>319</v>
      </c>
      <c r="E161" s="4" t="s">
        <v>18</v>
      </c>
      <c r="F161" s="4" t="s">
        <v>19</v>
      </c>
      <c r="G161" s="4" t="s">
        <v>20</v>
      </c>
      <c r="H161" s="4" t="s">
        <v>21</v>
      </c>
      <c r="I161" s="5" t="s">
        <v>21</v>
      </c>
      <c r="J161" s="1" t="s">
        <v>707</v>
      </c>
      <c r="K161" s="1" t="s">
        <v>708</v>
      </c>
      <c r="L161" s="1" t="s">
        <v>709</v>
      </c>
      <c r="M161" s="4" t="str">
        <f t="shared" si="0"/>
        <v>Outstanding</v>
      </c>
      <c r="N161" s="13" t="s">
        <v>21</v>
      </c>
    </row>
    <row r="162" spans="1:14" ht="60" customHeight="1" x14ac:dyDescent="0.35">
      <c r="A162" s="11" t="s">
        <v>710</v>
      </c>
      <c r="B162" s="1" t="s">
        <v>711</v>
      </c>
      <c r="C162" s="2" t="s">
        <v>16</v>
      </c>
      <c r="D162" s="3" t="s">
        <v>319</v>
      </c>
      <c r="E162" s="4" t="s">
        <v>18</v>
      </c>
      <c r="F162" s="4" t="s">
        <v>19</v>
      </c>
      <c r="G162" s="4" t="s">
        <v>20</v>
      </c>
      <c r="H162" s="4" t="s">
        <v>21</v>
      </c>
      <c r="I162" s="5" t="s">
        <v>21</v>
      </c>
      <c r="J162" s="1" t="s">
        <v>712</v>
      </c>
      <c r="K162" s="1" t="s">
        <v>713</v>
      </c>
      <c r="L162" s="1" t="s">
        <v>714</v>
      </c>
      <c r="M162" s="4" t="str">
        <f t="shared" si="0"/>
        <v>Outstanding</v>
      </c>
      <c r="N162" s="13" t="s">
        <v>21</v>
      </c>
    </row>
    <row r="163" spans="1:14" ht="60" customHeight="1" x14ac:dyDescent="0.35">
      <c r="A163" s="11" t="s">
        <v>715</v>
      </c>
      <c r="B163" s="1" t="s">
        <v>716</v>
      </c>
      <c r="C163" s="2" t="s">
        <v>16</v>
      </c>
      <c r="D163" s="3" t="s">
        <v>319</v>
      </c>
      <c r="E163" s="4" t="s">
        <v>18</v>
      </c>
      <c r="F163" s="4" t="s">
        <v>19</v>
      </c>
      <c r="G163" s="4" t="s">
        <v>20</v>
      </c>
      <c r="H163" s="4" t="s">
        <v>21</v>
      </c>
      <c r="I163" s="5" t="s">
        <v>21</v>
      </c>
      <c r="J163" s="1" t="s">
        <v>717</v>
      </c>
      <c r="K163" s="1" t="s">
        <v>718</v>
      </c>
      <c r="L163" s="1" t="s">
        <v>719</v>
      </c>
      <c r="M163" s="4" t="str">
        <f t="shared" si="0"/>
        <v>Outstanding</v>
      </c>
      <c r="N163" s="13" t="s">
        <v>21</v>
      </c>
    </row>
    <row r="164" spans="1:14" ht="60" customHeight="1" x14ac:dyDescent="0.35">
      <c r="A164" s="11" t="s">
        <v>720</v>
      </c>
      <c r="B164" s="1" t="s">
        <v>721</v>
      </c>
      <c r="C164" s="2" t="s">
        <v>16</v>
      </c>
      <c r="D164" s="3" t="s">
        <v>319</v>
      </c>
      <c r="E164" s="4" t="s">
        <v>18</v>
      </c>
      <c r="F164" s="4" t="s">
        <v>19</v>
      </c>
      <c r="G164" s="4" t="s">
        <v>20</v>
      </c>
      <c r="H164" s="4" t="s">
        <v>21</v>
      </c>
      <c r="I164" s="5" t="s">
        <v>21</v>
      </c>
      <c r="J164" s="1" t="s">
        <v>722</v>
      </c>
      <c r="K164" s="1" t="s">
        <v>723</v>
      </c>
      <c r="L164" s="1" t="s">
        <v>724</v>
      </c>
      <c r="M164" s="4" t="str">
        <f t="shared" si="0"/>
        <v>Outstanding</v>
      </c>
      <c r="N164" s="13" t="s">
        <v>21</v>
      </c>
    </row>
    <row r="165" spans="1:14" ht="60" customHeight="1" x14ac:dyDescent="0.35">
      <c r="A165" s="11" t="s">
        <v>725</v>
      </c>
      <c r="B165" s="1" t="s">
        <v>726</v>
      </c>
      <c r="C165" s="2" t="s">
        <v>16</v>
      </c>
      <c r="D165" s="3" t="s">
        <v>319</v>
      </c>
      <c r="E165" s="4" t="s">
        <v>18</v>
      </c>
      <c r="F165" s="4" t="s">
        <v>19</v>
      </c>
      <c r="G165" s="4" t="s">
        <v>20</v>
      </c>
      <c r="H165" s="4" t="s">
        <v>21</v>
      </c>
      <c r="I165" s="5" t="s">
        <v>21</v>
      </c>
      <c r="J165" s="1" t="s">
        <v>727</v>
      </c>
      <c r="K165" s="1" t="s">
        <v>728</v>
      </c>
      <c r="L165" s="1" t="s">
        <v>729</v>
      </c>
      <c r="M165" s="4" t="str">
        <f t="shared" si="0"/>
        <v>Outstanding</v>
      </c>
      <c r="N165" s="13" t="s">
        <v>21</v>
      </c>
    </row>
    <row r="166" spans="1:14" ht="60" customHeight="1" x14ac:dyDescent="0.35">
      <c r="A166" s="11" t="s">
        <v>730</v>
      </c>
      <c r="B166" s="1" t="s">
        <v>731</v>
      </c>
      <c r="C166" s="2" t="s">
        <v>16</v>
      </c>
      <c r="D166" s="3" t="s">
        <v>319</v>
      </c>
      <c r="E166" s="4" t="s">
        <v>18</v>
      </c>
      <c r="F166" s="4" t="s">
        <v>19</v>
      </c>
      <c r="G166" s="4" t="s">
        <v>20</v>
      </c>
      <c r="H166" s="4" t="s">
        <v>21</v>
      </c>
      <c r="I166" s="5" t="s">
        <v>21</v>
      </c>
      <c r="J166" s="1" t="s">
        <v>732</v>
      </c>
      <c r="K166" s="1" t="s">
        <v>733</v>
      </c>
      <c r="L166" s="1" t="s">
        <v>734</v>
      </c>
      <c r="M166" s="4" t="str">
        <f t="shared" si="0"/>
        <v>Outstanding</v>
      </c>
      <c r="N166" s="13" t="s">
        <v>21</v>
      </c>
    </row>
    <row r="167" spans="1:14" ht="60" customHeight="1" x14ac:dyDescent="0.35">
      <c r="A167" s="11" t="s">
        <v>735</v>
      </c>
      <c r="B167" s="1" t="s">
        <v>736</v>
      </c>
      <c r="C167" s="2" t="s">
        <v>16</v>
      </c>
      <c r="D167" s="3" t="s">
        <v>319</v>
      </c>
      <c r="E167" s="4" t="s">
        <v>18</v>
      </c>
      <c r="F167" s="4" t="s">
        <v>19</v>
      </c>
      <c r="G167" s="4" t="s">
        <v>20</v>
      </c>
      <c r="H167" s="4" t="s">
        <v>21</v>
      </c>
      <c r="I167" s="5" t="s">
        <v>21</v>
      </c>
      <c r="J167" s="1" t="s">
        <v>737</v>
      </c>
      <c r="K167" s="1" t="s">
        <v>738</v>
      </c>
      <c r="L167" s="1" t="s">
        <v>739</v>
      </c>
      <c r="M167" s="4" t="str">
        <f t="shared" si="0"/>
        <v>Outstanding</v>
      </c>
      <c r="N167" s="13" t="s">
        <v>21</v>
      </c>
    </row>
    <row r="168" spans="1:14" ht="60" customHeight="1" x14ac:dyDescent="0.35">
      <c r="A168" s="11" t="s">
        <v>740</v>
      </c>
      <c r="B168" s="1" t="s">
        <v>741</v>
      </c>
      <c r="C168" s="2" t="s">
        <v>16</v>
      </c>
      <c r="D168" s="3" t="s">
        <v>319</v>
      </c>
      <c r="E168" s="4" t="s">
        <v>18</v>
      </c>
      <c r="F168" s="4" t="s">
        <v>19</v>
      </c>
      <c r="G168" s="4" t="s">
        <v>20</v>
      </c>
      <c r="H168" s="4" t="s">
        <v>21</v>
      </c>
      <c r="I168" s="5" t="s">
        <v>21</v>
      </c>
      <c r="J168" s="1" t="s">
        <v>742</v>
      </c>
      <c r="K168" s="1" t="s">
        <v>743</v>
      </c>
      <c r="L168" s="1" t="s">
        <v>744</v>
      </c>
      <c r="M168" s="4" t="str">
        <f t="shared" si="0"/>
        <v>Outstanding</v>
      </c>
      <c r="N168" s="13" t="s">
        <v>21</v>
      </c>
    </row>
    <row r="169" spans="1:14" ht="60" customHeight="1" x14ac:dyDescent="0.35">
      <c r="A169" s="11" t="s">
        <v>745</v>
      </c>
      <c r="B169" s="1" t="s">
        <v>746</v>
      </c>
      <c r="C169" s="2" t="s">
        <v>16</v>
      </c>
      <c r="D169" s="3" t="s">
        <v>319</v>
      </c>
      <c r="E169" s="4" t="s">
        <v>18</v>
      </c>
      <c r="F169" s="4" t="s">
        <v>19</v>
      </c>
      <c r="G169" s="4" t="s">
        <v>20</v>
      </c>
      <c r="H169" s="4" t="s">
        <v>21</v>
      </c>
      <c r="I169" s="5" t="s">
        <v>21</v>
      </c>
      <c r="J169" s="1" t="s">
        <v>747</v>
      </c>
      <c r="K169" s="1" t="s">
        <v>748</v>
      </c>
      <c r="L169" s="1" t="s">
        <v>749</v>
      </c>
      <c r="M169" s="4" t="str">
        <f t="shared" si="0"/>
        <v>Outstanding</v>
      </c>
      <c r="N169" s="13" t="s">
        <v>21</v>
      </c>
    </row>
    <row r="170" spans="1:14" ht="60" customHeight="1" x14ac:dyDescent="0.35">
      <c r="A170" s="11" t="s">
        <v>750</v>
      </c>
      <c r="B170" s="1" t="s">
        <v>751</v>
      </c>
      <c r="C170" s="2" t="s">
        <v>16</v>
      </c>
      <c r="D170" s="3" t="s">
        <v>319</v>
      </c>
      <c r="E170" s="4" t="s">
        <v>18</v>
      </c>
      <c r="F170" s="4" t="s">
        <v>19</v>
      </c>
      <c r="G170" s="4" t="s">
        <v>20</v>
      </c>
      <c r="H170" s="4" t="s">
        <v>21</v>
      </c>
      <c r="I170" s="5" t="s">
        <v>21</v>
      </c>
      <c r="J170" s="1" t="s">
        <v>752</v>
      </c>
      <c r="K170" s="1" t="s">
        <v>753</v>
      </c>
      <c r="L170" s="1" t="s">
        <v>754</v>
      </c>
      <c r="M170" s="4" t="str">
        <f t="shared" si="0"/>
        <v>Outstanding</v>
      </c>
      <c r="N170" s="13" t="s">
        <v>21</v>
      </c>
    </row>
    <row r="171" spans="1:14" ht="60" customHeight="1" x14ac:dyDescent="0.35">
      <c r="A171" s="11" t="s">
        <v>755</v>
      </c>
      <c r="B171" s="1" t="s">
        <v>756</v>
      </c>
      <c r="C171" s="2" t="s">
        <v>16</v>
      </c>
      <c r="D171" s="3" t="s">
        <v>319</v>
      </c>
      <c r="E171" s="4" t="s">
        <v>18</v>
      </c>
      <c r="F171" s="4" t="s">
        <v>19</v>
      </c>
      <c r="G171" s="4" t="s">
        <v>20</v>
      </c>
      <c r="H171" s="4" t="s">
        <v>21</v>
      </c>
      <c r="I171" s="5" t="s">
        <v>21</v>
      </c>
      <c r="J171" s="1" t="s">
        <v>757</v>
      </c>
      <c r="K171" s="1" t="s">
        <v>758</v>
      </c>
      <c r="L171" s="1" t="s">
        <v>759</v>
      </c>
      <c r="M171" s="4" t="str">
        <f t="shared" si="0"/>
        <v>Outstanding</v>
      </c>
      <c r="N171" s="13" t="s">
        <v>21</v>
      </c>
    </row>
    <row r="172" spans="1:14" ht="60" customHeight="1" x14ac:dyDescent="0.35">
      <c r="A172" s="11" t="s">
        <v>760</v>
      </c>
      <c r="B172" s="1" t="s">
        <v>761</v>
      </c>
      <c r="C172" s="2" t="s">
        <v>16</v>
      </c>
      <c r="D172" s="3" t="s">
        <v>319</v>
      </c>
      <c r="E172" s="4" t="s">
        <v>18</v>
      </c>
      <c r="F172" s="4" t="s">
        <v>19</v>
      </c>
      <c r="G172" s="4" t="s">
        <v>20</v>
      </c>
      <c r="H172" s="4" t="s">
        <v>21</v>
      </c>
      <c r="I172" s="5" t="s">
        <v>21</v>
      </c>
      <c r="J172" s="1" t="s">
        <v>762</v>
      </c>
      <c r="K172" s="1" t="s">
        <v>763</v>
      </c>
      <c r="L172" s="1" t="s">
        <v>764</v>
      </c>
      <c r="M172" s="4" t="str">
        <f t="shared" si="0"/>
        <v>Outstanding</v>
      </c>
      <c r="N172" s="13" t="s">
        <v>21</v>
      </c>
    </row>
    <row r="173" spans="1:14" ht="60" customHeight="1" x14ac:dyDescent="0.35">
      <c r="A173" s="11" t="s">
        <v>765</v>
      </c>
      <c r="B173" s="1" t="s">
        <v>766</v>
      </c>
      <c r="C173" s="2" t="s">
        <v>16</v>
      </c>
      <c r="D173" s="3" t="s">
        <v>319</v>
      </c>
      <c r="E173" s="4" t="s">
        <v>18</v>
      </c>
      <c r="F173" s="4" t="s">
        <v>19</v>
      </c>
      <c r="G173" s="4" t="s">
        <v>20</v>
      </c>
      <c r="H173" s="4" t="s">
        <v>21</v>
      </c>
      <c r="I173" s="5" t="s">
        <v>21</v>
      </c>
      <c r="J173" s="1" t="s">
        <v>767</v>
      </c>
      <c r="K173" s="1" t="s">
        <v>768</v>
      </c>
      <c r="L173" s="1" t="s">
        <v>769</v>
      </c>
      <c r="M173" s="4" t="str">
        <f t="shared" si="0"/>
        <v>Outstanding</v>
      </c>
      <c r="N173" s="13" t="s">
        <v>21</v>
      </c>
    </row>
    <row r="174" spans="1:14" ht="60" customHeight="1" x14ac:dyDescent="0.35">
      <c r="A174" s="11" t="s">
        <v>770</v>
      </c>
      <c r="B174" s="1" t="s">
        <v>771</v>
      </c>
      <c r="C174" s="2" t="s">
        <v>16</v>
      </c>
      <c r="D174" s="3" t="s">
        <v>319</v>
      </c>
      <c r="E174" s="4" t="s">
        <v>18</v>
      </c>
      <c r="F174" s="4" t="s">
        <v>19</v>
      </c>
      <c r="G174" s="4" t="s">
        <v>20</v>
      </c>
      <c r="H174" s="4" t="s">
        <v>21</v>
      </c>
      <c r="I174" s="5" t="s">
        <v>21</v>
      </c>
      <c r="J174" s="1" t="s">
        <v>772</v>
      </c>
      <c r="K174" s="1" t="s">
        <v>773</v>
      </c>
      <c r="L174" s="1" t="s">
        <v>774</v>
      </c>
      <c r="M174" s="4" t="str">
        <f t="shared" si="0"/>
        <v>Outstanding</v>
      </c>
      <c r="N174" s="13" t="s">
        <v>21</v>
      </c>
    </row>
    <row r="175" spans="1:14" ht="60" customHeight="1" x14ac:dyDescent="0.35">
      <c r="A175" s="11" t="s">
        <v>775</v>
      </c>
      <c r="B175" s="1" t="s">
        <v>776</v>
      </c>
      <c r="C175" s="2" t="s">
        <v>16</v>
      </c>
      <c r="D175" s="3" t="s">
        <v>319</v>
      </c>
      <c r="E175" s="4" t="s">
        <v>18</v>
      </c>
      <c r="F175" s="4" t="s">
        <v>19</v>
      </c>
      <c r="G175" s="4" t="s">
        <v>20</v>
      </c>
      <c r="H175" s="4" t="s">
        <v>21</v>
      </c>
      <c r="I175" s="5" t="s">
        <v>21</v>
      </c>
      <c r="J175" s="1" t="s">
        <v>777</v>
      </c>
      <c r="K175" s="1" t="s">
        <v>778</v>
      </c>
      <c r="L175" s="1" t="s">
        <v>779</v>
      </c>
      <c r="M175" s="4" t="str">
        <f t="shared" si="0"/>
        <v>Outstanding</v>
      </c>
      <c r="N175" s="13" t="s">
        <v>21</v>
      </c>
    </row>
    <row r="176" spans="1:14" ht="60" customHeight="1" x14ac:dyDescent="0.35">
      <c r="A176" s="11" t="s">
        <v>780</v>
      </c>
      <c r="B176" s="1" t="s">
        <v>781</v>
      </c>
      <c r="C176" s="2" t="s">
        <v>16</v>
      </c>
      <c r="D176" s="3" t="s">
        <v>319</v>
      </c>
      <c r="E176" s="4" t="s">
        <v>18</v>
      </c>
      <c r="F176" s="4" t="s">
        <v>19</v>
      </c>
      <c r="G176" s="4" t="s">
        <v>20</v>
      </c>
      <c r="H176" s="4" t="s">
        <v>21</v>
      </c>
      <c r="I176" s="5" t="s">
        <v>21</v>
      </c>
      <c r="J176" s="1" t="s">
        <v>782</v>
      </c>
      <c r="K176" s="1" t="s">
        <v>783</v>
      </c>
      <c r="L176" s="1" t="s">
        <v>784</v>
      </c>
      <c r="M176" s="4" t="str">
        <f t="shared" si="0"/>
        <v>Outstanding</v>
      </c>
      <c r="N176" s="13" t="s">
        <v>21</v>
      </c>
    </row>
    <row r="177" spans="1:14" ht="60" customHeight="1" x14ac:dyDescent="0.35">
      <c r="A177" s="11" t="s">
        <v>785</v>
      </c>
      <c r="B177" s="1" t="s">
        <v>786</v>
      </c>
      <c r="C177" s="2" t="s">
        <v>16</v>
      </c>
      <c r="D177" s="3" t="s">
        <v>319</v>
      </c>
      <c r="E177" s="4" t="s">
        <v>18</v>
      </c>
      <c r="F177" s="4" t="s">
        <v>19</v>
      </c>
      <c r="G177" s="4" t="s">
        <v>20</v>
      </c>
      <c r="H177" s="4" t="s">
        <v>21</v>
      </c>
      <c r="I177" s="5" t="s">
        <v>21</v>
      </c>
      <c r="J177" s="1" t="s">
        <v>787</v>
      </c>
      <c r="K177" s="1" t="s">
        <v>788</v>
      </c>
      <c r="L177" s="1" t="s">
        <v>789</v>
      </c>
      <c r="M177" s="4" t="str">
        <f t="shared" si="0"/>
        <v>Outstanding</v>
      </c>
      <c r="N177" s="13" t="s">
        <v>21</v>
      </c>
    </row>
    <row r="178" spans="1:14" ht="60" customHeight="1" x14ac:dyDescent="0.35">
      <c r="A178" s="11" t="s">
        <v>790</v>
      </c>
      <c r="B178" s="1" t="s">
        <v>791</v>
      </c>
      <c r="C178" s="2" t="s">
        <v>16</v>
      </c>
      <c r="D178" s="3" t="s">
        <v>319</v>
      </c>
      <c r="E178" s="4" t="s">
        <v>18</v>
      </c>
      <c r="F178" s="4" t="s">
        <v>19</v>
      </c>
      <c r="G178" s="4" t="s">
        <v>20</v>
      </c>
      <c r="H178" s="4" t="s">
        <v>21</v>
      </c>
      <c r="I178" s="5" t="s">
        <v>21</v>
      </c>
      <c r="J178" s="1" t="s">
        <v>792</v>
      </c>
      <c r="K178" s="1" t="s">
        <v>793</v>
      </c>
      <c r="L178" s="1" t="s">
        <v>794</v>
      </c>
      <c r="M178" s="4" t="str">
        <f t="shared" si="0"/>
        <v>Outstanding</v>
      </c>
      <c r="N178" s="13" t="s">
        <v>21</v>
      </c>
    </row>
    <row r="179" spans="1:14" ht="60" customHeight="1" x14ac:dyDescent="0.35">
      <c r="A179" s="11" t="s">
        <v>795</v>
      </c>
      <c r="B179" s="1" t="s">
        <v>796</v>
      </c>
      <c r="C179" s="2" t="s">
        <v>16</v>
      </c>
      <c r="D179" s="3" t="s">
        <v>319</v>
      </c>
      <c r="E179" s="4" t="s">
        <v>18</v>
      </c>
      <c r="F179" s="4" t="s">
        <v>19</v>
      </c>
      <c r="G179" s="4" t="s">
        <v>20</v>
      </c>
      <c r="H179" s="4" t="s">
        <v>21</v>
      </c>
      <c r="I179" s="5" t="s">
        <v>21</v>
      </c>
      <c r="J179" s="1" t="s">
        <v>797</v>
      </c>
      <c r="K179" s="1" t="s">
        <v>798</v>
      </c>
      <c r="L179" s="1" t="s">
        <v>799</v>
      </c>
      <c r="M179" s="4" t="str">
        <f t="shared" si="0"/>
        <v>Outstanding</v>
      </c>
      <c r="N179" s="13" t="s">
        <v>21</v>
      </c>
    </row>
    <row r="180" spans="1:14" ht="60" customHeight="1" x14ac:dyDescent="0.35">
      <c r="A180" s="11" t="s">
        <v>800</v>
      </c>
      <c r="B180" s="1" t="s">
        <v>801</v>
      </c>
      <c r="C180" s="2" t="s">
        <v>16</v>
      </c>
      <c r="D180" s="3" t="s">
        <v>319</v>
      </c>
      <c r="E180" s="4" t="s">
        <v>18</v>
      </c>
      <c r="F180" s="4" t="s">
        <v>19</v>
      </c>
      <c r="G180" s="4" t="s">
        <v>20</v>
      </c>
      <c r="H180" s="4" t="s">
        <v>21</v>
      </c>
      <c r="I180" s="5" t="s">
        <v>21</v>
      </c>
      <c r="J180" s="1" t="s">
        <v>802</v>
      </c>
      <c r="K180" s="1" t="s">
        <v>803</v>
      </c>
      <c r="L180" s="1" t="s">
        <v>804</v>
      </c>
      <c r="M180" s="4" t="str">
        <f t="shared" si="0"/>
        <v>Outstanding</v>
      </c>
      <c r="N180" s="13" t="s">
        <v>21</v>
      </c>
    </row>
    <row r="181" spans="1:14" ht="60" customHeight="1" x14ac:dyDescent="0.35">
      <c r="A181" s="11" t="s">
        <v>805</v>
      </c>
      <c r="B181" s="1" t="s">
        <v>806</v>
      </c>
      <c r="C181" s="2" t="s">
        <v>16</v>
      </c>
      <c r="D181" s="3" t="s">
        <v>319</v>
      </c>
      <c r="E181" s="4" t="s">
        <v>18</v>
      </c>
      <c r="F181" s="4" t="s">
        <v>19</v>
      </c>
      <c r="G181" s="4" t="s">
        <v>20</v>
      </c>
      <c r="H181" s="4" t="s">
        <v>21</v>
      </c>
      <c r="I181" s="5" t="s">
        <v>21</v>
      </c>
      <c r="J181" s="1" t="s">
        <v>807</v>
      </c>
      <c r="K181" s="1" t="s">
        <v>808</v>
      </c>
      <c r="L181" s="1" t="s">
        <v>809</v>
      </c>
      <c r="M181" s="4" t="str">
        <f t="shared" si="0"/>
        <v>Outstanding</v>
      </c>
      <c r="N181" s="13" t="s">
        <v>21</v>
      </c>
    </row>
    <row r="182" spans="1:14" ht="60" customHeight="1" x14ac:dyDescent="0.35">
      <c r="A182" s="11" t="s">
        <v>810</v>
      </c>
      <c r="B182" s="1" t="s">
        <v>811</v>
      </c>
      <c r="C182" s="2" t="s">
        <v>16</v>
      </c>
      <c r="D182" s="3" t="s">
        <v>319</v>
      </c>
      <c r="E182" s="4" t="s">
        <v>18</v>
      </c>
      <c r="F182" s="4" t="s">
        <v>19</v>
      </c>
      <c r="G182" s="4" t="s">
        <v>20</v>
      </c>
      <c r="H182" s="4" t="s">
        <v>21</v>
      </c>
      <c r="I182" s="5" t="s">
        <v>21</v>
      </c>
      <c r="J182" s="1" t="s">
        <v>812</v>
      </c>
      <c r="K182" s="1" t="s">
        <v>813</v>
      </c>
      <c r="L182" s="1" t="s">
        <v>814</v>
      </c>
      <c r="M182" s="4" t="str">
        <f t="shared" si="0"/>
        <v>Outstanding</v>
      </c>
      <c r="N182" s="13" t="s">
        <v>21</v>
      </c>
    </row>
    <row r="183" spans="1:14" ht="60" customHeight="1" x14ac:dyDescent="0.35">
      <c r="A183" s="11" t="s">
        <v>815</v>
      </c>
      <c r="B183" s="1" t="s">
        <v>816</v>
      </c>
      <c r="C183" s="2" t="s">
        <v>16</v>
      </c>
      <c r="D183" s="3" t="s">
        <v>319</v>
      </c>
      <c r="E183" s="4" t="s">
        <v>18</v>
      </c>
      <c r="F183" s="4" t="s">
        <v>19</v>
      </c>
      <c r="G183" s="4" t="s">
        <v>20</v>
      </c>
      <c r="H183" s="4" t="s">
        <v>21</v>
      </c>
      <c r="I183" s="5" t="s">
        <v>21</v>
      </c>
      <c r="J183" s="1" t="s">
        <v>817</v>
      </c>
      <c r="K183" s="1" t="s">
        <v>818</v>
      </c>
      <c r="L183" s="1" t="s">
        <v>819</v>
      </c>
      <c r="M183" s="4" t="str">
        <f t="shared" si="0"/>
        <v>Outstanding</v>
      </c>
      <c r="N183" s="13" t="s">
        <v>21</v>
      </c>
    </row>
    <row r="184" spans="1:14" ht="60" customHeight="1" x14ac:dyDescent="0.35">
      <c r="A184" s="11" t="s">
        <v>820</v>
      </c>
      <c r="B184" s="1" t="s">
        <v>821</v>
      </c>
      <c r="C184" s="2" t="s">
        <v>16</v>
      </c>
      <c r="D184" s="3" t="s">
        <v>319</v>
      </c>
      <c r="E184" s="4" t="s">
        <v>18</v>
      </c>
      <c r="F184" s="4" t="s">
        <v>19</v>
      </c>
      <c r="G184" s="4" t="s">
        <v>20</v>
      </c>
      <c r="H184" s="4" t="s">
        <v>21</v>
      </c>
      <c r="I184" s="5" t="s">
        <v>21</v>
      </c>
      <c r="J184" s="1" t="s">
        <v>822</v>
      </c>
      <c r="K184" s="1" t="s">
        <v>823</v>
      </c>
      <c r="L184" s="1" t="s">
        <v>824</v>
      </c>
      <c r="M184" s="4" t="str">
        <f t="shared" si="0"/>
        <v>Outstanding</v>
      </c>
      <c r="N184" s="13" t="s">
        <v>21</v>
      </c>
    </row>
    <row r="185" spans="1:14" ht="60" customHeight="1" x14ac:dyDescent="0.35">
      <c r="A185" s="11" t="s">
        <v>825</v>
      </c>
      <c r="B185" s="1" t="s">
        <v>826</v>
      </c>
      <c r="C185" s="2" t="s">
        <v>16</v>
      </c>
      <c r="D185" s="3" t="s">
        <v>319</v>
      </c>
      <c r="E185" s="4" t="s">
        <v>18</v>
      </c>
      <c r="F185" s="4" t="s">
        <v>19</v>
      </c>
      <c r="G185" s="4" t="s">
        <v>20</v>
      </c>
      <c r="H185" s="4" t="s">
        <v>21</v>
      </c>
      <c r="I185" s="5" t="s">
        <v>21</v>
      </c>
      <c r="J185" s="1" t="s">
        <v>827</v>
      </c>
      <c r="K185" s="1" t="s">
        <v>828</v>
      </c>
      <c r="L185" s="1" t="s">
        <v>829</v>
      </c>
      <c r="M185" s="4" t="str">
        <f t="shared" si="0"/>
        <v>Outstanding</v>
      </c>
      <c r="N185" s="13" t="s">
        <v>21</v>
      </c>
    </row>
    <row r="186" spans="1:14" ht="60" customHeight="1" x14ac:dyDescent="0.35">
      <c r="A186" s="11" t="s">
        <v>830</v>
      </c>
      <c r="B186" s="1" t="s">
        <v>831</v>
      </c>
      <c r="C186" s="2" t="s">
        <v>16</v>
      </c>
      <c r="D186" s="3" t="s">
        <v>319</v>
      </c>
      <c r="E186" s="4" t="s">
        <v>18</v>
      </c>
      <c r="F186" s="4" t="s">
        <v>19</v>
      </c>
      <c r="G186" s="4" t="s">
        <v>20</v>
      </c>
      <c r="H186" s="4" t="s">
        <v>21</v>
      </c>
      <c r="I186" s="5" t="s">
        <v>21</v>
      </c>
      <c r="J186" s="1" t="s">
        <v>832</v>
      </c>
      <c r="K186" s="1" t="s">
        <v>833</v>
      </c>
      <c r="L186" s="1" t="s">
        <v>834</v>
      </c>
      <c r="M186" s="4" t="str">
        <f t="shared" si="0"/>
        <v>Outstanding</v>
      </c>
      <c r="N186" s="13" t="s">
        <v>21</v>
      </c>
    </row>
    <row r="187" spans="1:14" ht="60" customHeight="1" x14ac:dyDescent="0.35">
      <c r="A187" s="11" t="s">
        <v>835</v>
      </c>
      <c r="B187" s="1" t="s">
        <v>836</v>
      </c>
      <c r="C187" s="2" t="s">
        <v>163</v>
      </c>
      <c r="D187" s="3" t="s">
        <v>319</v>
      </c>
      <c r="E187" s="4" t="s">
        <v>18</v>
      </c>
      <c r="F187" s="4" t="s">
        <v>19</v>
      </c>
      <c r="G187" s="4" t="s">
        <v>20</v>
      </c>
      <c r="H187" s="4" t="s">
        <v>21</v>
      </c>
      <c r="I187" s="5" t="s">
        <v>21</v>
      </c>
      <c r="J187" s="1" t="s">
        <v>837</v>
      </c>
      <c r="K187" s="1" t="s">
        <v>838</v>
      </c>
      <c r="L187" s="1" t="s">
        <v>839</v>
      </c>
      <c r="M187" s="4" t="str">
        <f t="shared" si="0"/>
        <v>Outstanding</v>
      </c>
      <c r="N187" s="13" t="s">
        <v>21</v>
      </c>
    </row>
    <row r="188" spans="1:14" ht="60" customHeight="1" x14ac:dyDescent="0.35">
      <c r="A188" s="11" t="s">
        <v>840</v>
      </c>
      <c r="B188" s="1" t="s">
        <v>841</v>
      </c>
      <c r="C188" s="2" t="s">
        <v>16</v>
      </c>
      <c r="D188" s="3" t="s">
        <v>319</v>
      </c>
      <c r="E188" s="4" t="s">
        <v>18</v>
      </c>
      <c r="F188" s="4" t="s">
        <v>19</v>
      </c>
      <c r="G188" s="4" t="s">
        <v>20</v>
      </c>
      <c r="H188" s="4" t="s">
        <v>21</v>
      </c>
      <c r="I188" s="5" t="s">
        <v>21</v>
      </c>
      <c r="J188" s="1" t="s">
        <v>842</v>
      </c>
      <c r="K188" s="1" t="s">
        <v>843</v>
      </c>
      <c r="L188" s="1" t="s">
        <v>844</v>
      </c>
      <c r="M188" s="4" t="str">
        <f t="shared" si="0"/>
        <v>Outstanding</v>
      </c>
      <c r="N188" s="13" t="s">
        <v>21</v>
      </c>
    </row>
    <row r="189" spans="1:14" ht="60" customHeight="1" x14ac:dyDescent="0.35">
      <c r="A189" s="11" t="s">
        <v>845</v>
      </c>
      <c r="B189" s="1" t="s">
        <v>846</v>
      </c>
      <c r="C189" s="2" t="s">
        <v>16</v>
      </c>
      <c r="D189" s="3" t="s">
        <v>319</v>
      </c>
      <c r="E189" s="4" t="s">
        <v>18</v>
      </c>
      <c r="F189" s="4" t="s">
        <v>19</v>
      </c>
      <c r="G189" s="4" t="s">
        <v>20</v>
      </c>
      <c r="H189" s="4" t="s">
        <v>21</v>
      </c>
      <c r="I189" s="5" t="s">
        <v>21</v>
      </c>
      <c r="J189" s="1" t="s">
        <v>847</v>
      </c>
      <c r="K189" s="1" t="s">
        <v>848</v>
      </c>
      <c r="L189" s="1" t="s">
        <v>849</v>
      </c>
      <c r="M189" s="4" t="str">
        <f t="shared" si="0"/>
        <v>Outstanding</v>
      </c>
      <c r="N189" s="13" t="s">
        <v>21</v>
      </c>
    </row>
    <row r="190" spans="1:14" ht="60" customHeight="1" x14ac:dyDescent="0.35">
      <c r="A190" s="11" t="s">
        <v>850</v>
      </c>
      <c r="B190" s="1" t="s">
        <v>851</v>
      </c>
      <c r="C190" s="2" t="s">
        <v>16</v>
      </c>
      <c r="D190" s="3" t="s">
        <v>319</v>
      </c>
      <c r="E190" s="4" t="s">
        <v>18</v>
      </c>
      <c r="F190" s="4" t="s">
        <v>19</v>
      </c>
      <c r="G190" s="4" t="s">
        <v>20</v>
      </c>
      <c r="H190" s="4" t="s">
        <v>21</v>
      </c>
      <c r="I190" s="5" t="s">
        <v>21</v>
      </c>
      <c r="J190" s="1" t="s">
        <v>852</v>
      </c>
      <c r="K190" s="1" t="s">
        <v>853</v>
      </c>
      <c r="L190" s="1" t="s">
        <v>854</v>
      </c>
      <c r="M190" s="4" t="str">
        <f t="shared" si="0"/>
        <v>Outstanding</v>
      </c>
      <c r="N190" s="13" t="s">
        <v>21</v>
      </c>
    </row>
    <row r="191" spans="1:14" ht="60" customHeight="1" x14ac:dyDescent="0.35">
      <c r="A191" s="11" t="s">
        <v>855</v>
      </c>
      <c r="B191" s="1" t="s">
        <v>856</v>
      </c>
      <c r="C191" s="2" t="s">
        <v>16</v>
      </c>
      <c r="D191" s="3" t="s">
        <v>319</v>
      </c>
      <c r="E191" s="4" t="s">
        <v>18</v>
      </c>
      <c r="F191" s="4" t="s">
        <v>19</v>
      </c>
      <c r="G191" s="4" t="s">
        <v>20</v>
      </c>
      <c r="H191" s="4" t="s">
        <v>21</v>
      </c>
      <c r="I191" s="5" t="s">
        <v>21</v>
      </c>
      <c r="J191" s="1" t="s">
        <v>857</v>
      </c>
      <c r="K191" s="1" t="s">
        <v>858</v>
      </c>
      <c r="L191" s="1" t="s">
        <v>859</v>
      </c>
      <c r="M191" s="4" t="str">
        <f t="shared" si="0"/>
        <v>Outstanding</v>
      </c>
      <c r="N191" s="13" t="s">
        <v>21</v>
      </c>
    </row>
    <row r="192" spans="1:14" ht="60" customHeight="1" x14ac:dyDescent="0.35">
      <c r="A192" s="11" t="s">
        <v>860</v>
      </c>
      <c r="B192" s="1" t="s">
        <v>861</v>
      </c>
      <c r="C192" s="2" t="s">
        <v>16</v>
      </c>
      <c r="D192" s="3" t="s">
        <v>319</v>
      </c>
      <c r="E192" s="4" t="s">
        <v>18</v>
      </c>
      <c r="F192" s="4" t="s">
        <v>19</v>
      </c>
      <c r="G192" s="4" t="s">
        <v>20</v>
      </c>
      <c r="H192" s="4" t="s">
        <v>21</v>
      </c>
      <c r="I192" s="5" t="s">
        <v>21</v>
      </c>
      <c r="J192" s="1" t="s">
        <v>862</v>
      </c>
      <c r="K192" s="1" t="s">
        <v>863</v>
      </c>
      <c r="L192" s="1" t="s">
        <v>864</v>
      </c>
      <c r="M192" s="4" t="str">
        <f t="shared" si="0"/>
        <v>Outstanding</v>
      </c>
      <c r="N192" s="13" t="s">
        <v>21</v>
      </c>
    </row>
    <row r="193" spans="1:14" ht="60" customHeight="1" x14ac:dyDescent="0.35">
      <c r="A193" s="11" t="s">
        <v>865</v>
      </c>
      <c r="B193" s="1" t="s">
        <v>861</v>
      </c>
      <c r="C193" s="2" t="s">
        <v>16</v>
      </c>
      <c r="D193" s="3" t="s">
        <v>319</v>
      </c>
      <c r="E193" s="4" t="s">
        <v>18</v>
      </c>
      <c r="F193" s="4" t="s">
        <v>19</v>
      </c>
      <c r="G193" s="4" t="s">
        <v>20</v>
      </c>
      <c r="H193" s="4" t="s">
        <v>21</v>
      </c>
      <c r="I193" s="5" t="s">
        <v>21</v>
      </c>
      <c r="J193" s="1" t="s">
        <v>866</v>
      </c>
      <c r="K193" s="1" t="s">
        <v>863</v>
      </c>
      <c r="L193" s="1" t="s">
        <v>867</v>
      </c>
      <c r="M193" s="4" t="str">
        <f t="shared" si="0"/>
        <v>Outstanding</v>
      </c>
      <c r="N193" s="13" t="s">
        <v>21</v>
      </c>
    </row>
    <row r="194" spans="1:14" ht="60" customHeight="1" x14ac:dyDescent="0.35">
      <c r="A194" s="11" t="s">
        <v>868</v>
      </c>
      <c r="B194" s="1" t="s">
        <v>869</v>
      </c>
      <c r="C194" s="2" t="s">
        <v>16</v>
      </c>
      <c r="D194" s="3" t="s">
        <v>319</v>
      </c>
      <c r="E194" s="4" t="s">
        <v>18</v>
      </c>
      <c r="F194" s="4" t="s">
        <v>19</v>
      </c>
      <c r="G194" s="4" t="s">
        <v>20</v>
      </c>
      <c r="H194" s="4" t="s">
        <v>21</v>
      </c>
      <c r="I194" s="5" t="s">
        <v>21</v>
      </c>
      <c r="J194" s="1" t="s">
        <v>870</v>
      </c>
      <c r="K194" s="1" t="s">
        <v>871</v>
      </c>
      <c r="L194" s="1" t="s">
        <v>872</v>
      </c>
      <c r="M194" s="4" t="str">
        <f t="shared" si="0"/>
        <v>Outstanding</v>
      </c>
      <c r="N194" s="13" t="s">
        <v>21</v>
      </c>
    </row>
    <row r="195" spans="1:14" ht="60" customHeight="1" x14ac:dyDescent="0.35">
      <c r="A195" s="11" t="s">
        <v>873</v>
      </c>
      <c r="B195" s="1" t="s">
        <v>874</v>
      </c>
      <c r="C195" s="2" t="s">
        <v>16</v>
      </c>
      <c r="D195" s="3" t="s">
        <v>319</v>
      </c>
      <c r="E195" s="4" t="s">
        <v>18</v>
      </c>
      <c r="F195" s="4" t="s">
        <v>19</v>
      </c>
      <c r="G195" s="4" t="s">
        <v>20</v>
      </c>
      <c r="H195" s="4" t="s">
        <v>21</v>
      </c>
      <c r="I195" s="5" t="s">
        <v>21</v>
      </c>
      <c r="J195" s="1" t="s">
        <v>368</v>
      </c>
      <c r="K195" s="1" t="s">
        <v>875</v>
      </c>
      <c r="L195" s="1" t="s">
        <v>370</v>
      </c>
      <c r="M195" s="4" t="str">
        <f t="shared" si="0"/>
        <v>Outstanding</v>
      </c>
      <c r="N195" s="13" t="s">
        <v>21</v>
      </c>
    </row>
    <row r="196" spans="1:14" ht="60" customHeight="1" x14ac:dyDescent="0.35">
      <c r="A196" s="11" t="s">
        <v>876</v>
      </c>
      <c r="B196" s="1" t="s">
        <v>877</v>
      </c>
      <c r="C196" s="2" t="s">
        <v>16</v>
      </c>
      <c r="D196" s="3" t="s">
        <v>319</v>
      </c>
      <c r="E196" s="4" t="s">
        <v>18</v>
      </c>
      <c r="F196" s="4" t="s">
        <v>19</v>
      </c>
      <c r="G196" s="4" t="s">
        <v>20</v>
      </c>
      <c r="H196" s="4" t="s">
        <v>21</v>
      </c>
      <c r="I196" s="5" t="s">
        <v>21</v>
      </c>
      <c r="J196" s="1" t="s">
        <v>878</v>
      </c>
      <c r="K196" s="1" t="s">
        <v>879</v>
      </c>
      <c r="L196" s="1" t="s">
        <v>880</v>
      </c>
      <c r="M196" s="4" t="str">
        <f t="shared" si="0"/>
        <v>Outstanding</v>
      </c>
      <c r="N196" s="13" t="s">
        <v>21</v>
      </c>
    </row>
    <row r="197" spans="1:14" ht="60" customHeight="1" x14ac:dyDescent="0.35">
      <c r="A197" s="11" t="s">
        <v>881</v>
      </c>
      <c r="B197" s="1" t="s">
        <v>882</v>
      </c>
      <c r="C197" s="2" t="s">
        <v>16</v>
      </c>
      <c r="D197" s="3" t="s">
        <v>319</v>
      </c>
      <c r="E197" s="4" t="s">
        <v>18</v>
      </c>
      <c r="F197" s="4" t="s">
        <v>19</v>
      </c>
      <c r="G197" s="4" t="s">
        <v>20</v>
      </c>
      <c r="H197" s="4" t="s">
        <v>21</v>
      </c>
      <c r="I197" s="5" t="s">
        <v>21</v>
      </c>
      <c r="J197" s="1" t="s">
        <v>883</v>
      </c>
      <c r="K197" s="1" t="s">
        <v>884</v>
      </c>
      <c r="L197" s="1" t="s">
        <v>885</v>
      </c>
      <c r="M197" s="4" t="str">
        <f t="shared" si="0"/>
        <v>Outstanding</v>
      </c>
      <c r="N197" s="13" t="s">
        <v>21</v>
      </c>
    </row>
    <row r="198" spans="1:14" ht="60" customHeight="1" x14ac:dyDescent="0.35">
      <c r="A198" s="11" t="s">
        <v>886</v>
      </c>
      <c r="B198" s="1" t="s">
        <v>882</v>
      </c>
      <c r="C198" s="2" t="s">
        <v>16</v>
      </c>
      <c r="D198" s="3" t="s">
        <v>319</v>
      </c>
      <c r="E198" s="4" t="s">
        <v>18</v>
      </c>
      <c r="F198" s="4" t="s">
        <v>19</v>
      </c>
      <c r="G198" s="4" t="s">
        <v>20</v>
      </c>
      <c r="H198" s="4" t="s">
        <v>21</v>
      </c>
      <c r="I198" s="5" t="s">
        <v>21</v>
      </c>
      <c r="J198" s="1" t="s">
        <v>887</v>
      </c>
      <c r="K198" s="1" t="s">
        <v>884</v>
      </c>
      <c r="L198" s="1" t="s">
        <v>888</v>
      </c>
      <c r="M198" s="4" t="str">
        <f t="shared" si="0"/>
        <v>Outstanding</v>
      </c>
      <c r="N198" s="13" t="s">
        <v>21</v>
      </c>
    </row>
    <row r="199" spans="1:14" ht="60" customHeight="1" x14ac:dyDescent="0.35">
      <c r="A199" s="11" t="s">
        <v>889</v>
      </c>
      <c r="B199" s="1" t="s">
        <v>890</v>
      </c>
      <c r="C199" s="2" t="s">
        <v>16</v>
      </c>
      <c r="D199" s="3" t="s">
        <v>319</v>
      </c>
      <c r="E199" s="4" t="s">
        <v>18</v>
      </c>
      <c r="F199" s="4" t="s">
        <v>19</v>
      </c>
      <c r="G199" s="4" t="s">
        <v>20</v>
      </c>
      <c r="H199" s="4" t="s">
        <v>21</v>
      </c>
      <c r="I199" s="5" t="s">
        <v>21</v>
      </c>
      <c r="J199" s="1" t="s">
        <v>878</v>
      </c>
      <c r="K199" s="1" t="s">
        <v>891</v>
      </c>
      <c r="L199" s="1" t="s">
        <v>880</v>
      </c>
      <c r="M199" s="4" t="str">
        <f t="shared" si="0"/>
        <v>Outstanding</v>
      </c>
      <c r="N199" s="13" t="s">
        <v>21</v>
      </c>
    </row>
    <row r="200" spans="1:14" ht="60" customHeight="1" x14ac:dyDescent="0.35">
      <c r="A200" s="11" t="s">
        <v>892</v>
      </c>
      <c r="B200" s="1" t="s">
        <v>893</v>
      </c>
      <c r="C200" s="2" t="s">
        <v>16</v>
      </c>
      <c r="D200" s="3" t="s">
        <v>319</v>
      </c>
      <c r="E200" s="4" t="s">
        <v>18</v>
      </c>
      <c r="F200" s="4" t="s">
        <v>19</v>
      </c>
      <c r="G200" s="4" t="s">
        <v>20</v>
      </c>
      <c r="H200" s="4" t="s">
        <v>21</v>
      </c>
      <c r="I200" s="5" t="s">
        <v>21</v>
      </c>
      <c r="J200" s="1" t="s">
        <v>894</v>
      </c>
      <c r="K200" s="1" t="s">
        <v>895</v>
      </c>
      <c r="L200" s="1" t="s">
        <v>896</v>
      </c>
      <c r="M200" s="4" t="str">
        <f t="shared" si="0"/>
        <v>Outstanding</v>
      </c>
      <c r="N200" s="13" t="s">
        <v>21</v>
      </c>
    </row>
    <row r="201" spans="1:14" ht="60" customHeight="1" x14ac:dyDescent="0.35">
      <c r="A201" s="11" t="s">
        <v>897</v>
      </c>
      <c r="B201" s="1" t="s">
        <v>898</v>
      </c>
      <c r="C201" s="2" t="s">
        <v>16</v>
      </c>
      <c r="D201" s="3" t="s">
        <v>319</v>
      </c>
      <c r="E201" s="4" t="s">
        <v>18</v>
      </c>
      <c r="F201" s="4" t="s">
        <v>19</v>
      </c>
      <c r="G201" s="4" t="s">
        <v>20</v>
      </c>
      <c r="H201" s="4" t="s">
        <v>21</v>
      </c>
      <c r="I201" s="5" t="s">
        <v>21</v>
      </c>
      <c r="J201" s="1" t="s">
        <v>899</v>
      </c>
      <c r="K201" s="1" t="s">
        <v>895</v>
      </c>
      <c r="L201" s="1" t="s">
        <v>900</v>
      </c>
      <c r="M201" s="4" t="str">
        <f t="shared" si="0"/>
        <v>Outstanding</v>
      </c>
      <c r="N201" s="13" t="s">
        <v>21</v>
      </c>
    </row>
    <row r="202" spans="1:14" ht="60" customHeight="1" x14ac:dyDescent="0.35">
      <c r="A202" s="11" t="s">
        <v>901</v>
      </c>
      <c r="B202" s="1" t="s">
        <v>902</v>
      </c>
      <c r="C202" s="2" t="s">
        <v>16</v>
      </c>
      <c r="D202" s="3" t="s">
        <v>319</v>
      </c>
      <c r="E202" s="4" t="s">
        <v>18</v>
      </c>
      <c r="F202" s="4" t="s">
        <v>19</v>
      </c>
      <c r="G202" s="4" t="s">
        <v>20</v>
      </c>
      <c r="H202" s="4" t="s">
        <v>21</v>
      </c>
      <c r="I202" s="5" t="s">
        <v>21</v>
      </c>
      <c r="J202" s="1" t="s">
        <v>903</v>
      </c>
      <c r="K202" s="1" t="s">
        <v>895</v>
      </c>
      <c r="L202" s="1" t="s">
        <v>904</v>
      </c>
      <c r="M202" s="4" t="str">
        <f t="shared" si="0"/>
        <v>Outstanding</v>
      </c>
      <c r="N202" s="13" t="s">
        <v>21</v>
      </c>
    </row>
    <row r="203" spans="1:14" ht="60" customHeight="1" x14ac:dyDescent="0.35">
      <c r="A203" s="11" t="s">
        <v>905</v>
      </c>
      <c r="B203" s="1" t="s">
        <v>906</v>
      </c>
      <c r="C203" s="2" t="s">
        <v>16</v>
      </c>
      <c r="D203" s="3" t="s">
        <v>319</v>
      </c>
      <c r="E203" s="4" t="s">
        <v>18</v>
      </c>
      <c r="F203" s="4" t="s">
        <v>19</v>
      </c>
      <c r="G203" s="4" t="s">
        <v>20</v>
      </c>
      <c r="H203" s="4" t="s">
        <v>21</v>
      </c>
      <c r="I203" s="5" t="s">
        <v>21</v>
      </c>
      <c r="J203" s="1" t="s">
        <v>907</v>
      </c>
      <c r="K203" s="1" t="s">
        <v>895</v>
      </c>
      <c r="L203" s="1" t="s">
        <v>908</v>
      </c>
      <c r="M203" s="4" t="str">
        <f t="shared" si="0"/>
        <v>Outstanding</v>
      </c>
      <c r="N203" s="13" t="s">
        <v>21</v>
      </c>
    </row>
    <row r="204" spans="1:14" ht="60" customHeight="1" x14ac:dyDescent="0.35">
      <c r="A204" s="11" t="s">
        <v>909</v>
      </c>
      <c r="B204" s="1" t="s">
        <v>910</v>
      </c>
      <c r="C204" s="2" t="s">
        <v>16</v>
      </c>
      <c r="D204" s="3" t="s">
        <v>319</v>
      </c>
      <c r="E204" s="4" t="s">
        <v>18</v>
      </c>
      <c r="F204" s="4" t="s">
        <v>19</v>
      </c>
      <c r="G204" s="4" t="s">
        <v>20</v>
      </c>
      <c r="H204" s="4" t="s">
        <v>21</v>
      </c>
      <c r="I204" s="5" t="s">
        <v>21</v>
      </c>
      <c r="J204" s="1" t="s">
        <v>911</v>
      </c>
      <c r="K204" s="1" t="s">
        <v>895</v>
      </c>
      <c r="L204" s="1" t="s">
        <v>912</v>
      </c>
      <c r="M204" s="4" t="str">
        <f t="shared" si="0"/>
        <v>Outstanding</v>
      </c>
      <c r="N204" s="13" t="s">
        <v>21</v>
      </c>
    </row>
    <row r="205" spans="1:14" ht="60" customHeight="1" x14ac:dyDescent="0.35">
      <c r="A205" s="11" t="s">
        <v>913</v>
      </c>
      <c r="B205" s="1" t="s">
        <v>914</v>
      </c>
      <c r="C205" s="2" t="s">
        <v>16</v>
      </c>
      <c r="D205" s="3" t="s">
        <v>319</v>
      </c>
      <c r="E205" s="4" t="s">
        <v>18</v>
      </c>
      <c r="F205" s="4" t="s">
        <v>19</v>
      </c>
      <c r="G205" s="4" t="s">
        <v>20</v>
      </c>
      <c r="H205" s="4" t="s">
        <v>21</v>
      </c>
      <c r="I205" s="5" t="s">
        <v>21</v>
      </c>
      <c r="J205" s="1" t="s">
        <v>915</v>
      </c>
      <c r="K205" s="1" t="s">
        <v>895</v>
      </c>
      <c r="L205" s="1" t="s">
        <v>916</v>
      </c>
      <c r="M205" s="4" t="str">
        <f t="shared" si="0"/>
        <v>Outstanding</v>
      </c>
      <c r="N205" s="13" t="s">
        <v>21</v>
      </c>
    </row>
    <row r="206" spans="1:14" ht="60" customHeight="1" x14ac:dyDescent="0.35">
      <c r="A206" s="11" t="s">
        <v>917</v>
      </c>
      <c r="B206" s="1" t="s">
        <v>918</v>
      </c>
      <c r="C206" s="2" t="s">
        <v>16</v>
      </c>
      <c r="D206" s="3" t="s">
        <v>319</v>
      </c>
      <c r="E206" s="4" t="s">
        <v>18</v>
      </c>
      <c r="F206" s="4" t="s">
        <v>19</v>
      </c>
      <c r="G206" s="4" t="s">
        <v>20</v>
      </c>
      <c r="H206" s="4" t="s">
        <v>21</v>
      </c>
      <c r="I206" s="5" t="s">
        <v>21</v>
      </c>
      <c r="J206" s="1" t="s">
        <v>919</v>
      </c>
      <c r="K206" s="1" t="s">
        <v>895</v>
      </c>
      <c r="L206" s="1" t="s">
        <v>920</v>
      </c>
      <c r="M206" s="4" t="str">
        <f t="shared" si="0"/>
        <v>Outstanding</v>
      </c>
      <c r="N206" s="13" t="s">
        <v>21</v>
      </c>
    </row>
    <row r="207" spans="1:14" ht="60" customHeight="1" x14ac:dyDescent="0.35">
      <c r="A207" s="11" t="s">
        <v>921</v>
      </c>
      <c r="B207" s="1" t="s">
        <v>918</v>
      </c>
      <c r="C207" s="2" t="s">
        <v>16</v>
      </c>
      <c r="D207" s="3" t="s">
        <v>319</v>
      </c>
      <c r="E207" s="4" t="s">
        <v>18</v>
      </c>
      <c r="F207" s="4" t="s">
        <v>19</v>
      </c>
      <c r="G207" s="4" t="s">
        <v>20</v>
      </c>
      <c r="H207" s="4" t="s">
        <v>21</v>
      </c>
      <c r="I207" s="5" t="s">
        <v>21</v>
      </c>
      <c r="J207" s="1" t="s">
        <v>922</v>
      </c>
      <c r="K207" s="1" t="s">
        <v>895</v>
      </c>
      <c r="L207" s="1" t="s">
        <v>923</v>
      </c>
      <c r="M207" s="4" t="str">
        <f t="shared" si="0"/>
        <v>Outstanding</v>
      </c>
      <c r="N207" s="13" t="s">
        <v>21</v>
      </c>
    </row>
    <row r="208" spans="1:14" ht="60" customHeight="1" x14ac:dyDescent="0.35">
      <c r="A208" s="11" t="s">
        <v>924</v>
      </c>
      <c r="B208" s="1" t="s">
        <v>918</v>
      </c>
      <c r="C208" s="2" t="s">
        <v>16</v>
      </c>
      <c r="D208" s="3" t="s">
        <v>319</v>
      </c>
      <c r="E208" s="4" t="s">
        <v>18</v>
      </c>
      <c r="F208" s="4" t="s">
        <v>19</v>
      </c>
      <c r="G208" s="4" t="s">
        <v>20</v>
      </c>
      <c r="H208" s="4" t="s">
        <v>21</v>
      </c>
      <c r="I208" s="5" t="s">
        <v>21</v>
      </c>
      <c r="J208" s="1" t="s">
        <v>925</v>
      </c>
      <c r="K208" s="1" t="s">
        <v>895</v>
      </c>
      <c r="L208" s="1" t="s">
        <v>926</v>
      </c>
      <c r="M208" s="4" t="str">
        <f t="shared" si="0"/>
        <v>Outstanding</v>
      </c>
      <c r="N208" s="13" t="s">
        <v>21</v>
      </c>
    </row>
    <row r="209" spans="1:14" ht="60" customHeight="1" x14ac:dyDescent="0.35">
      <c r="A209" s="11" t="s">
        <v>927</v>
      </c>
      <c r="B209" s="1" t="s">
        <v>928</v>
      </c>
      <c r="C209" s="2" t="s">
        <v>16</v>
      </c>
      <c r="D209" s="3" t="s">
        <v>319</v>
      </c>
      <c r="E209" s="4" t="s">
        <v>18</v>
      </c>
      <c r="F209" s="4" t="s">
        <v>19</v>
      </c>
      <c r="G209" s="4" t="s">
        <v>20</v>
      </c>
      <c r="H209" s="4" t="s">
        <v>21</v>
      </c>
      <c r="I209" s="5" t="s">
        <v>21</v>
      </c>
      <c r="J209" s="1" t="s">
        <v>929</v>
      </c>
      <c r="K209" s="1" t="s">
        <v>930</v>
      </c>
      <c r="L209" s="1" t="s">
        <v>931</v>
      </c>
      <c r="M209" s="4" t="str">
        <f t="shared" si="0"/>
        <v>Outstanding</v>
      </c>
      <c r="N209" s="13" t="s">
        <v>21</v>
      </c>
    </row>
    <row r="210" spans="1:14" ht="60" customHeight="1" x14ac:dyDescent="0.35">
      <c r="A210" s="11" t="s">
        <v>932</v>
      </c>
      <c r="B210" s="1" t="s">
        <v>933</v>
      </c>
      <c r="C210" s="2" t="s">
        <v>16</v>
      </c>
      <c r="D210" s="3" t="s">
        <v>319</v>
      </c>
      <c r="E210" s="4" t="s">
        <v>18</v>
      </c>
      <c r="F210" s="4" t="s">
        <v>19</v>
      </c>
      <c r="G210" s="4" t="s">
        <v>20</v>
      </c>
      <c r="H210" s="4" t="s">
        <v>21</v>
      </c>
      <c r="I210" s="5" t="s">
        <v>21</v>
      </c>
      <c r="J210" s="1" t="s">
        <v>934</v>
      </c>
      <c r="K210" s="1" t="s">
        <v>935</v>
      </c>
      <c r="L210" s="1" t="s">
        <v>936</v>
      </c>
      <c r="M210" s="4" t="str">
        <f t="shared" si="0"/>
        <v>Outstanding</v>
      </c>
      <c r="N210" s="13" t="s">
        <v>21</v>
      </c>
    </row>
    <row r="211" spans="1:14" ht="60" customHeight="1" x14ac:dyDescent="0.35">
      <c r="A211" s="11" t="s">
        <v>937</v>
      </c>
      <c r="B211" s="1" t="s">
        <v>933</v>
      </c>
      <c r="C211" s="2" t="s">
        <v>16</v>
      </c>
      <c r="D211" s="3" t="s">
        <v>319</v>
      </c>
      <c r="E211" s="4" t="s">
        <v>18</v>
      </c>
      <c r="F211" s="4" t="s">
        <v>19</v>
      </c>
      <c r="G211" s="4" t="s">
        <v>20</v>
      </c>
      <c r="H211" s="4" t="s">
        <v>21</v>
      </c>
      <c r="I211" s="5" t="s">
        <v>21</v>
      </c>
      <c r="J211" s="1" t="s">
        <v>938</v>
      </c>
      <c r="K211" s="1" t="s">
        <v>935</v>
      </c>
      <c r="L211" s="1" t="s">
        <v>939</v>
      </c>
      <c r="M211" s="4" t="str">
        <f t="shared" si="0"/>
        <v>Outstanding</v>
      </c>
      <c r="N211" s="13" t="s">
        <v>21</v>
      </c>
    </row>
    <row r="212" spans="1:14" ht="60" customHeight="1" x14ac:dyDescent="0.35">
      <c r="A212" s="11" t="s">
        <v>940</v>
      </c>
      <c r="B212" s="1" t="s">
        <v>941</v>
      </c>
      <c r="C212" s="2" t="s">
        <v>16</v>
      </c>
      <c r="D212" s="3" t="s">
        <v>319</v>
      </c>
      <c r="E212" s="4" t="s">
        <v>18</v>
      </c>
      <c r="F212" s="4" t="s">
        <v>19</v>
      </c>
      <c r="G212" s="4" t="s">
        <v>20</v>
      </c>
      <c r="H212" s="4" t="s">
        <v>21</v>
      </c>
      <c r="I212" s="5" t="s">
        <v>21</v>
      </c>
      <c r="J212" s="1" t="s">
        <v>942</v>
      </c>
      <c r="K212" s="1" t="s">
        <v>943</v>
      </c>
      <c r="L212" s="1" t="s">
        <v>944</v>
      </c>
      <c r="M212" s="4" t="str">
        <f t="shared" si="0"/>
        <v>Outstanding</v>
      </c>
      <c r="N212" s="13" t="s">
        <v>21</v>
      </c>
    </row>
    <row r="213" spans="1:14" ht="60" customHeight="1" x14ac:dyDescent="0.35">
      <c r="A213" s="11" t="s">
        <v>945</v>
      </c>
      <c r="B213" s="1" t="s">
        <v>946</v>
      </c>
      <c r="C213" s="2" t="s">
        <v>16</v>
      </c>
      <c r="D213" s="3" t="s">
        <v>319</v>
      </c>
      <c r="E213" s="4" t="s">
        <v>18</v>
      </c>
      <c r="F213" s="4" t="s">
        <v>19</v>
      </c>
      <c r="G213" s="4" t="s">
        <v>20</v>
      </c>
      <c r="H213" s="4" t="s">
        <v>21</v>
      </c>
      <c r="I213" s="5" t="s">
        <v>21</v>
      </c>
      <c r="J213" s="1" t="s">
        <v>947</v>
      </c>
      <c r="K213" s="1" t="s">
        <v>948</v>
      </c>
      <c r="L213" s="1" t="s">
        <v>949</v>
      </c>
      <c r="M213" s="4" t="str">
        <f t="shared" si="0"/>
        <v>Outstanding</v>
      </c>
      <c r="N213" s="13" t="s">
        <v>21</v>
      </c>
    </row>
    <row r="214" spans="1:14" ht="60" customHeight="1" x14ac:dyDescent="0.35">
      <c r="A214" s="11" t="s">
        <v>950</v>
      </c>
      <c r="B214" s="1" t="s">
        <v>951</v>
      </c>
      <c r="C214" s="2" t="s">
        <v>16</v>
      </c>
      <c r="D214" s="3" t="s">
        <v>319</v>
      </c>
      <c r="E214" s="4" t="s">
        <v>18</v>
      </c>
      <c r="F214" s="4" t="s">
        <v>19</v>
      </c>
      <c r="G214" s="4" t="s">
        <v>20</v>
      </c>
      <c r="H214" s="4" t="s">
        <v>21</v>
      </c>
      <c r="I214" s="5" t="s">
        <v>21</v>
      </c>
      <c r="J214" s="1" t="s">
        <v>368</v>
      </c>
      <c r="K214" s="1" t="s">
        <v>952</v>
      </c>
      <c r="L214" s="1" t="s">
        <v>953</v>
      </c>
      <c r="M214" s="4" t="str">
        <f t="shared" si="0"/>
        <v>Outstanding</v>
      </c>
      <c r="N214" s="13" t="s">
        <v>21</v>
      </c>
    </row>
    <row r="215" spans="1:14" ht="60" customHeight="1" x14ac:dyDescent="0.35">
      <c r="A215" s="11" t="s">
        <v>954</v>
      </c>
      <c r="B215" s="1" t="s">
        <v>955</v>
      </c>
      <c r="C215" s="2" t="s">
        <v>16</v>
      </c>
      <c r="D215" s="3" t="s">
        <v>319</v>
      </c>
      <c r="E215" s="4" t="s">
        <v>18</v>
      </c>
      <c r="F215" s="4" t="s">
        <v>19</v>
      </c>
      <c r="G215" s="4" t="s">
        <v>20</v>
      </c>
      <c r="H215" s="4" t="s">
        <v>21</v>
      </c>
      <c r="I215" s="5" t="s">
        <v>21</v>
      </c>
      <c r="J215" s="1" t="s">
        <v>956</v>
      </c>
      <c r="K215" s="1" t="s">
        <v>957</v>
      </c>
      <c r="L215" s="1" t="s">
        <v>958</v>
      </c>
      <c r="M215" s="4" t="str">
        <f t="shared" si="0"/>
        <v>Outstanding</v>
      </c>
      <c r="N215" s="13" t="s">
        <v>21</v>
      </c>
    </row>
    <row r="216" spans="1:14" ht="60" customHeight="1" x14ac:dyDescent="0.35">
      <c r="A216" s="11" t="s">
        <v>959</v>
      </c>
      <c r="B216" s="1" t="s">
        <v>960</v>
      </c>
      <c r="C216" s="2" t="s">
        <v>16</v>
      </c>
      <c r="D216" s="3" t="s">
        <v>319</v>
      </c>
      <c r="E216" s="4" t="s">
        <v>18</v>
      </c>
      <c r="F216" s="4" t="s">
        <v>19</v>
      </c>
      <c r="G216" s="4" t="s">
        <v>20</v>
      </c>
      <c r="H216" s="4" t="s">
        <v>21</v>
      </c>
      <c r="I216" s="5" t="s">
        <v>21</v>
      </c>
      <c r="J216" s="1" t="s">
        <v>377</v>
      </c>
      <c r="K216" s="1" t="s">
        <v>961</v>
      </c>
      <c r="L216" s="1" t="s">
        <v>962</v>
      </c>
      <c r="M216" s="4" t="str">
        <f t="shared" si="0"/>
        <v>Outstanding</v>
      </c>
      <c r="N216" s="13" t="s">
        <v>21</v>
      </c>
    </row>
    <row r="217" spans="1:14" ht="60" customHeight="1" x14ac:dyDescent="0.35">
      <c r="A217" s="11" t="s">
        <v>963</v>
      </c>
      <c r="B217" s="1" t="s">
        <v>964</v>
      </c>
      <c r="C217" s="2" t="s">
        <v>16</v>
      </c>
      <c r="D217" s="3" t="s">
        <v>319</v>
      </c>
      <c r="E217" s="4" t="s">
        <v>18</v>
      </c>
      <c r="F217" s="4" t="s">
        <v>19</v>
      </c>
      <c r="G217" s="4" t="s">
        <v>20</v>
      </c>
      <c r="H217" s="4" t="s">
        <v>21</v>
      </c>
      <c r="I217" s="5" t="s">
        <v>21</v>
      </c>
      <c r="J217" s="1" t="s">
        <v>965</v>
      </c>
      <c r="K217" s="1" t="s">
        <v>966</v>
      </c>
      <c r="L217" s="1" t="s">
        <v>967</v>
      </c>
      <c r="M217" s="4" t="str">
        <f t="shared" si="0"/>
        <v>Outstanding</v>
      </c>
      <c r="N217" s="13" t="s">
        <v>21</v>
      </c>
    </row>
    <row r="218" spans="1:14" ht="60" customHeight="1" x14ac:dyDescent="0.35">
      <c r="A218" s="11" t="s">
        <v>968</v>
      </c>
      <c r="B218" s="1" t="s">
        <v>969</v>
      </c>
      <c r="C218" s="2" t="s">
        <v>16</v>
      </c>
      <c r="D218" s="3" t="s">
        <v>319</v>
      </c>
      <c r="E218" s="4" t="s">
        <v>18</v>
      </c>
      <c r="F218" s="4" t="s">
        <v>19</v>
      </c>
      <c r="G218" s="4" t="s">
        <v>20</v>
      </c>
      <c r="H218" s="4" t="s">
        <v>21</v>
      </c>
      <c r="I218" s="5" t="s">
        <v>21</v>
      </c>
      <c r="J218" s="1" t="s">
        <v>970</v>
      </c>
      <c r="K218" s="1" t="s">
        <v>971</v>
      </c>
      <c r="L218" s="1" t="s">
        <v>972</v>
      </c>
      <c r="M218" s="4" t="str">
        <f t="shared" si="0"/>
        <v>Outstanding</v>
      </c>
      <c r="N218" s="13" t="s">
        <v>21</v>
      </c>
    </row>
    <row r="219" spans="1:14" ht="60" customHeight="1" x14ac:dyDescent="0.35">
      <c r="A219" s="11" t="s">
        <v>973</v>
      </c>
      <c r="B219" s="1" t="s">
        <v>974</v>
      </c>
      <c r="C219" s="2" t="s">
        <v>16</v>
      </c>
      <c r="D219" s="3" t="s">
        <v>319</v>
      </c>
      <c r="E219" s="4" t="s">
        <v>18</v>
      </c>
      <c r="F219" s="4" t="s">
        <v>19</v>
      </c>
      <c r="G219" s="4" t="s">
        <v>20</v>
      </c>
      <c r="H219" s="4" t="s">
        <v>21</v>
      </c>
      <c r="I219" s="5" t="s">
        <v>21</v>
      </c>
      <c r="J219" s="1" t="s">
        <v>975</v>
      </c>
      <c r="K219" s="1" t="s">
        <v>976</v>
      </c>
      <c r="L219" s="1" t="s">
        <v>977</v>
      </c>
      <c r="M219" s="4" t="str">
        <f t="shared" si="0"/>
        <v>Outstanding</v>
      </c>
      <c r="N219" s="13" t="s">
        <v>21</v>
      </c>
    </row>
    <row r="220" spans="1:14" ht="60" customHeight="1" x14ac:dyDescent="0.35">
      <c r="A220" s="11" t="s">
        <v>978</v>
      </c>
      <c r="B220" s="1" t="s">
        <v>979</v>
      </c>
      <c r="C220" s="2" t="s">
        <v>16</v>
      </c>
      <c r="D220" s="3" t="s">
        <v>319</v>
      </c>
      <c r="E220" s="4" t="s">
        <v>18</v>
      </c>
      <c r="F220" s="4" t="s">
        <v>19</v>
      </c>
      <c r="G220" s="4" t="s">
        <v>20</v>
      </c>
      <c r="H220" s="4" t="s">
        <v>21</v>
      </c>
      <c r="I220" s="5" t="s">
        <v>21</v>
      </c>
      <c r="J220" s="1" t="s">
        <v>980</v>
      </c>
      <c r="K220" s="1" t="s">
        <v>981</v>
      </c>
      <c r="L220" s="1" t="s">
        <v>982</v>
      </c>
      <c r="M220" s="4" t="str">
        <f t="shared" si="0"/>
        <v>Outstanding</v>
      </c>
      <c r="N220" s="13" t="s">
        <v>21</v>
      </c>
    </row>
    <row r="221" spans="1:14" ht="60" customHeight="1" x14ac:dyDescent="0.35">
      <c r="A221" s="11" t="s">
        <v>983</v>
      </c>
      <c r="B221" s="1" t="s">
        <v>984</v>
      </c>
      <c r="C221" s="2" t="s">
        <v>96</v>
      </c>
      <c r="D221" s="3" t="s">
        <v>319</v>
      </c>
      <c r="E221" s="4" t="s">
        <v>18</v>
      </c>
      <c r="F221" s="4" t="s">
        <v>19</v>
      </c>
      <c r="G221" s="4" t="s">
        <v>20</v>
      </c>
      <c r="H221" s="4" t="s">
        <v>21</v>
      </c>
      <c r="I221" s="5" t="s">
        <v>21</v>
      </c>
      <c r="J221" s="1" t="s">
        <v>985</v>
      </c>
      <c r="K221" s="1" t="s">
        <v>986</v>
      </c>
      <c r="L221" s="1" t="s">
        <v>987</v>
      </c>
      <c r="M221" s="4" t="str">
        <f t="shared" si="0"/>
        <v>Outstanding</v>
      </c>
      <c r="N221" s="13" t="s">
        <v>21</v>
      </c>
    </row>
    <row r="222" spans="1:14" ht="60" customHeight="1" x14ac:dyDescent="0.35">
      <c r="A222" s="11" t="s">
        <v>988</v>
      </c>
      <c r="B222" s="1" t="s">
        <v>989</v>
      </c>
      <c r="C222" s="2" t="s">
        <v>96</v>
      </c>
      <c r="D222" s="3" t="s">
        <v>319</v>
      </c>
      <c r="E222" s="4" t="s">
        <v>18</v>
      </c>
      <c r="F222" s="4" t="s">
        <v>19</v>
      </c>
      <c r="G222" s="4" t="s">
        <v>20</v>
      </c>
      <c r="H222" s="4" t="s">
        <v>21</v>
      </c>
      <c r="I222" s="5" t="s">
        <v>21</v>
      </c>
      <c r="J222" s="1" t="s">
        <v>985</v>
      </c>
      <c r="K222" s="1" t="s">
        <v>990</v>
      </c>
      <c r="L222" s="1" t="s">
        <v>987</v>
      </c>
      <c r="M222" s="4" t="str">
        <f t="shared" si="0"/>
        <v>Outstanding</v>
      </c>
      <c r="N222" s="13" t="s">
        <v>21</v>
      </c>
    </row>
    <row r="223" spans="1:14" ht="60" customHeight="1" x14ac:dyDescent="0.35">
      <c r="A223" s="11" t="s">
        <v>991</v>
      </c>
      <c r="B223" s="1" t="s">
        <v>992</v>
      </c>
      <c r="C223" s="2" t="s">
        <v>96</v>
      </c>
      <c r="D223" s="3" t="s">
        <v>319</v>
      </c>
      <c r="E223" s="4" t="s">
        <v>18</v>
      </c>
      <c r="F223" s="4" t="s">
        <v>19</v>
      </c>
      <c r="G223" s="4" t="s">
        <v>20</v>
      </c>
      <c r="H223" s="4" t="s">
        <v>21</v>
      </c>
      <c r="I223" s="5" t="s">
        <v>21</v>
      </c>
      <c r="J223" s="1" t="s">
        <v>985</v>
      </c>
      <c r="K223" s="1" t="s">
        <v>993</v>
      </c>
      <c r="L223" s="1" t="s">
        <v>987</v>
      </c>
      <c r="M223" s="4" t="str">
        <f t="shared" si="0"/>
        <v>Outstanding</v>
      </c>
      <c r="N223" s="13" t="s">
        <v>21</v>
      </c>
    </row>
    <row r="224" spans="1:14" ht="60" customHeight="1" x14ac:dyDescent="0.35">
      <c r="A224" s="11" t="s">
        <v>994</v>
      </c>
      <c r="B224" s="1" t="s">
        <v>995</v>
      </c>
      <c r="C224" s="2" t="s">
        <v>96</v>
      </c>
      <c r="D224" s="3" t="s">
        <v>319</v>
      </c>
      <c r="E224" s="4" t="s">
        <v>18</v>
      </c>
      <c r="F224" s="4" t="s">
        <v>19</v>
      </c>
      <c r="G224" s="4" t="s">
        <v>20</v>
      </c>
      <c r="H224" s="4" t="s">
        <v>21</v>
      </c>
      <c r="I224" s="5" t="s">
        <v>21</v>
      </c>
      <c r="J224" s="1" t="s">
        <v>985</v>
      </c>
      <c r="K224" s="1" t="s">
        <v>996</v>
      </c>
      <c r="L224" s="1" t="s">
        <v>987</v>
      </c>
      <c r="M224" s="4" t="str">
        <f t="shared" si="0"/>
        <v>Outstanding</v>
      </c>
      <c r="N224" s="13" t="s">
        <v>21</v>
      </c>
    </row>
    <row r="225" spans="1:14" ht="60" customHeight="1" x14ac:dyDescent="0.35">
      <c r="A225" s="11" t="s">
        <v>997</v>
      </c>
      <c r="B225" s="1" t="s">
        <v>998</v>
      </c>
      <c r="C225" s="2" t="s">
        <v>16</v>
      </c>
      <c r="D225" s="3" t="s">
        <v>319</v>
      </c>
      <c r="E225" s="4" t="s">
        <v>18</v>
      </c>
      <c r="F225" s="4" t="s">
        <v>19</v>
      </c>
      <c r="G225" s="4" t="s">
        <v>20</v>
      </c>
      <c r="H225" s="4" t="s">
        <v>21</v>
      </c>
      <c r="I225" s="5" t="s">
        <v>21</v>
      </c>
      <c r="J225" s="1" t="s">
        <v>999</v>
      </c>
      <c r="K225" s="1" t="s">
        <v>1000</v>
      </c>
      <c r="L225" s="1" t="s">
        <v>1001</v>
      </c>
      <c r="M225" s="4" t="str">
        <f t="shared" si="0"/>
        <v>Outstanding</v>
      </c>
      <c r="N225" s="13" t="s">
        <v>21</v>
      </c>
    </row>
    <row r="226" spans="1:14" ht="60" customHeight="1" x14ac:dyDescent="0.35">
      <c r="A226" s="11" t="s">
        <v>1002</v>
      </c>
      <c r="B226" s="1" t="s">
        <v>1003</v>
      </c>
      <c r="C226" s="2" t="s">
        <v>16</v>
      </c>
      <c r="D226" s="3" t="s">
        <v>319</v>
      </c>
      <c r="E226" s="4" t="s">
        <v>18</v>
      </c>
      <c r="F226" s="4" t="s">
        <v>19</v>
      </c>
      <c r="G226" s="4" t="s">
        <v>20</v>
      </c>
      <c r="H226" s="4" t="s">
        <v>21</v>
      </c>
      <c r="I226" s="5" t="s">
        <v>21</v>
      </c>
      <c r="J226" s="1" t="s">
        <v>878</v>
      </c>
      <c r="K226" s="1" t="s">
        <v>1004</v>
      </c>
      <c r="L226" s="1" t="s">
        <v>880</v>
      </c>
      <c r="M226" s="4" t="str">
        <f t="shared" si="0"/>
        <v>Outstanding</v>
      </c>
      <c r="N226" s="13" t="s">
        <v>21</v>
      </c>
    </row>
    <row r="227" spans="1:14" ht="60" customHeight="1" x14ac:dyDescent="0.35">
      <c r="A227" s="11" t="s">
        <v>1005</v>
      </c>
      <c r="B227" s="1" t="s">
        <v>1006</v>
      </c>
      <c r="C227" s="2" t="s">
        <v>16</v>
      </c>
      <c r="D227" s="3" t="s">
        <v>319</v>
      </c>
      <c r="E227" s="4" t="s">
        <v>18</v>
      </c>
      <c r="F227" s="4" t="s">
        <v>19</v>
      </c>
      <c r="G227" s="4" t="s">
        <v>20</v>
      </c>
      <c r="H227" s="4" t="s">
        <v>21</v>
      </c>
      <c r="I227" s="5" t="s">
        <v>21</v>
      </c>
      <c r="J227" s="1" t="s">
        <v>1007</v>
      </c>
      <c r="K227" s="1" t="s">
        <v>1008</v>
      </c>
      <c r="L227" s="1" t="s">
        <v>1009</v>
      </c>
      <c r="M227" s="4" t="str">
        <f t="shared" si="0"/>
        <v>Outstanding</v>
      </c>
      <c r="N227" s="13" t="s">
        <v>21</v>
      </c>
    </row>
    <row r="228" spans="1:14" ht="60" customHeight="1" x14ac:dyDescent="0.35">
      <c r="A228" s="11" t="s">
        <v>1010</v>
      </c>
      <c r="B228" s="1" t="s">
        <v>1011</v>
      </c>
      <c r="C228" s="2" t="s">
        <v>16</v>
      </c>
      <c r="D228" s="3" t="s">
        <v>319</v>
      </c>
      <c r="E228" s="4" t="s">
        <v>18</v>
      </c>
      <c r="F228" s="4" t="s">
        <v>19</v>
      </c>
      <c r="G228" s="4" t="s">
        <v>20</v>
      </c>
      <c r="H228" s="4" t="s">
        <v>21</v>
      </c>
      <c r="I228" s="5" t="s">
        <v>21</v>
      </c>
      <c r="J228" s="1" t="s">
        <v>1012</v>
      </c>
      <c r="K228" s="1" t="s">
        <v>1013</v>
      </c>
      <c r="L228" s="1" t="s">
        <v>1014</v>
      </c>
      <c r="M228" s="4" t="str">
        <f t="shared" si="0"/>
        <v>Outstanding</v>
      </c>
      <c r="N228" s="13" t="s">
        <v>21</v>
      </c>
    </row>
    <row r="229" spans="1:14" ht="60" customHeight="1" x14ac:dyDescent="0.35">
      <c r="A229" s="11" t="s">
        <v>1015</v>
      </c>
      <c r="B229" s="1" t="s">
        <v>1016</v>
      </c>
      <c r="C229" s="2" t="s">
        <v>16</v>
      </c>
      <c r="D229" s="3" t="s">
        <v>319</v>
      </c>
      <c r="E229" s="4" t="s">
        <v>18</v>
      </c>
      <c r="F229" s="4" t="s">
        <v>19</v>
      </c>
      <c r="G229" s="4" t="s">
        <v>20</v>
      </c>
      <c r="H229" s="4" t="s">
        <v>21</v>
      </c>
      <c r="I229" s="5" t="s">
        <v>21</v>
      </c>
      <c r="J229" s="1" t="s">
        <v>1012</v>
      </c>
      <c r="K229" s="1" t="s">
        <v>1017</v>
      </c>
      <c r="L229" s="1" t="s">
        <v>1018</v>
      </c>
      <c r="M229" s="4" t="str">
        <f t="shared" si="0"/>
        <v>Outstanding</v>
      </c>
      <c r="N229" s="13" t="s">
        <v>21</v>
      </c>
    </row>
    <row r="230" spans="1:14" ht="60" customHeight="1" x14ac:dyDescent="0.35">
      <c r="A230" s="11" t="s">
        <v>1019</v>
      </c>
      <c r="B230" s="1" t="s">
        <v>1020</v>
      </c>
      <c r="C230" s="2" t="s">
        <v>96</v>
      </c>
      <c r="D230" s="3" t="s">
        <v>319</v>
      </c>
      <c r="E230" s="4" t="s">
        <v>18</v>
      </c>
      <c r="F230" s="4" t="s">
        <v>19</v>
      </c>
      <c r="G230" s="4" t="s">
        <v>20</v>
      </c>
      <c r="H230" s="4" t="s">
        <v>21</v>
      </c>
      <c r="I230" s="5" t="s">
        <v>21</v>
      </c>
      <c r="J230" s="1" t="s">
        <v>1021</v>
      </c>
      <c r="K230" s="1" t="s">
        <v>1022</v>
      </c>
      <c r="L230" s="1" t="s">
        <v>1023</v>
      </c>
      <c r="M230" s="4" t="str">
        <f t="shared" si="0"/>
        <v>Outstanding</v>
      </c>
      <c r="N230" s="13" t="s">
        <v>21</v>
      </c>
    </row>
    <row r="231" spans="1:14" ht="60" customHeight="1" x14ac:dyDescent="0.35">
      <c r="A231" s="11" t="s">
        <v>1024</v>
      </c>
      <c r="B231" s="1" t="s">
        <v>1025</v>
      </c>
      <c r="C231" s="2" t="s">
        <v>96</v>
      </c>
      <c r="D231" s="3" t="s">
        <v>319</v>
      </c>
      <c r="E231" s="4" t="s">
        <v>18</v>
      </c>
      <c r="F231" s="4" t="s">
        <v>19</v>
      </c>
      <c r="G231" s="4" t="s">
        <v>20</v>
      </c>
      <c r="H231" s="4" t="s">
        <v>21</v>
      </c>
      <c r="I231" s="5" t="s">
        <v>21</v>
      </c>
      <c r="J231" s="1" t="s">
        <v>1026</v>
      </c>
      <c r="K231" s="1" t="s">
        <v>1027</v>
      </c>
      <c r="L231" s="1" t="s">
        <v>1028</v>
      </c>
      <c r="M231" s="4" t="str">
        <f t="shared" si="0"/>
        <v>Outstanding</v>
      </c>
      <c r="N231" s="13" t="s">
        <v>21</v>
      </c>
    </row>
    <row r="232" spans="1:14" ht="60" customHeight="1" x14ac:dyDescent="0.35">
      <c r="A232" s="11" t="s">
        <v>1029</v>
      </c>
      <c r="B232" s="1" t="s">
        <v>1030</v>
      </c>
      <c r="C232" s="2" t="s">
        <v>96</v>
      </c>
      <c r="D232" s="3" t="s">
        <v>319</v>
      </c>
      <c r="E232" s="4" t="s">
        <v>18</v>
      </c>
      <c r="F232" s="4" t="s">
        <v>19</v>
      </c>
      <c r="G232" s="4" t="s">
        <v>20</v>
      </c>
      <c r="H232" s="4" t="s">
        <v>21</v>
      </c>
      <c r="I232" s="5" t="s">
        <v>21</v>
      </c>
      <c r="J232" s="1" t="s">
        <v>985</v>
      </c>
      <c r="K232" s="1" t="s">
        <v>1031</v>
      </c>
      <c r="L232" s="1" t="s">
        <v>987</v>
      </c>
      <c r="M232" s="4" t="str">
        <f t="shared" si="0"/>
        <v>Outstanding</v>
      </c>
      <c r="N232" s="13" t="s">
        <v>21</v>
      </c>
    </row>
    <row r="233" spans="1:14" ht="60" customHeight="1" x14ac:dyDescent="0.35">
      <c r="A233" s="11" t="s">
        <v>1032</v>
      </c>
      <c r="B233" s="1" t="s">
        <v>1033</v>
      </c>
      <c r="C233" s="2" t="s">
        <v>16</v>
      </c>
      <c r="D233" s="3" t="s">
        <v>319</v>
      </c>
      <c r="E233" s="4" t="s">
        <v>18</v>
      </c>
      <c r="F233" s="4" t="s">
        <v>19</v>
      </c>
      <c r="G233" s="4" t="s">
        <v>20</v>
      </c>
      <c r="H233" s="4" t="s">
        <v>21</v>
      </c>
      <c r="I233" s="5" t="s">
        <v>21</v>
      </c>
      <c r="J233" s="1" t="s">
        <v>1034</v>
      </c>
      <c r="K233" s="1" t="s">
        <v>1035</v>
      </c>
      <c r="L233" s="1" t="s">
        <v>1036</v>
      </c>
      <c r="M233" s="4" t="str">
        <f t="shared" si="0"/>
        <v>Outstanding</v>
      </c>
      <c r="N233" s="13" t="s">
        <v>21</v>
      </c>
    </row>
    <row r="234" spans="1:14" ht="60" customHeight="1" x14ac:dyDescent="0.35">
      <c r="A234" s="11" t="s">
        <v>1037</v>
      </c>
      <c r="B234" s="1" t="s">
        <v>1038</v>
      </c>
      <c r="C234" s="2" t="s">
        <v>16</v>
      </c>
      <c r="D234" s="3" t="s">
        <v>319</v>
      </c>
      <c r="E234" s="4" t="s">
        <v>18</v>
      </c>
      <c r="F234" s="4" t="s">
        <v>19</v>
      </c>
      <c r="G234" s="4" t="s">
        <v>20</v>
      </c>
      <c r="H234" s="4" t="s">
        <v>21</v>
      </c>
      <c r="I234" s="5" t="s">
        <v>21</v>
      </c>
      <c r="J234" s="1" t="s">
        <v>1034</v>
      </c>
      <c r="K234" s="1" t="s">
        <v>1039</v>
      </c>
      <c r="L234" s="1" t="s">
        <v>1036</v>
      </c>
      <c r="M234" s="4" t="str">
        <f t="shared" si="0"/>
        <v>Outstanding</v>
      </c>
      <c r="N234" s="13" t="s">
        <v>21</v>
      </c>
    </row>
    <row r="235" spans="1:14" ht="60" customHeight="1" x14ac:dyDescent="0.35">
      <c r="A235" s="11" t="s">
        <v>1040</v>
      </c>
      <c r="B235" s="1" t="s">
        <v>1041</v>
      </c>
      <c r="C235" s="2" t="s">
        <v>16</v>
      </c>
      <c r="D235" s="3" t="s">
        <v>319</v>
      </c>
      <c r="E235" s="4" t="s">
        <v>18</v>
      </c>
      <c r="F235" s="4" t="s">
        <v>19</v>
      </c>
      <c r="G235" s="4" t="s">
        <v>20</v>
      </c>
      <c r="H235" s="4" t="s">
        <v>21</v>
      </c>
      <c r="I235" s="5" t="s">
        <v>21</v>
      </c>
      <c r="J235" s="1" t="s">
        <v>1042</v>
      </c>
      <c r="K235" s="1" t="s">
        <v>1043</v>
      </c>
      <c r="L235" s="1" t="s">
        <v>1044</v>
      </c>
      <c r="M235" s="4" t="str">
        <f t="shared" si="0"/>
        <v>Outstanding</v>
      </c>
      <c r="N235" s="13" t="s">
        <v>21</v>
      </c>
    </row>
    <row r="236" spans="1:14" ht="60" customHeight="1" x14ac:dyDescent="0.35">
      <c r="A236" s="11" t="s">
        <v>1045</v>
      </c>
      <c r="B236" s="1" t="s">
        <v>1046</v>
      </c>
      <c r="C236" s="2" t="s">
        <v>16</v>
      </c>
      <c r="D236" s="3" t="s">
        <v>319</v>
      </c>
      <c r="E236" s="4" t="s">
        <v>18</v>
      </c>
      <c r="F236" s="4" t="s">
        <v>19</v>
      </c>
      <c r="G236" s="4" t="s">
        <v>20</v>
      </c>
      <c r="H236" s="4" t="s">
        <v>21</v>
      </c>
      <c r="I236" s="5" t="s">
        <v>21</v>
      </c>
      <c r="J236" s="1" t="s">
        <v>1047</v>
      </c>
      <c r="K236" s="1" t="s">
        <v>1048</v>
      </c>
      <c r="L236" s="1" t="s">
        <v>1049</v>
      </c>
      <c r="M236" s="4" t="str">
        <f t="shared" si="0"/>
        <v>Outstanding</v>
      </c>
      <c r="N236" s="13" t="s">
        <v>21</v>
      </c>
    </row>
    <row r="237" spans="1:14" ht="60" customHeight="1" x14ac:dyDescent="0.35">
      <c r="A237" s="11" t="s">
        <v>1050</v>
      </c>
      <c r="B237" s="1" t="s">
        <v>1051</v>
      </c>
      <c r="C237" s="2" t="s">
        <v>16</v>
      </c>
      <c r="D237" s="3" t="s">
        <v>319</v>
      </c>
      <c r="E237" s="4" t="s">
        <v>18</v>
      </c>
      <c r="F237" s="4" t="s">
        <v>19</v>
      </c>
      <c r="G237" s="4" t="s">
        <v>20</v>
      </c>
      <c r="H237" s="4" t="s">
        <v>21</v>
      </c>
      <c r="I237" s="5" t="s">
        <v>21</v>
      </c>
      <c r="J237" s="1" t="s">
        <v>1052</v>
      </c>
      <c r="K237" s="1" t="s">
        <v>1053</v>
      </c>
      <c r="L237" s="1" t="s">
        <v>1054</v>
      </c>
      <c r="M237" s="4" t="str">
        <f t="shared" si="0"/>
        <v>Outstanding</v>
      </c>
      <c r="N237" s="13" t="s">
        <v>21</v>
      </c>
    </row>
    <row r="238" spans="1:14" ht="60" customHeight="1" x14ac:dyDescent="0.35">
      <c r="A238" s="11" t="s">
        <v>1055</v>
      </c>
      <c r="B238" s="1" t="s">
        <v>1056</v>
      </c>
      <c r="C238" s="2" t="s">
        <v>16</v>
      </c>
      <c r="D238" s="3" t="s">
        <v>319</v>
      </c>
      <c r="E238" s="4" t="s">
        <v>18</v>
      </c>
      <c r="F238" s="4" t="s">
        <v>19</v>
      </c>
      <c r="G238" s="4" t="s">
        <v>20</v>
      </c>
      <c r="H238" s="4" t="s">
        <v>21</v>
      </c>
      <c r="I238" s="5" t="s">
        <v>21</v>
      </c>
      <c r="J238" s="1" t="s">
        <v>1057</v>
      </c>
      <c r="K238" s="1" t="s">
        <v>1058</v>
      </c>
      <c r="L238" s="1" t="s">
        <v>1059</v>
      </c>
      <c r="M238" s="4" t="str">
        <f t="shared" si="0"/>
        <v>Outstanding</v>
      </c>
      <c r="N238" s="13" t="s">
        <v>21</v>
      </c>
    </row>
    <row r="239" spans="1:14" ht="60" customHeight="1" x14ac:dyDescent="0.35">
      <c r="A239" s="11" t="s">
        <v>1060</v>
      </c>
      <c r="B239" s="1" t="s">
        <v>1061</v>
      </c>
      <c r="C239" s="2" t="s">
        <v>16</v>
      </c>
      <c r="D239" s="3" t="s">
        <v>319</v>
      </c>
      <c r="E239" s="4" t="s">
        <v>18</v>
      </c>
      <c r="F239" s="4" t="s">
        <v>19</v>
      </c>
      <c r="G239" s="4" t="s">
        <v>20</v>
      </c>
      <c r="H239" s="4" t="s">
        <v>21</v>
      </c>
      <c r="I239" s="5" t="s">
        <v>21</v>
      </c>
      <c r="J239" s="1" t="s">
        <v>1062</v>
      </c>
      <c r="K239" s="1" t="s">
        <v>1063</v>
      </c>
      <c r="L239" s="1" t="s">
        <v>1064</v>
      </c>
      <c r="M239" s="4" t="str">
        <f t="shared" si="0"/>
        <v>Outstanding</v>
      </c>
      <c r="N239" s="13" t="s">
        <v>21</v>
      </c>
    </row>
    <row r="240" spans="1:14" ht="60" customHeight="1" x14ac:dyDescent="0.35">
      <c r="A240" s="11" t="s">
        <v>1065</v>
      </c>
      <c r="B240" s="1" t="s">
        <v>1066</v>
      </c>
      <c r="C240" s="2" t="s">
        <v>16</v>
      </c>
      <c r="D240" s="3" t="s">
        <v>319</v>
      </c>
      <c r="E240" s="4" t="s">
        <v>18</v>
      </c>
      <c r="F240" s="4" t="s">
        <v>19</v>
      </c>
      <c r="G240" s="4" t="s">
        <v>20</v>
      </c>
      <c r="H240" s="4" t="s">
        <v>21</v>
      </c>
      <c r="I240" s="5" t="s">
        <v>21</v>
      </c>
      <c r="J240" s="1" t="s">
        <v>377</v>
      </c>
      <c r="K240" s="1" t="s">
        <v>1067</v>
      </c>
      <c r="L240" s="1" t="s">
        <v>962</v>
      </c>
      <c r="M240" s="4" t="str">
        <f t="shared" si="0"/>
        <v>Outstanding</v>
      </c>
      <c r="N240" s="13" t="s">
        <v>21</v>
      </c>
    </row>
    <row r="241" spans="1:14" ht="60" customHeight="1" x14ac:dyDescent="0.35">
      <c r="A241" s="11" t="s">
        <v>1068</v>
      </c>
      <c r="B241" s="1" t="s">
        <v>1069</v>
      </c>
      <c r="C241" s="2" t="s">
        <v>16</v>
      </c>
      <c r="D241" s="3" t="s">
        <v>319</v>
      </c>
      <c r="E241" s="4" t="s">
        <v>18</v>
      </c>
      <c r="F241" s="4" t="s">
        <v>19</v>
      </c>
      <c r="G241" s="4" t="s">
        <v>20</v>
      </c>
      <c r="H241" s="4" t="s">
        <v>21</v>
      </c>
      <c r="I241" s="5" t="s">
        <v>21</v>
      </c>
      <c r="J241" s="1" t="s">
        <v>377</v>
      </c>
      <c r="K241" s="1" t="s">
        <v>1070</v>
      </c>
      <c r="L241" s="1" t="s">
        <v>962</v>
      </c>
      <c r="M241" s="4" t="str">
        <f t="shared" si="0"/>
        <v>Outstanding</v>
      </c>
      <c r="N241" s="13" t="s">
        <v>21</v>
      </c>
    </row>
    <row r="242" spans="1:14" ht="60" customHeight="1" x14ac:dyDescent="0.35">
      <c r="A242" s="11" t="s">
        <v>1071</v>
      </c>
      <c r="B242" s="1" t="s">
        <v>1072</v>
      </c>
      <c r="C242" s="2" t="s">
        <v>16</v>
      </c>
      <c r="D242" s="3" t="s">
        <v>319</v>
      </c>
      <c r="E242" s="4" t="s">
        <v>18</v>
      </c>
      <c r="F242" s="4" t="s">
        <v>19</v>
      </c>
      <c r="G242" s="4" t="s">
        <v>20</v>
      </c>
      <c r="H242" s="4" t="s">
        <v>21</v>
      </c>
      <c r="I242" s="5" t="s">
        <v>21</v>
      </c>
      <c r="J242" s="1" t="s">
        <v>1073</v>
      </c>
      <c r="K242" s="1" t="s">
        <v>1074</v>
      </c>
      <c r="L242" s="1" t="s">
        <v>1075</v>
      </c>
      <c r="M242" s="4" t="str">
        <f t="shared" si="0"/>
        <v>Outstanding</v>
      </c>
      <c r="N242" s="13" t="s">
        <v>21</v>
      </c>
    </row>
    <row r="243" spans="1:14" ht="60" customHeight="1" x14ac:dyDescent="0.35">
      <c r="A243" s="11" t="s">
        <v>1076</v>
      </c>
      <c r="B243" s="1" t="s">
        <v>1077</v>
      </c>
      <c r="C243" s="2" t="s">
        <v>16</v>
      </c>
      <c r="D243" s="3" t="s">
        <v>319</v>
      </c>
      <c r="E243" s="4" t="s">
        <v>18</v>
      </c>
      <c r="F243" s="4" t="s">
        <v>19</v>
      </c>
      <c r="G243" s="4" t="s">
        <v>20</v>
      </c>
      <c r="H243" s="4" t="s">
        <v>21</v>
      </c>
      <c r="I243" s="5" t="s">
        <v>21</v>
      </c>
      <c r="J243" s="1" t="s">
        <v>1078</v>
      </c>
      <c r="K243" s="1" t="s">
        <v>1079</v>
      </c>
      <c r="L243" s="1" t="s">
        <v>1080</v>
      </c>
      <c r="M243" s="4" t="str">
        <f t="shared" si="0"/>
        <v>Outstanding</v>
      </c>
      <c r="N243" s="13" t="s">
        <v>21</v>
      </c>
    </row>
    <row r="244" spans="1:14" ht="60" customHeight="1" x14ac:dyDescent="0.35">
      <c r="A244" s="11" t="s">
        <v>1081</v>
      </c>
      <c r="B244" s="1" t="s">
        <v>1082</v>
      </c>
      <c r="C244" s="2" t="s">
        <v>16</v>
      </c>
      <c r="D244" s="3" t="s">
        <v>319</v>
      </c>
      <c r="E244" s="4" t="s">
        <v>18</v>
      </c>
      <c r="F244" s="4" t="s">
        <v>19</v>
      </c>
      <c r="G244" s="4" t="s">
        <v>20</v>
      </c>
      <c r="H244" s="4" t="s">
        <v>21</v>
      </c>
      <c r="I244" s="5" t="s">
        <v>21</v>
      </c>
      <c r="J244" s="1" t="s">
        <v>1083</v>
      </c>
      <c r="K244" s="1" t="s">
        <v>1084</v>
      </c>
      <c r="L244" s="1" t="s">
        <v>953</v>
      </c>
      <c r="M244" s="4" t="str">
        <f t="shared" si="0"/>
        <v>Outstanding</v>
      </c>
      <c r="N244" s="13" t="s">
        <v>21</v>
      </c>
    </row>
    <row r="245" spans="1:14" ht="60" customHeight="1" x14ac:dyDescent="0.35">
      <c r="A245" s="11" t="s">
        <v>1085</v>
      </c>
      <c r="B245" s="1" t="s">
        <v>1086</v>
      </c>
      <c r="C245" s="2" t="s">
        <v>16</v>
      </c>
      <c r="D245" s="3" t="s">
        <v>319</v>
      </c>
      <c r="E245" s="4" t="s">
        <v>18</v>
      </c>
      <c r="F245" s="4" t="s">
        <v>19</v>
      </c>
      <c r="G245" s="4" t="s">
        <v>20</v>
      </c>
      <c r="H245" s="4" t="s">
        <v>21</v>
      </c>
      <c r="I245" s="5" t="s">
        <v>21</v>
      </c>
      <c r="J245" s="1" t="s">
        <v>1087</v>
      </c>
      <c r="K245" s="1" t="s">
        <v>1088</v>
      </c>
      <c r="L245" s="1" t="s">
        <v>1089</v>
      </c>
      <c r="M245" s="4" t="str">
        <f t="shared" si="0"/>
        <v>Outstanding</v>
      </c>
      <c r="N245" s="13" t="s">
        <v>21</v>
      </c>
    </row>
    <row r="246" spans="1:14" ht="60" customHeight="1" x14ac:dyDescent="0.35">
      <c r="A246" s="11" t="s">
        <v>1090</v>
      </c>
      <c r="B246" s="1" t="s">
        <v>1091</v>
      </c>
      <c r="C246" s="2" t="s">
        <v>163</v>
      </c>
      <c r="D246" s="3" t="s">
        <v>319</v>
      </c>
      <c r="E246" s="4" t="s">
        <v>18</v>
      </c>
      <c r="F246" s="4" t="s">
        <v>19</v>
      </c>
      <c r="G246" s="4" t="s">
        <v>20</v>
      </c>
      <c r="H246" s="4" t="s">
        <v>21</v>
      </c>
      <c r="I246" s="5" t="s">
        <v>21</v>
      </c>
      <c r="J246" s="1" t="s">
        <v>368</v>
      </c>
      <c r="K246" s="1" t="s">
        <v>1092</v>
      </c>
      <c r="L246" s="1" t="s">
        <v>953</v>
      </c>
      <c r="M246" s="4" t="str">
        <f t="shared" si="0"/>
        <v>Outstanding</v>
      </c>
      <c r="N246" s="13" t="s">
        <v>21</v>
      </c>
    </row>
    <row r="247" spans="1:14" ht="60" customHeight="1" x14ac:dyDescent="0.35">
      <c r="A247" s="11" t="s">
        <v>1093</v>
      </c>
      <c r="B247" s="1" t="s">
        <v>1094</v>
      </c>
      <c r="C247" s="2" t="s">
        <v>163</v>
      </c>
      <c r="D247" s="3" t="s">
        <v>319</v>
      </c>
      <c r="E247" s="4" t="s">
        <v>18</v>
      </c>
      <c r="F247" s="4" t="s">
        <v>19</v>
      </c>
      <c r="G247" s="4" t="s">
        <v>20</v>
      </c>
      <c r="H247" s="4" t="s">
        <v>21</v>
      </c>
      <c r="I247" s="5" t="s">
        <v>21</v>
      </c>
      <c r="J247" s="1" t="s">
        <v>368</v>
      </c>
      <c r="K247" s="1" t="s">
        <v>1095</v>
      </c>
      <c r="L247" s="1" t="s">
        <v>953</v>
      </c>
      <c r="M247" s="4" t="str">
        <f t="shared" si="0"/>
        <v>Outstanding</v>
      </c>
      <c r="N247" s="13" t="s">
        <v>21</v>
      </c>
    </row>
    <row r="248" spans="1:14" ht="60" customHeight="1" x14ac:dyDescent="0.35">
      <c r="A248" s="11" t="s">
        <v>1096</v>
      </c>
      <c r="B248" s="1" t="s">
        <v>1097</v>
      </c>
      <c r="C248" s="2" t="s">
        <v>163</v>
      </c>
      <c r="D248" s="3" t="s">
        <v>319</v>
      </c>
      <c r="E248" s="4" t="s">
        <v>18</v>
      </c>
      <c r="F248" s="4" t="s">
        <v>19</v>
      </c>
      <c r="G248" s="4" t="s">
        <v>20</v>
      </c>
      <c r="H248" s="4" t="s">
        <v>21</v>
      </c>
      <c r="I248" s="5" t="s">
        <v>21</v>
      </c>
      <c r="J248" s="1" t="s">
        <v>1098</v>
      </c>
      <c r="K248" s="1" t="s">
        <v>1099</v>
      </c>
      <c r="L248" s="1" t="s">
        <v>1089</v>
      </c>
      <c r="M248" s="4" t="str">
        <f t="shared" si="0"/>
        <v>Outstanding</v>
      </c>
      <c r="N248" s="13" t="s">
        <v>21</v>
      </c>
    </row>
    <row r="249" spans="1:14" ht="60" customHeight="1" x14ac:dyDescent="0.35">
      <c r="A249" s="11" t="s">
        <v>1100</v>
      </c>
      <c r="B249" s="1" t="s">
        <v>1101</v>
      </c>
      <c r="C249" s="2" t="s">
        <v>16</v>
      </c>
      <c r="D249" s="3" t="s">
        <v>319</v>
      </c>
      <c r="E249" s="4" t="s">
        <v>18</v>
      </c>
      <c r="F249" s="4" t="s">
        <v>19</v>
      </c>
      <c r="G249" s="4" t="s">
        <v>20</v>
      </c>
      <c r="H249" s="4" t="s">
        <v>21</v>
      </c>
      <c r="I249" s="5" t="s">
        <v>21</v>
      </c>
      <c r="J249" s="1" t="s">
        <v>1102</v>
      </c>
      <c r="K249" s="1" t="s">
        <v>1103</v>
      </c>
      <c r="L249" s="1" t="s">
        <v>1104</v>
      </c>
      <c r="M249" s="4" t="str">
        <f t="shared" si="0"/>
        <v>Outstanding</v>
      </c>
      <c r="N249" s="13" t="s">
        <v>21</v>
      </c>
    </row>
    <row r="250" spans="1:14" ht="60" customHeight="1" x14ac:dyDescent="0.35">
      <c r="A250" s="11" t="s">
        <v>1105</v>
      </c>
      <c r="B250" s="1" t="s">
        <v>1106</v>
      </c>
      <c r="C250" s="2" t="s">
        <v>16</v>
      </c>
      <c r="D250" s="3" t="s">
        <v>319</v>
      </c>
      <c r="E250" s="4" t="s">
        <v>18</v>
      </c>
      <c r="F250" s="4" t="s">
        <v>19</v>
      </c>
      <c r="G250" s="4" t="s">
        <v>20</v>
      </c>
      <c r="H250" s="4" t="s">
        <v>21</v>
      </c>
      <c r="I250" s="5" t="s">
        <v>21</v>
      </c>
      <c r="J250" s="1" t="s">
        <v>1107</v>
      </c>
      <c r="K250" s="1" t="s">
        <v>1103</v>
      </c>
      <c r="L250" s="1" t="s">
        <v>1108</v>
      </c>
      <c r="M250" s="4" t="str">
        <f t="shared" si="0"/>
        <v>Outstanding</v>
      </c>
      <c r="N250" s="13" t="s">
        <v>21</v>
      </c>
    </row>
    <row r="251" spans="1:14" ht="60" customHeight="1" x14ac:dyDescent="0.35">
      <c r="A251" s="11" t="s">
        <v>1109</v>
      </c>
      <c r="B251" s="1" t="s">
        <v>1110</v>
      </c>
      <c r="C251" s="2" t="s">
        <v>16</v>
      </c>
      <c r="D251" s="3" t="s">
        <v>319</v>
      </c>
      <c r="E251" s="4" t="s">
        <v>18</v>
      </c>
      <c r="F251" s="4" t="s">
        <v>19</v>
      </c>
      <c r="G251" s="4" t="s">
        <v>20</v>
      </c>
      <c r="H251" s="4" t="s">
        <v>21</v>
      </c>
      <c r="I251" s="5" t="s">
        <v>21</v>
      </c>
      <c r="J251" s="1" t="s">
        <v>985</v>
      </c>
      <c r="K251" s="1" t="s">
        <v>1111</v>
      </c>
      <c r="L251" s="1" t="s">
        <v>987</v>
      </c>
      <c r="M251" s="4" t="str">
        <f t="shared" si="0"/>
        <v>Outstanding</v>
      </c>
      <c r="N251" s="13" t="s">
        <v>21</v>
      </c>
    </row>
    <row r="252" spans="1:14" ht="60" customHeight="1" x14ac:dyDescent="0.35">
      <c r="A252" s="11" t="s">
        <v>1112</v>
      </c>
      <c r="B252" s="1" t="s">
        <v>1113</v>
      </c>
      <c r="C252" s="2" t="s">
        <v>16</v>
      </c>
      <c r="D252" s="3" t="s">
        <v>319</v>
      </c>
      <c r="E252" s="4" t="s">
        <v>18</v>
      </c>
      <c r="F252" s="4" t="s">
        <v>19</v>
      </c>
      <c r="G252" s="4" t="s">
        <v>20</v>
      </c>
      <c r="H252" s="4" t="s">
        <v>21</v>
      </c>
      <c r="I252" s="5" t="s">
        <v>21</v>
      </c>
      <c r="J252" s="1" t="s">
        <v>1114</v>
      </c>
      <c r="K252" s="1" t="s">
        <v>483</v>
      </c>
      <c r="L252" s="1" t="s">
        <v>1115</v>
      </c>
      <c r="M252" s="4" t="str">
        <f t="shared" si="0"/>
        <v>Outstanding</v>
      </c>
      <c r="N252" s="13" t="s">
        <v>21</v>
      </c>
    </row>
    <row r="253" spans="1:14" ht="60" customHeight="1" x14ac:dyDescent="0.35">
      <c r="A253" s="11" t="s">
        <v>1116</v>
      </c>
      <c r="B253" s="1" t="s">
        <v>1117</v>
      </c>
      <c r="C253" s="2" t="s">
        <v>16</v>
      </c>
      <c r="D253" s="3" t="s">
        <v>319</v>
      </c>
      <c r="E253" s="4" t="s">
        <v>18</v>
      </c>
      <c r="F253" s="4" t="s">
        <v>19</v>
      </c>
      <c r="G253" s="4" t="s">
        <v>20</v>
      </c>
      <c r="H253" s="4" t="s">
        <v>21</v>
      </c>
      <c r="I253" s="5" t="s">
        <v>21</v>
      </c>
      <c r="J253" s="1" t="s">
        <v>377</v>
      </c>
      <c r="K253" s="1" t="s">
        <v>483</v>
      </c>
      <c r="L253" s="1" t="s">
        <v>1118</v>
      </c>
      <c r="M253" s="4" t="str">
        <f t="shared" si="0"/>
        <v>Outstanding</v>
      </c>
      <c r="N253" s="13" t="s">
        <v>21</v>
      </c>
    </row>
    <row r="254" spans="1:14" ht="60" customHeight="1" x14ac:dyDescent="0.35">
      <c r="A254" s="11" t="s">
        <v>1119</v>
      </c>
      <c r="B254" s="1" t="s">
        <v>1120</v>
      </c>
      <c r="C254" s="2" t="s">
        <v>16</v>
      </c>
      <c r="D254" s="3" t="s">
        <v>319</v>
      </c>
      <c r="E254" s="4" t="s">
        <v>18</v>
      </c>
      <c r="F254" s="4" t="s">
        <v>19</v>
      </c>
      <c r="G254" s="4" t="s">
        <v>20</v>
      </c>
      <c r="H254" s="4" t="s">
        <v>21</v>
      </c>
      <c r="I254" s="5" t="s">
        <v>21</v>
      </c>
      <c r="J254" s="1" t="s">
        <v>1121</v>
      </c>
      <c r="K254" s="1" t="s">
        <v>483</v>
      </c>
      <c r="L254" s="1" t="s">
        <v>1122</v>
      </c>
      <c r="M254" s="4" t="str">
        <f t="shared" si="0"/>
        <v>Outstanding</v>
      </c>
      <c r="N254" s="13" t="s">
        <v>21</v>
      </c>
    </row>
    <row r="255" spans="1:14" ht="60" customHeight="1" x14ac:dyDescent="0.35">
      <c r="A255" s="11" t="s">
        <v>1123</v>
      </c>
      <c r="B255" s="1" t="s">
        <v>1124</v>
      </c>
      <c r="C255" s="2" t="s">
        <v>16</v>
      </c>
      <c r="D255" s="3" t="s">
        <v>319</v>
      </c>
      <c r="E255" s="4" t="s">
        <v>18</v>
      </c>
      <c r="F255" s="4" t="s">
        <v>19</v>
      </c>
      <c r="G255" s="4" t="s">
        <v>20</v>
      </c>
      <c r="H255" s="4" t="s">
        <v>21</v>
      </c>
      <c r="I255" s="5" t="s">
        <v>21</v>
      </c>
      <c r="J255" s="1" t="s">
        <v>1125</v>
      </c>
      <c r="K255" s="1" t="s">
        <v>483</v>
      </c>
      <c r="L255" s="1" t="s">
        <v>1115</v>
      </c>
      <c r="M255" s="4" t="str">
        <f t="shared" si="0"/>
        <v>Outstanding</v>
      </c>
      <c r="N255" s="13" t="s">
        <v>21</v>
      </c>
    </row>
    <row r="256" spans="1:14" ht="60" customHeight="1" x14ac:dyDescent="0.35">
      <c r="A256" s="11" t="s">
        <v>1126</v>
      </c>
      <c r="B256" s="1" t="s">
        <v>1127</v>
      </c>
      <c r="C256" s="2" t="s">
        <v>16</v>
      </c>
      <c r="D256" s="3" t="s">
        <v>319</v>
      </c>
      <c r="E256" s="4" t="s">
        <v>18</v>
      </c>
      <c r="F256" s="4" t="s">
        <v>19</v>
      </c>
      <c r="G256" s="4" t="s">
        <v>20</v>
      </c>
      <c r="H256" s="4" t="s">
        <v>21</v>
      </c>
      <c r="I256" s="5" t="s">
        <v>21</v>
      </c>
      <c r="J256" s="1" t="s">
        <v>377</v>
      </c>
      <c r="K256" s="1" t="s">
        <v>483</v>
      </c>
      <c r="L256" s="1" t="s">
        <v>1118</v>
      </c>
      <c r="M256" s="4" t="str">
        <f t="shared" si="0"/>
        <v>Outstanding</v>
      </c>
      <c r="N256" s="13" t="s">
        <v>21</v>
      </c>
    </row>
    <row r="257" spans="1:14" ht="60" customHeight="1" x14ac:dyDescent="0.35">
      <c r="A257" s="11" t="s">
        <v>1128</v>
      </c>
      <c r="B257" s="1" t="s">
        <v>1129</v>
      </c>
      <c r="C257" s="2" t="s">
        <v>16</v>
      </c>
      <c r="D257" s="3" t="s">
        <v>319</v>
      </c>
      <c r="E257" s="4" t="s">
        <v>18</v>
      </c>
      <c r="F257" s="4" t="s">
        <v>19</v>
      </c>
      <c r="G257" s="4" t="s">
        <v>20</v>
      </c>
      <c r="H257" s="4" t="s">
        <v>21</v>
      </c>
      <c r="I257" s="5" t="s">
        <v>21</v>
      </c>
      <c r="J257" s="1" t="s">
        <v>1130</v>
      </c>
      <c r="K257" s="1" t="s">
        <v>483</v>
      </c>
      <c r="L257" s="1" t="s">
        <v>1122</v>
      </c>
      <c r="M257" s="4" t="str">
        <f t="shared" ref="M257:M461" si="1">IF(OR(H257="Implemented",H257="Compensated"),"Resolved",IF(OR(H257="Risk Accepted",H257="N/A"),"Excluded",IF(H257="Testing","Testing","Outstanding")))</f>
        <v>Outstanding</v>
      </c>
      <c r="N257" s="13" t="s">
        <v>21</v>
      </c>
    </row>
    <row r="258" spans="1:14" ht="60" customHeight="1" x14ac:dyDescent="0.35">
      <c r="A258" s="11" t="s">
        <v>1131</v>
      </c>
      <c r="B258" s="1" t="s">
        <v>1132</v>
      </c>
      <c r="C258" s="2" t="s">
        <v>16</v>
      </c>
      <c r="D258" s="3" t="s">
        <v>319</v>
      </c>
      <c r="E258" s="4" t="s">
        <v>18</v>
      </c>
      <c r="F258" s="4" t="s">
        <v>19</v>
      </c>
      <c r="G258" s="4" t="s">
        <v>20</v>
      </c>
      <c r="H258" s="4" t="s">
        <v>21</v>
      </c>
      <c r="I258" s="5" t="s">
        <v>21</v>
      </c>
      <c r="J258" s="1" t="s">
        <v>377</v>
      </c>
      <c r="K258" s="1" t="s">
        <v>483</v>
      </c>
      <c r="L258" s="1" t="s">
        <v>1133</v>
      </c>
      <c r="M258" s="4" t="str">
        <f t="shared" si="1"/>
        <v>Outstanding</v>
      </c>
      <c r="N258" s="13" t="s">
        <v>21</v>
      </c>
    </row>
    <row r="259" spans="1:14" ht="60" customHeight="1" x14ac:dyDescent="0.35">
      <c r="A259" s="11" t="s">
        <v>1134</v>
      </c>
      <c r="B259" s="1" t="s">
        <v>1135</v>
      </c>
      <c r="C259" s="2" t="s">
        <v>16</v>
      </c>
      <c r="D259" s="3" t="s">
        <v>319</v>
      </c>
      <c r="E259" s="4" t="s">
        <v>18</v>
      </c>
      <c r="F259" s="4" t="s">
        <v>19</v>
      </c>
      <c r="G259" s="4" t="s">
        <v>20</v>
      </c>
      <c r="H259" s="4" t="s">
        <v>21</v>
      </c>
      <c r="I259" s="5" t="s">
        <v>21</v>
      </c>
      <c r="J259" s="1" t="s">
        <v>1136</v>
      </c>
      <c r="K259" s="1" t="s">
        <v>483</v>
      </c>
      <c r="L259" s="1" t="s">
        <v>1115</v>
      </c>
      <c r="M259" s="4" t="str">
        <f t="shared" si="1"/>
        <v>Outstanding</v>
      </c>
      <c r="N259" s="13" t="s">
        <v>21</v>
      </c>
    </row>
    <row r="260" spans="1:14" ht="60" customHeight="1" x14ac:dyDescent="0.35">
      <c r="A260" s="11" t="s">
        <v>1137</v>
      </c>
      <c r="B260" s="1" t="s">
        <v>1138</v>
      </c>
      <c r="C260" s="2" t="s">
        <v>16</v>
      </c>
      <c r="D260" s="3" t="s">
        <v>319</v>
      </c>
      <c r="E260" s="4" t="s">
        <v>18</v>
      </c>
      <c r="F260" s="4" t="s">
        <v>19</v>
      </c>
      <c r="G260" s="4" t="s">
        <v>20</v>
      </c>
      <c r="H260" s="4" t="s">
        <v>21</v>
      </c>
      <c r="I260" s="5" t="s">
        <v>21</v>
      </c>
      <c r="J260" s="1" t="s">
        <v>1139</v>
      </c>
      <c r="K260" s="1" t="s">
        <v>483</v>
      </c>
      <c r="L260" s="1" t="s">
        <v>1140</v>
      </c>
      <c r="M260" s="4" t="str">
        <f t="shared" si="1"/>
        <v>Outstanding</v>
      </c>
      <c r="N260" s="13" t="s">
        <v>21</v>
      </c>
    </row>
    <row r="261" spans="1:14" ht="60" customHeight="1" x14ac:dyDescent="0.35">
      <c r="A261" s="11" t="s">
        <v>1141</v>
      </c>
      <c r="B261" s="1" t="s">
        <v>1142</v>
      </c>
      <c r="C261" s="2" t="s">
        <v>16</v>
      </c>
      <c r="D261" s="3" t="s">
        <v>319</v>
      </c>
      <c r="E261" s="4" t="s">
        <v>18</v>
      </c>
      <c r="F261" s="4" t="s">
        <v>19</v>
      </c>
      <c r="G261" s="4" t="s">
        <v>20</v>
      </c>
      <c r="H261" s="4" t="s">
        <v>21</v>
      </c>
      <c r="I261" s="5" t="s">
        <v>21</v>
      </c>
      <c r="J261" s="1" t="s">
        <v>1143</v>
      </c>
      <c r="K261" s="1" t="s">
        <v>483</v>
      </c>
      <c r="L261" s="1" t="s">
        <v>1023</v>
      </c>
      <c r="M261" s="4" t="str">
        <f t="shared" si="1"/>
        <v>Outstanding</v>
      </c>
      <c r="N261" s="13" t="s">
        <v>21</v>
      </c>
    </row>
    <row r="262" spans="1:14" ht="60" customHeight="1" x14ac:dyDescent="0.35">
      <c r="A262" s="11" t="s">
        <v>1144</v>
      </c>
      <c r="B262" s="1" t="s">
        <v>1145</v>
      </c>
      <c r="C262" s="2" t="s">
        <v>16</v>
      </c>
      <c r="D262" s="3" t="s">
        <v>319</v>
      </c>
      <c r="E262" s="4" t="s">
        <v>18</v>
      </c>
      <c r="F262" s="4" t="s">
        <v>19</v>
      </c>
      <c r="G262" s="4" t="s">
        <v>20</v>
      </c>
      <c r="H262" s="4" t="s">
        <v>21</v>
      </c>
      <c r="I262" s="5" t="s">
        <v>21</v>
      </c>
      <c r="J262" s="1" t="s">
        <v>1146</v>
      </c>
      <c r="K262" s="1" t="s">
        <v>1147</v>
      </c>
      <c r="L262" s="1" t="s">
        <v>1148</v>
      </c>
      <c r="M262" s="4" t="str">
        <f t="shared" si="1"/>
        <v>Outstanding</v>
      </c>
      <c r="N262" s="13" t="s">
        <v>21</v>
      </c>
    </row>
    <row r="263" spans="1:14" ht="60" customHeight="1" x14ac:dyDescent="0.35">
      <c r="A263" s="11" t="s">
        <v>1149</v>
      </c>
      <c r="B263" s="1" t="s">
        <v>1150</v>
      </c>
      <c r="C263" s="2" t="s">
        <v>16</v>
      </c>
      <c r="D263" s="3" t="s">
        <v>319</v>
      </c>
      <c r="E263" s="4" t="s">
        <v>18</v>
      </c>
      <c r="F263" s="4" t="s">
        <v>19</v>
      </c>
      <c r="G263" s="4" t="s">
        <v>20</v>
      </c>
      <c r="H263" s="4" t="s">
        <v>21</v>
      </c>
      <c r="I263" s="5" t="s">
        <v>21</v>
      </c>
      <c r="J263" s="1" t="s">
        <v>1139</v>
      </c>
      <c r="K263" s="1" t="s">
        <v>483</v>
      </c>
      <c r="L263" s="1" t="s">
        <v>1140</v>
      </c>
      <c r="M263" s="4" t="str">
        <f t="shared" si="1"/>
        <v>Outstanding</v>
      </c>
      <c r="N263" s="13" t="s">
        <v>21</v>
      </c>
    </row>
    <row r="264" spans="1:14" ht="60" customHeight="1" x14ac:dyDescent="0.35">
      <c r="A264" s="11" t="s">
        <v>1151</v>
      </c>
      <c r="B264" s="1" t="s">
        <v>1152</v>
      </c>
      <c r="C264" s="2" t="s">
        <v>16</v>
      </c>
      <c r="D264" s="3" t="s">
        <v>319</v>
      </c>
      <c r="E264" s="4" t="s">
        <v>18</v>
      </c>
      <c r="F264" s="4" t="s">
        <v>19</v>
      </c>
      <c r="G264" s="4" t="s">
        <v>20</v>
      </c>
      <c r="H264" s="4" t="s">
        <v>21</v>
      </c>
      <c r="I264" s="5" t="s">
        <v>21</v>
      </c>
      <c r="J264" s="1" t="s">
        <v>1139</v>
      </c>
      <c r="K264" s="1" t="s">
        <v>483</v>
      </c>
      <c r="L264" s="1" t="s">
        <v>1140</v>
      </c>
      <c r="M264" s="4" t="str">
        <f t="shared" si="1"/>
        <v>Outstanding</v>
      </c>
      <c r="N264" s="13" t="s">
        <v>21</v>
      </c>
    </row>
    <row r="265" spans="1:14" ht="60" customHeight="1" x14ac:dyDescent="0.35">
      <c r="A265" s="11" t="s">
        <v>1153</v>
      </c>
      <c r="B265" s="1" t="s">
        <v>1154</v>
      </c>
      <c r="C265" s="2" t="s">
        <v>16</v>
      </c>
      <c r="D265" s="3" t="s">
        <v>319</v>
      </c>
      <c r="E265" s="4" t="s">
        <v>18</v>
      </c>
      <c r="F265" s="4" t="s">
        <v>19</v>
      </c>
      <c r="G265" s="4" t="s">
        <v>20</v>
      </c>
      <c r="H265" s="4" t="s">
        <v>21</v>
      </c>
      <c r="I265" s="5" t="s">
        <v>21</v>
      </c>
      <c r="J265" s="1" t="s">
        <v>377</v>
      </c>
      <c r="K265" s="1" t="s">
        <v>483</v>
      </c>
      <c r="L265" s="1" t="s">
        <v>1118</v>
      </c>
      <c r="M265" s="4" t="str">
        <f t="shared" si="1"/>
        <v>Outstanding</v>
      </c>
      <c r="N265" s="13" t="s">
        <v>21</v>
      </c>
    </row>
    <row r="266" spans="1:14" ht="60" customHeight="1" x14ac:dyDescent="0.35">
      <c r="A266" s="11" t="s">
        <v>1155</v>
      </c>
      <c r="B266" s="1" t="s">
        <v>1156</v>
      </c>
      <c r="C266" s="2" t="s">
        <v>16</v>
      </c>
      <c r="D266" s="3" t="s">
        <v>319</v>
      </c>
      <c r="E266" s="4" t="s">
        <v>18</v>
      </c>
      <c r="F266" s="4" t="s">
        <v>19</v>
      </c>
      <c r="G266" s="4" t="s">
        <v>20</v>
      </c>
      <c r="H266" s="4" t="s">
        <v>21</v>
      </c>
      <c r="I266" s="5" t="s">
        <v>21</v>
      </c>
      <c r="J266" s="1" t="s">
        <v>1157</v>
      </c>
      <c r="K266" s="1" t="s">
        <v>1158</v>
      </c>
      <c r="L266" s="1" t="s">
        <v>1159</v>
      </c>
      <c r="M266" s="4" t="str">
        <f t="shared" si="1"/>
        <v>Outstanding</v>
      </c>
      <c r="N266" s="13" t="s">
        <v>21</v>
      </c>
    </row>
    <row r="267" spans="1:14" ht="60" customHeight="1" x14ac:dyDescent="0.35">
      <c r="A267" s="11" t="s">
        <v>1160</v>
      </c>
      <c r="B267" s="1" t="s">
        <v>1156</v>
      </c>
      <c r="C267" s="2" t="s">
        <v>16</v>
      </c>
      <c r="D267" s="3" t="s">
        <v>319</v>
      </c>
      <c r="E267" s="4" t="s">
        <v>18</v>
      </c>
      <c r="F267" s="4" t="s">
        <v>19</v>
      </c>
      <c r="G267" s="4" t="s">
        <v>20</v>
      </c>
      <c r="H267" s="4" t="s">
        <v>21</v>
      </c>
      <c r="I267" s="5" t="s">
        <v>21</v>
      </c>
      <c r="J267" s="1" t="s">
        <v>1161</v>
      </c>
      <c r="K267" s="1" t="s">
        <v>1158</v>
      </c>
      <c r="L267" s="1" t="s">
        <v>1162</v>
      </c>
      <c r="M267" s="4" t="str">
        <f t="shared" si="1"/>
        <v>Outstanding</v>
      </c>
      <c r="N267" s="13" t="s">
        <v>21</v>
      </c>
    </row>
    <row r="268" spans="1:14" ht="60" customHeight="1" x14ac:dyDescent="0.35">
      <c r="A268" s="11" t="s">
        <v>1163</v>
      </c>
      <c r="B268" s="1" t="s">
        <v>1156</v>
      </c>
      <c r="C268" s="2" t="s">
        <v>16</v>
      </c>
      <c r="D268" s="3" t="s">
        <v>319</v>
      </c>
      <c r="E268" s="4" t="s">
        <v>18</v>
      </c>
      <c r="F268" s="4" t="s">
        <v>19</v>
      </c>
      <c r="G268" s="4" t="s">
        <v>20</v>
      </c>
      <c r="H268" s="4" t="s">
        <v>21</v>
      </c>
      <c r="I268" s="5" t="s">
        <v>21</v>
      </c>
      <c r="J268" s="1" t="s">
        <v>1164</v>
      </c>
      <c r="K268" s="1" t="s">
        <v>1158</v>
      </c>
      <c r="L268" s="1" t="s">
        <v>1165</v>
      </c>
      <c r="M268" s="4" t="str">
        <f t="shared" si="1"/>
        <v>Outstanding</v>
      </c>
      <c r="N268" s="13" t="s">
        <v>21</v>
      </c>
    </row>
    <row r="269" spans="1:14" ht="60" customHeight="1" x14ac:dyDescent="0.35">
      <c r="A269" s="11" t="s">
        <v>1166</v>
      </c>
      <c r="B269" s="1" t="s">
        <v>1156</v>
      </c>
      <c r="C269" s="2" t="s">
        <v>16</v>
      </c>
      <c r="D269" s="3" t="s">
        <v>319</v>
      </c>
      <c r="E269" s="4" t="s">
        <v>18</v>
      </c>
      <c r="F269" s="4" t="s">
        <v>19</v>
      </c>
      <c r="G269" s="4" t="s">
        <v>20</v>
      </c>
      <c r="H269" s="4" t="s">
        <v>21</v>
      </c>
      <c r="I269" s="5" t="s">
        <v>21</v>
      </c>
      <c r="J269" s="1" t="s">
        <v>1167</v>
      </c>
      <c r="K269" s="1" t="s">
        <v>1158</v>
      </c>
      <c r="L269" s="1" t="s">
        <v>1168</v>
      </c>
      <c r="M269" s="4" t="str">
        <f t="shared" si="1"/>
        <v>Outstanding</v>
      </c>
      <c r="N269" s="13" t="s">
        <v>21</v>
      </c>
    </row>
    <row r="270" spans="1:14" ht="60" customHeight="1" x14ac:dyDescent="0.35">
      <c r="A270" s="11" t="s">
        <v>1169</v>
      </c>
      <c r="B270" s="1" t="s">
        <v>1156</v>
      </c>
      <c r="C270" s="2" t="s">
        <v>16</v>
      </c>
      <c r="D270" s="3" t="s">
        <v>319</v>
      </c>
      <c r="E270" s="4" t="s">
        <v>18</v>
      </c>
      <c r="F270" s="4" t="s">
        <v>19</v>
      </c>
      <c r="G270" s="4" t="s">
        <v>20</v>
      </c>
      <c r="H270" s="4" t="s">
        <v>21</v>
      </c>
      <c r="I270" s="5" t="s">
        <v>21</v>
      </c>
      <c r="J270" s="1" t="s">
        <v>1170</v>
      </c>
      <c r="K270" s="1" t="s">
        <v>1158</v>
      </c>
      <c r="L270" s="1" t="s">
        <v>1171</v>
      </c>
      <c r="M270" s="4" t="str">
        <f t="shared" si="1"/>
        <v>Outstanding</v>
      </c>
      <c r="N270" s="13" t="s">
        <v>21</v>
      </c>
    </row>
    <row r="271" spans="1:14" ht="60" customHeight="1" x14ac:dyDescent="0.35">
      <c r="A271" s="11" t="s">
        <v>1172</v>
      </c>
      <c r="B271" s="1" t="s">
        <v>1173</v>
      </c>
      <c r="C271" s="2" t="s">
        <v>16</v>
      </c>
      <c r="D271" s="3" t="s">
        <v>319</v>
      </c>
      <c r="E271" s="4" t="s">
        <v>18</v>
      </c>
      <c r="F271" s="4" t="s">
        <v>19</v>
      </c>
      <c r="G271" s="4" t="s">
        <v>20</v>
      </c>
      <c r="H271" s="4" t="s">
        <v>21</v>
      </c>
      <c r="I271" s="5" t="s">
        <v>21</v>
      </c>
      <c r="J271" s="1" t="s">
        <v>1174</v>
      </c>
      <c r="K271" s="1" t="s">
        <v>1175</v>
      </c>
      <c r="L271" s="1" t="s">
        <v>1176</v>
      </c>
      <c r="M271" s="4" t="str">
        <f t="shared" si="1"/>
        <v>Outstanding</v>
      </c>
      <c r="N271" s="13" t="s">
        <v>21</v>
      </c>
    </row>
    <row r="272" spans="1:14" ht="60" customHeight="1" x14ac:dyDescent="0.35">
      <c r="A272" s="11" t="s">
        <v>1177</v>
      </c>
      <c r="B272" s="1" t="s">
        <v>1178</v>
      </c>
      <c r="C272" s="2" t="s">
        <v>16</v>
      </c>
      <c r="D272" s="3" t="s">
        <v>319</v>
      </c>
      <c r="E272" s="4" t="s">
        <v>18</v>
      </c>
      <c r="F272" s="4" t="s">
        <v>19</v>
      </c>
      <c r="G272" s="4" t="s">
        <v>20</v>
      </c>
      <c r="H272" s="4" t="s">
        <v>21</v>
      </c>
      <c r="I272" s="5" t="s">
        <v>21</v>
      </c>
      <c r="J272" s="1" t="s">
        <v>1179</v>
      </c>
      <c r="K272" s="1" t="s">
        <v>1180</v>
      </c>
      <c r="L272" s="1" t="s">
        <v>1181</v>
      </c>
      <c r="M272" s="4" t="str">
        <f t="shared" si="1"/>
        <v>Outstanding</v>
      </c>
      <c r="N272" s="13" t="s">
        <v>21</v>
      </c>
    </row>
    <row r="273" spans="1:14" ht="60" customHeight="1" x14ac:dyDescent="0.35">
      <c r="A273" s="11" t="s">
        <v>1182</v>
      </c>
      <c r="B273" s="1" t="s">
        <v>1183</v>
      </c>
      <c r="C273" s="2" t="s">
        <v>16</v>
      </c>
      <c r="D273" s="3" t="s">
        <v>319</v>
      </c>
      <c r="E273" s="4" t="s">
        <v>18</v>
      </c>
      <c r="F273" s="4" t="s">
        <v>19</v>
      </c>
      <c r="G273" s="4" t="s">
        <v>20</v>
      </c>
      <c r="H273" s="4" t="s">
        <v>21</v>
      </c>
      <c r="I273" s="5" t="s">
        <v>21</v>
      </c>
      <c r="J273" s="1" t="s">
        <v>1184</v>
      </c>
      <c r="K273" s="1" t="s">
        <v>1185</v>
      </c>
      <c r="L273" s="1" t="s">
        <v>1186</v>
      </c>
      <c r="M273" s="4" t="str">
        <f t="shared" si="1"/>
        <v>Outstanding</v>
      </c>
      <c r="N273" s="13" t="s">
        <v>21</v>
      </c>
    </row>
    <row r="274" spans="1:14" ht="60" customHeight="1" x14ac:dyDescent="0.35">
      <c r="A274" s="11" t="s">
        <v>1187</v>
      </c>
      <c r="B274" s="1" t="s">
        <v>1188</v>
      </c>
      <c r="C274" s="2" t="s">
        <v>16</v>
      </c>
      <c r="D274" s="3" t="s">
        <v>319</v>
      </c>
      <c r="E274" s="4" t="s">
        <v>18</v>
      </c>
      <c r="F274" s="4" t="s">
        <v>19</v>
      </c>
      <c r="G274" s="4" t="s">
        <v>20</v>
      </c>
      <c r="H274" s="4" t="s">
        <v>21</v>
      </c>
      <c r="I274" s="5" t="s">
        <v>21</v>
      </c>
      <c r="J274" s="1" t="s">
        <v>1139</v>
      </c>
      <c r="K274" s="1" t="s">
        <v>483</v>
      </c>
      <c r="L274" s="1" t="s">
        <v>1140</v>
      </c>
      <c r="M274" s="4" t="str">
        <f t="shared" si="1"/>
        <v>Outstanding</v>
      </c>
      <c r="N274" s="13" t="s">
        <v>21</v>
      </c>
    </row>
    <row r="275" spans="1:14" ht="60" customHeight="1" x14ac:dyDescent="0.35">
      <c r="A275" s="11" t="s">
        <v>1189</v>
      </c>
      <c r="B275" s="1" t="s">
        <v>1190</v>
      </c>
      <c r="C275" s="2" t="s">
        <v>16</v>
      </c>
      <c r="D275" s="3" t="s">
        <v>319</v>
      </c>
      <c r="E275" s="4" t="s">
        <v>18</v>
      </c>
      <c r="F275" s="4" t="s">
        <v>19</v>
      </c>
      <c r="G275" s="4" t="s">
        <v>20</v>
      </c>
      <c r="H275" s="4" t="s">
        <v>21</v>
      </c>
      <c r="I275" s="5" t="s">
        <v>21</v>
      </c>
      <c r="J275" s="1" t="s">
        <v>1191</v>
      </c>
      <c r="K275" s="1" t="s">
        <v>483</v>
      </c>
      <c r="L275" s="1" t="s">
        <v>1192</v>
      </c>
      <c r="M275" s="4" t="str">
        <f t="shared" si="1"/>
        <v>Outstanding</v>
      </c>
      <c r="N275" s="13" t="s">
        <v>21</v>
      </c>
    </row>
    <row r="276" spans="1:14" ht="60" customHeight="1" x14ac:dyDescent="0.35">
      <c r="A276" s="11" t="s">
        <v>1193</v>
      </c>
      <c r="B276" s="1" t="s">
        <v>1194</v>
      </c>
      <c r="C276" s="2" t="s">
        <v>16</v>
      </c>
      <c r="D276" s="3" t="s">
        <v>319</v>
      </c>
      <c r="E276" s="4" t="s">
        <v>18</v>
      </c>
      <c r="F276" s="4" t="s">
        <v>19</v>
      </c>
      <c r="G276" s="4" t="s">
        <v>20</v>
      </c>
      <c r="H276" s="4" t="s">
        <v>21</v>
      </c>
      <c r="I276" s="5" t="s">
        <v>21</v>
      </c>
      <c r="J276" s="1" t="s">
        <v>1195</v>
      </c>
      <c r="K276" s="1" t="s">
        <v>483</v>
      </c>
      <c r="L276" s="1" t="s">
        <v>1148</v>
      </c>
      <c r="M276" s="4" t="str">
        <f t="shared" si="1"/>
        <v>Outstanding</v>
      </c>
      <c r="N276" s="13" t="s">
        <v>21</v>
      </c>
    </row>
    <row r="277" spans="1:14" ht="60" customHeight="1" x14ac:dyDescent="0.35">
      <c r="A277" s="11" t="s">
        <v>1196</v>
      </c>
      <c r="B277" s="1" t="s">
        <v>1197</v>
      </c>
      <c r="C277" s="2" t="s">
        <v>16</v>
      </c>
      <c r="D277" s="3" t="s">
        <v>319</v>
      </c>
      <c r="E277" s="4" t="s">
        <v>18</v>
      </c>
      <c r="F277" s="4" t="s">
        <v>19</v>
      </c>
      <c r="G277" s="4" t="s">
        <v>20</v>
      </c>
      <c r="H277" s="4" t="s">
        <v>21</v>
      </c>
      <c r="I277" s="5" t="s">
        <v>21</v>
      </c>
      <c r="J277" s="1" t="s">
        <v>1098</v>
      </c>
      <c r="K277" s="1" t="s">
        <v>1092</v>
      </c>
      <c r="L277" s="1" t="s">
        <v>1089</v>
      </c>
      <c r="M277" s="4" t="str">
        <f t="shared" si="1"/>
        <v>Outstanding</v>
      </c>
      <c r="N277" s="13" t="s">
        <v>21</v>
      </c>
    </row>
    <row r="278" spans="1:14" ht="60" customHeight="1" x14ac:dyDescent="0.35">
      <c r="A278" s="11" t="s">
        <v>1198</v>
      </c>
      <c r="B278" s="1" t="s">
        <v>1199</v>
      </c>
      <c r="C278" s="2" t="s">
        <v>16</v>
      </c>
      <c r="D278" s="3" t="s">
        <v>319</v>
      </c>
      <c r="E278" s="4" t="s">
        <v>18</v>
      </c>
      <c r="F278" s="4" t="s">
        <v>19</v>
      </c>
      <c r="G278" s="4" t="s">
        <v>20</v>
      </c>
      <c r="H278" s="4" t="s">
        <v>21</v>
      </c>
      <c r="I278" s="5" t="s">
        <v>21</v>
      </c>
      <c r="J278" s="1" t="s">
        <v>985</v>
      </c>
      <c r="K278" s="1" t="s">
        <v>1031</v>
      </c>
      <c r="L278" s="1" t="s">
        <v>987</v>
      </c>
      <c r="M278" s="4" t="str">
        <f t="shared" si="1"/>
        <v>Outstanding</v>
      </c>
      <c r="N278" s="13" t="s">
        <v>21</v>
      </c>
    </row>
    <row r="279" spans="1:14" ht="60" customHeight="1" x14ac:dyDescent="0.35">
      <c r="A279" s="11" t="s">
        <v>1200</v>
      </c>
      <c r="B279" s="1" t="s">
        <v>1201</v>
      </c>
      <c r="C279" s="2" t="s">
        <v>16</v>
      </c>
      <c r="D279" s="3" t="s">
        <v>319</v>
      </c>
      <c r="E279" s="4" t="s">
        <v>18</v>
      </c>
      <c r="F279" s="4" t="s">
        <v>19</v>
      </c>
      <c r="G279" s="4" t="s">
        <v>20</v>
      </c>
      <c r="H279" s="4" t="s">
        <v>21</v>
      </c>
      <c r="I279" s="5" t="s">
        <v>21</v>
      </c>
      <c r="J279" s="1" t="s">
        <v>1202</v>
      </c>
      <c r="K279" s="1" t="s">
        <v>1203</v>
      </c>
      <c r="L279" s="1" t="s">
        <v>1204</v>
      </c>
      <c r="M279" s="4" t="str">
        <f t="shared" si="1"/>
        <v>Outstanding</v>
      </c>
      <c r="N279" s="13" t="s">
        <v>21</v>
      </c>
    </row>
    <row r="280" spans="1:14" ht="60" customHeight="1" x14ac:dyDescent="0.35">
      <c r="A280" s="11" t="s">
        <v>1205</v>
      </c>
      <c r="B280" s="1" t="s">
        <v>1201</v>
      </c>
      <c r="C280" s="2" t="s">
        <v>16</v>
      </c>
      <c r="D280" s="3" t="s">
        <v>319</v>
      </c>
      <c r="E280" s="4" t="s">
        <v>18</v>
      </c>
      <c r="F280" s="4" t="s">
        <v>19</v>
      </c>
      <c r="G280" s="4" t="s">
        <v>20</v>
      </c>
      <c r="H280" s="4" t="s">
        <v>21</v>
      </c>
      <c r="I280" s="5" t="s">
        <v>21</v>
      </c>
      <c r="J280" s="1" t="s">
        <v>1206</v>
      </c>
      <c r="K280" s="1" t="s">
        <v>1207</v>
      </c>
      <c r="L280" s="1" t="s">
        <v>1208</v>
      </c>
      <c r="M280" s="4" t="str">
        <f t="shared" si="1"/>
        <v>Outstanding</v>
      </c>
      <c r="N280" s="13" t="s">
        <v>21</v>
      </c>
    </row>
    <row r="281" spans="1:14" ht="60" customHeight="1" x14ac:dyDescent="0.35">
      <c r="A281" s="11" t="s">
        <v>1209</v>
      </c>
      <c r="B281" s="1" t="s">
        <v>1201</v>
      </c>
      <c r="C281" s="2" t="s">
        <v>16</v>
      </c>
      <c r="D281" s="3" t="s">
        <v>319</v>
      </c>
      <c r="E281" s="4" t="s">
        <v>18</v>
      </c>
      <c r="F281" s="4" t="s">
        <v>19</v>
      </c>
      <c r="G281" s="4" t="s">
        <v>20</v>
      </c>
      <c r="H281" s="4" t="s">
        <v>21</v>
      </c>
      <c r="I281" s="5" t="s">
        <v>21</v>
      </c>
      <c r="J281" s="1" t="s">
        <v>1210</v>
      </c>
      <c r="K281" s="1" t="s">
        <v>1207</v>
      </c>
      <c r="L281" s="1" t="s">
        <v>1211</v>
      </c>
      <c r="M281" s="4" t="str">
        <f t="shared" si="1"/>
        <v>Outstanding</v>
      </c>
      <c r="N281" s="13" t="s">
        <v>21</v>
      </c>
    </row>
    <row r="282" spans="1:14" ht="60" customHeight="1" x14ac:dyDescent="0.35">
      <c r="A282" s="11" t="s">
        <v>1212</v>
      </c>
      <c r="B282" s="1" t="s">
        <v>1213</v>
      </c>
      <c r="C282" s="2" t="s">
        <v>16</v>
      </c>
      <c r="D282" s="3" t="s">
        <v>319</v>
      </c>
      <c r="E282" s="4" t="s">
        <v>18</v>
      </c>
      <c r="F282" s="4" t="s">
        <v>19</v>
      </c>
      <c r="G282" s="4" t="s">
        <v>20</v>
      </c>
      <c r="H282" s="4" t="s">
        <v>21</v>
      </c>
      <c r="I282" s="5" t="s">
        <v>21</v>
      </c>
      <c r="J282" s="1" t="s">
        <v>1214</v>
      </c>
      <c r="K282" s="1" t="s">
        <v>1215</v>
      </c>
      <c r="L282" s="1" t="s">
        <v>1216</v>
      </c>
      <c r="M282" s="4" t="str">
        <f t="shared" si="1"/>
        <v>Outstanding</v>
      </c>
      <c r="N282" s="13" t="s">
        <v>21</v>
      </c>
    </row>
    <row r="283" spans="1:14" ht="60" customHeight="1" x14ac:dyDescent="0.35">
      <c r="A283" s="11" t="s">
        <v>1217</v>
      </c>
      <c r="B283" s="1" t="s">
        <v>1213</v>
      </c>
      <c r="C283" s="2" t="s">
        <v>16</v>
      </c>
      <c r="D283" s="3" t="s">
        <v>319</v>
      </c>
      <c r="E283" s="4" t="s">
        <v>18</v>
      </c>
      <c r="F283" s="4" t="s">
        <v>19</v>
      </c>
      <c r="G283" s="4" t="s">
        <v>20</v>
      </c>
      <c r="H283" s="4" t="s">
        <v>21</v>
      </c>
      <c r="I283" s="5" t="s">
        <v>21</v>
      </c>
      <c r="J283" s="1" t="s">
        <v>1218</v>
      </c>
      <c r="K283" s="1" t="s">
        <v>1215</v>
      </c>
      <c r="L283" s="1" t="s">
        <v>1219</v>
      </c>
      <c r="M283" s="4" t="str">
        <f t="shared" si="1"/>
        <v>Outstanding</v>
      </c>
      <c r="N283" s="13" t="s">
        <v>21</v>
      </c>
    </row>
    <row r="284" spans="1:14" ht="60" customHeight="1" x14ac:dyDescent="0.35">
      <c r="A284" s="11" t="s">
        <v>1220</v>
      </c>
      <c r="B284" s="1" t="s">
        <v>1213</v>
      </c>
      <c r="C284" s="2" t="s">
        <v>16</v>
      </c>
      <c r="D284" s="3" t="s">
        <v>319</v>
      </c>
      <c r="E284" s="4" t="s">
        <v>18</v>
      </c>
      <c r="F284" s="4" t="s">
        <v>19</v>
      </c>
      <c r="G284" s="4" t="s">
        <v>20</v>
      </c>
      <c r="H284" s="4" t="s">
        <v>21</v>
      </c>
      <c r="I284" s="5" t="s">
        <v>21</v>
      </c>
      <c r="J284" s="1" t="s">
        <v>1221</v>
      </c>
      <c r="K284" s="1" t="s">
        <v>1215</v>
      </c>
      <c r="L284" s="1" t="s">
        <v>1222</v>
      </c>
      <c r="M284" s="4" t="str">
        <f t="shared" si="1"/>
        <v>Outstanding</v>
      </c>
      <c r="N284" s="13" t="s">
        <v>21</v>
      </c>
    </row>
    <row r="285" spans="1:14" ht="60" customHeight="1" x14ac:dyDescent="0.35">
      <c r="A285" s="11" t="s">
        <v>1223</v>
      </c>
      <c r="B285" s="1" t="s">
        <v>1224</v>
      </c>
      <c r="C285" s="2" t="s">
        <v>16</v>
      </c>
      <c r="D285" s="3" t="s">
        <v>319</v>
      </c>
      <c r="E285" s="4" t="s">
        <v>18</v>
      </c>
      <c r="F285" s="4" t="s">
        <v>19</v>
      </c>
      <c r="G285" s="4" t="s">
        <v>20</v>
      </c>
      <c r="H285" s="4" t="s">
        <v>21</v>
      </c>
      <c r="I285" s="5" t="s">
        <v>21</v>
      </c>
      <c r="J285" s="1" t="s">
        <v>1225</v>
      </c>
      <c r="K285" s="1" t="s">
        <v>1226</v>
      </c>
      <c r="L285" s="1" t="s">
        <v>1227</v>
      </c>
      <c r="M285" s="4" t="str">
        <f t="shared" si="1"/>
        <v>Outstanding</v>
      </c>
      <c r="N285" s="13" t="s">
        <v>21</v>
      </c>
    </row>
    <row r="286" spans="1:14" ht="60" customHeight="1" x14ac:dyDescent="0.35">
      <c r="A286" s="11" t="s">
        <v>1228</v>
      </c>
      <c r="B286" s="1" t="s">
        <v>1229</v>
      </c>
      <c r="C286" s="2" t="s">
        <v>16</v>
      </c>
      <c r="D286" s="3" t="s">
        <v>319</v>
      </c>
      <c r="E286" s="4" t="s">
        <v>18</v>
      </c>
      <c r="F286" s="4" t="s">
        <v>19</v>
      </c>
      <c r="G286" s="4" t="s">
        <v>20</v>
      </c>
      <c r="H286" s="4" t="s">
        <v>21</v>
      </c>
      <c r="I286" s="5" t="s">
        <v>21</v>
      </c>
      <c r="J286" s="1" t="s">
        <v>1230</v>
      </c>
      <c r="K286" s="1" t="s">
        <v>1231</v>
      </c>
      <c r="L286" s="1" t="s">
        <v>1232</v>
      </c>
      <c r="M286" s="4" t="str">
        <f t="shared" si="1"/>
        <v>Outstanding</v>
      </c>
      <c r="N286" s="13" t="s">
        <v>21</v>
      </c>
    </row>
    <row r="287" spans="1:14" ht="60" customHeight="1" x14ac:dyDescent="0.35">
      <c r="A287" s="11" t="s">
        <v>1233</v>
      </c>
      <c r="B287" s="1" t="s">
        <v>1234</v>
      </c>
      <c r="C287" s="2" t="s">
        <v>16</v>
      </c>
      <c r="D287" s="3" t="s">
        <v>1235</v>
      </c>
      <c r="E287" s="4" t="s">
        <v>18</v>
      </c>
      <c r="F287" s="4" t="s">
        <v>19</v>
      </c>
      <c r="G287" s="4" t="s">
        <v>20</v>
      </c>
      <c r="H287" s="4" t="s">
        <v>21</v>
      </c>
      <c r="I287" s="5" t="s">
        <v>21</v>
      </c>
      <c r="J287" s="1" t="s">
        <v>1236</v>
      </c>
      <c r="K287" s="1" t="s">
        <v>1237</v>
      </c>
      <c r="L287" s="1" t="s">
        <v>1238</v>
      </c>
      <c r="M287" s="4" t="str">
        <f t="shared" si="1"/>
        <v>Outstanding</v>
      </c>
      <c r="N287" s="13" t="s">
        <v>21</v>
      </c>
    </row>
    <row r="288" spans="1:14" ht="60" customHeight="1" x14ac:dyDescent="0.35">
      <c r="A288" s="11" t="s">
        <v>1239</v>
      </c>
      <c r="B288" s="1" t="s">
        <v>1240</v>
      </c>
      <c r="C288" s="2" t="s">
        <v>16</v>
      </c>
      <c r="D288" s="3" t="s">
        <v>1235</v>
      </c>
      <c r="E288" s="4" t="s">
        <v>18</v>
      </c>
      <c r="F288" s="4" t="s">
        <v>19</v>
      </c>
      <c r="G288" s="4" t="s">
        <v>20</v>
      </c>
      <c r="H288" s="4" t="s">
        <v>21</v>
      </c>
      <c r="I288" s="5" t="s">
        <v>21</v>
      </c>
      <c r="J288" s="1" t="s">
        <v>1241</v>
      </c>
      <c r="K288" s="1" t="s">
        <v>1242</v>
      </c>
      <c r="L288" s="1" t="s">
        <v>1243</v>
      </c>
      <c r="M288" s="4" t="str">
        <f t="shared" si="1"/>
        <v>Outstanding</v>
      </c>
      <c r="N288" s="13" t="s">
        <v>21</v>
      </c>
    </row>
    <row r="289" spans="1:14" ht="60" customHeight="1" x14ac:dyDescent="0.35">
      <c r="A289" s="11" t="s">
        <v>1244</v>
      </c>
      <c r="B289" s="1" t="s">
        <v>1245</v>
      </c>
      <c r="C289" s="2" t="s">
        <v>16</v>
      </c>
      <c r="D289" s="3" t="s">
        <v>1235</v>
      </c>
      <c r="E289" s="4" t="s">
        <v>18</v>
      </c>
      <c r="F289" s="4" t="s">
        <v>19</v>
      </c>
      <c r="G289" s="4" t="s">
        <v>20</v>
      </c>
      <c r="H289" s="4" t="s">
        <v>21</v>
      </c>
      <c r="I289" s="5" t="s">
        <v>21</v>
      </c>
      <c r="J289" s="1" t="s">
        <v>1246</v>
      </c>
      <c r="K289" s="1" t="s">
        <v>1242</v>
      </c>
      <c r="L289" s="1" t="s">
        <v>1247</v>
      </c>
      <c r="M289" s="4" t="str">
        <f t="shared" si="1"/>
        <v>Outstanding</v>
      </c>
      <c r="N289" s="13" t="s">
        <v>21</v>
      </c>
    </row>
    <row r="290" spans="1:14" ht="60" customHeight="1" x14ac:dyDescent="0.35">
      <c r="A290" s="11" t="s">
        <v>1248</v>
      </c>
      <c r="B290" s="1" t="s">
        <v>1249</v>
      </c>
      <c r="C290" s="2" t="s">
        <v>16</v>
      </c>
      <c r="D290" s="3" t="s">
        <v>1235</v>
      </c>
      <c r="E290" s="4" t="s">
        <v>18</v>
      </c>
      <c r="F290" s="4" t="s">
        <v>19</v>
      </c>
      <c r="G290" s="4" t="s">
        <v>20</v>
      </c>
      <c r="H290" s="4" t="s">
        <v>21</v>
      </c>
      <c r="I290" s="5" t="s">
        <v>21</v>
      </c>
      <c r="J290" s="1" t="s">
        <v>1250</v>
      </c>
      <c r="K290" s="1" t="s">
        <v>1251</v>
      </c>
      <c r="L290" s="1" t="s">
        <v>1252</v>
      </c>
      <c r="M290" s="4" t="str">
        <f t="shared" si="1"/>
        <v>Outstanding</v>
      </c>
      <c r="N290" s="13" t="s">
        <v>21</v>
      </c>
    </row>
    <row r="291" spans="1:14" ht="60" customHeight="1" x14ac:dyDescent="0.35">
      <c r="A291" s="11" t="s">
        <v>1253</v>
      </c>
      <c r="B291" s="1" t="s">
        <v>1254</v>
      </c>
      <c r="C291" s="2" t="s">
        <v>16</v>
      </c>
      <c r="D291" s="3" t="s">
        <v>1235</v>
      </c>
      <c r="E291" s="4" t="s">
        <v>18</v>
      </c>
      <c r="F291" s="4" t="s">
        <v>19</v>
      </c>
      <c r="G291" s="4" t="s">
        <v>20</v>
      </c>
      <c r="H291" s="4" t="s">
        <v>21</v>
      </c>
      <c r="I291" s="5" t="s">
        <v>21</v>
      </c>
      <c r="J291" s="1" t="s">
        <v>1255</v>
      </c>
      <c r="K291" s="1" t="s">
        <v>1251</v>
      </c>
      <c r="L291" s="1" t="s">
        <v>1256</v>
      </c>
      <c r="M291" s="4" t="str">
        <f t="shared" si="1"/>
        <v>Outstanding</v>
      </c>
      <c r="N291" s="13" t="s">
        <v>21</v>
      </c>
    </row>
    <row r="292" spans="1:14" ht="60" customHeight="1" x14ac:dyDescent="0.35">
      <c r="A292" s="11" t="s">
        <v>1257</v>
      </c>
      <c r="B292" s="1" t="s">
        <v>1258</v>
      </c>
      <c r="C292" s="2" t="s">
        <v>16</v>
      </c>
      <c r="D292" s="3" t="s">
        <v>1235</v>
      </c>
      <c r="E292" s="4" t="s">
        <v>18</v>
      </c>
      <c r="F292" s="4" t="s">
        <v>19</v>
      </c>
      <c r="G292" s="4" t="s">
        <v>20</v>
      </c>
      <c r="H292" s="4" t="s">
        <v>21</v>
      </c>
      <c r="I292" s="5" t="s">
        <v>21</v>
      </c>
      <c r="J292" s="1" t="s">
        <v>1259</v>
      </c>
      <c r="K292" s="1" t="s">
        <v>1251</v>
      </c>
      <c r="L292" s="1" t="s">
        <v>1260</v>
      </c>
      <c r="M292" s="4" t="str">
        <f t="shared" si="1"/>
        <v>Outstanding</v>
      </c>
      <c r="N292" s="13" t="s">
        <v>21</v>
      </c>
    </row>
    <row r="293" spans="1:14" ht="60" customHeight="1" x14ac:dyDescent="0.35">
      <c r="A293" s="11" t="s">
        <v>1261</v>
      </c>
      <c r="B293" s="1" t="s">
        <v>1262</v>
      </c>
      <c r="C293" s="2" t="s">
        <v>16</v>
      </c>
      <c r="D293" s="3" t="s">
        <v>1235</v>
      </c>
      <c r="E293" s="4" t="s">
        <v>18</v>
      </c>
      <c r="F293" s="4" t="s">
        <v>19</v>
      </c>
      <c r="G293" s="4" t="s">
        <v>20</v>
      </c>
      <c r="H293" s="4" t="s">
        <v>21</v>
      </c>
      <c r="I293" s="5" t="s">
        <v>21</v>
      </c>
      <c r="J293" s="1" t="s">
        <v>1263</v>
      </c>
      <c r="K293" s="1" t="s">
        <v>1264</v>
      </c>
      <c r="L293" s="1" t="s">
        <v>1265</v>
      </c>
      <c r="M293" s="4" t="str">
        <f t="shared" si="1"/>
        <v>Outstanding</v>
      </c>
      <c r="N293" s="13" t="s">
        <v>21</v>
      </c>
    </row>
    <row r="294" spans="1:14" ht="60" customHeight="1" x14ac:dyDescent="0.35">
      <c r="A294" s="11" t="s">
        <v>1266</v>
      </c>
      <c r="B294" s="1" t="s">
        <v>1267</v>
      </c>
      <c r="C294" s="2" t="s">
        <v>16</v>
      </c>
      <c r="D294" s="3" t="s">
        <v>1235</v>
      </c>
      <c r="E294" s="4" t="s">
        <v>18</v>
      </c>
      <c r="F294" s="4" t="s">
        <v>19</v>
      </c>
      <c r="G294" s="4" t="s">
        <v>20</v>
      </c>
      <c r="H294" s="4" t="s">
        <v>21</v>
      </c>
      <c r="I294" s="5" t="s">
        <v>21</v>
      </c>
      <c r="J294" s="1" t="s">
        <v>1268</v>
      </c>
      <c r="K294" s="1" t="s">
        <v>1269</v>
      </c>
      <c r="L294" s="1" t="s">
        <v>1270</v>
      </c>
      <c r="M294" s="4" t="str">
        <f t="shared" si="1"/>
        <v>Outstanding</v>
      </c>
      <c r="N294" s="13" t="s">
        <v>21</v>
      </c>
    </row>
    <row r="295" spans="1:14" ht="60" customHeight="1" x14ac:dyDescent="0.35">
      <c r="A295" s="11" t="s">
        <v>1271</v>
      </c>
      <c r="B295" s="1" t="s">
        <v>1272</v>
      </c>
      <c r="C295" s="2" t="s">
        <v>16</v>
      </c>
      <c r="D295" s="3" t="s">
        <v>1235</v>
      </c>
      <c r="E295" s="4" t="s">
        <v>18</v>
      </c>
      <c r="F295" s="4" t="s">
        <v>19</v>
      </c>
      <c r="G295" s="4" t="s">
        <v>20</v>
      </c>
      <c r="H295" s="4" t="s">
        <v>21</v>
      </c>
      <c r="I295" s="5" t="s">
        <v>21</v>
      </c>
      <c r="J295" s="1" t="s">
        <v>1273</v>
      </c>
      <c r="K295" s="1" t="s">
        <v>1269</v>
      </c>
      <c r="L295" s="1" t="s">
        <v>1274</v>
      </c>
      <c r="M295" s="4" t="str">
        <f t="shared" si="1"/>
        <v>Outstanding</v>
      </c>
      <c r="N295" s="13" t="s">
        <v>21</v>
      </c>
    </row>
    <row r="296" spans="1:14" ht="60" customHeight="1" x14ac:dyDescent="0.35">
      <c r="A296" s="11" t="s">
        <v>1275</v>
      </c>
      <c r="B296" s="1" t="s">
        <v>1276</v>
      </c>
      <c r="C296" s="2" t="s">
        <v>16</v>
      </c>
      <c r="D296" s="3" t="s">
        <v>1235</v>
      </c>
      <c r="E296" s="4" t="s">
        <v>18</v>
      </c>
      <c r="F296" s="4" t="s">
        <v>19</v>
      </c>
      <c r="G296" s="4" t="s">
        <v>20</v>
      </c>
      <c r="H296" s="4" t="s">
        <v>21</v>
      </c>
      <c r="I296" s="5" t="s">
        <v>21</v>
      </c>
      <c r="J296" s="1" t="s">
        <v>1277</v>
      </c>
      <c r="K296" s="1" t="s">
        <v>1278</v>
      </c>
      <c r="L296" s="1" t="s">
        <v>1279</v>
      </c>
      <c r="M296" s="4" t="str">
        <f t="shared" si="1"/>
        <v>Outstanding</v>
      </c>
      <c r="N296" s="13" t="s">
        <v>21</v>
      </c>
    </row>
    <row r="297" spans="1:14" ht="60" customHeight="1" x14ac:dyDescent="0.35">
      <c r="A297" s="11" t="s">
        <v>1280</v>
      </c>
      <c r="B297" s="1" t="s">
        <v>1281</v>
      </c>
      <c r="C297" s="2" t="s">
        <v>16</v>
      </c>
      <c r="D297" s="3" t="s">
        <v>1235</v>
      </c>
      <c r="E297" s="4" t="s">
        <v>18</v>
      </c>
      <c r="F297" s="4" t="s">
        <v>19</v>
      </c>
      <c r="G297" s="4" t="s">
        <v>20</v>
      </c>
      <c r="H297" s="4" t="s">
        <v>21</v>
      </c>
      <c r="I297" s="5" t="s">
        <v>21</v>
      </c>
      <c r="J297" s="1" t="s">
        <v>1282</v>
      </c>
      <c r="K297" s="1" t="s">
        <v>1283</v>
      </c>
      <c r="L297" s="1" t="s">
        <v>1284</v>
      </c>
      <c r="M297" s="4" t="str">
        <f t="shared" si="1"/>
        <v>Outstanding</v>
      </c>
      <c r="N297" s="13" t="s">
        <v>21</v>
      </c>
    </row>
    <row r="298" spans="1:14" ht="60" customHeight="1" x14ac:dyDescent="0.35">
      <c r="A298" s="11" t="s">
        <v>1285</v>
      </c>
      <c r="B298" s="1" t="s">
        <v>1286</v>
      </c>
      <c r="C298" s="2" t="s">
        <v>16</v>
      </c>
      <c r="D298" s="3" t="s">
        <v>1235</v>
      </c>
      <c r="E298" s="4" t="s">
        <v>18</v>
      </c>
      <c r="F298" s="4" t="s">
        <v>19</v>
      </c>
      <c r="G298" s="4" t="s">
        <v>20</v>
      </c>
      <c r="H298" s="4" t="s">
        <v>21</v>
      </c>
      <c r="I298" s="5" t="s">
        <v>21</v>
      </c>
      <c r="J298" s="1" t="s">
        <v>1287</v>
      </c>
      <c r="K298" s="1" t="s">
        <v>1283</v>
      </c>
      <c r="L298" s="1" t="s">
        <v>1288</v>
      </c>
      <c r="M298" s="4" t="str">
        <f t="shared" si="1"/>
        <v>Outstanding</v>
      </c>
      <c r="N298" s="13" t="s">
        <v>21</v>
      </c>
    </row>
    <row r="299" spans="1:14" ht="60" customHeight="1" x14ac:dyDescent="0.35">
      <c r="A299" s="11" t="s">
        <v>1289</v>
      </c>
      <c r="B299" s="1" t="s">
        <v>1290</v>
      </c>
      <c r="C299" s="2" t="s">
        <v>16</v>
      </c>
      <c r="D299" s="3" t="s">
        <v>1235</v>
      </c>
      <c r="E299" s="4" t="s">
        <v>18</v>
      </c>
      <c r="F299" s="4" t="s">
        <v>19</v>
      </c>
      <c r="G299" s="4" t="s">
        <v>20</v>
      </c>
      <c r="H299" s="4" t="s">
        <v>21</v>
      </c>
      <c r="I299" s="5" t="s">
        <v>21</v>
      </c>
      <c r="J299" s="1" t="s">
        <v>1291</v>
      </c>
      <c r="K299" s="1" t="s">
        <v>1292</v>
      </c>
      <c r="L299" s="1" t="s">
        <v>1293</v>
      </c>
      <c r="M299" s="4" t="str">
        <f t="shared" si="1"/>
        <v>Outstanding</v>
      </c>
      <c r="N299" s="13" t="s">
        <v>21</v>
      </c>
    </row>
    <row r="300" spans="1:14" ht="60" customHeight="1" x14ac:dyDescent="0.35">
      <c r="A300" s="11" t="s">
        <v>1294</v>
      </c>
      <c r="B300" s="1" t="s">
        <v>1295</v>
      </c>
      <c r="C300" s="2" t="s">
        <v>16</v>
      </c>
      <c r="D300" s="3" t="s">
        <v>1235</v>
      </c>
      <c r="E300" s="4" t="s">
        <v>18</v>
      </c>
      <c r="F300" s="4" t="s">
        <v>19</v>
      </c>
      <c r="G300" s="4" t="s">
        <v>20</v>
      </c>
      <c r="H300" s="4" t="s">
        <v>21</v>
      </c>
      <c r="I300" s="5" t="s">
        <v>21</v>
      </c>
      <c r="J300" s="1" t="s">
        <v>1296</v>
      </c>
      <c r="K300" s="1" t="s">
        <v>1292</v>
      </c>
      <c r="L300" s="1" t="s">
        <v>1297</v>
      </c>
      <c r="M300" s="4" t="str">
        <f t="shared" si="1"/>
        <v>Outstanding</v>
      </c>
      <c r="N300" s="13" t="s">
        <v>21</v>
      </c>
    </row>
    <row r="301" spans="1:14" ht="60" customHeight="1" x14ac:dyDescent="0.35">
      <c r="A301" s="11" t="s">
        <v>1298</v>
      </c>
      <c r="B301" s="1" t="s">
        <v>1299</v>
      </c>
      <c r="C301" s="2" t="s">
        <v>16</v>
      </c>
      <c r="D301" s="3" t="s">
        <v>1235</v>
      </c>
      <c r="E301" s="4" t="s">
        <v>18</v>
      </c>
      <c r="F301" s="4" t="s">
        <v>19</v>
      </c>
      <c r="G301" s="4" t="s">
        <v>20</v>
      </c>
      <c r="H301" s="4" t="s">
        <v>21</v>
      </c>
      <c r="I301" s="5" t="s">
        <v>21</v>
      </c>
      <c r="J301" s="1" t="s">
        <v>1300</v>
      </c>
      <c r="K301" s="1" t="s">
        <v>1301</v>
      </c>
      <c r="L301" s="1" t="s">
        <v>1302</v>
      </c>
      <c r="M301" s="4" t="str">
        <f t="shared" si="1"/>
        <v>Outstanding</v>
      </c>
      <c r="N301" s="13" t="s">
        <v>21</v>
      </c>
    </row>
    <row r="302" spans="1:14" ht="60" customHeight="1" x14ac:dyDescent="0.35">
      <c r="A302" s="11" t="s">
        <v>1303</v>
      </c>
      <c r="B302" s="1" t="s">
        <v>1304</v>
      </c>
      <c r="C302" s="2" t="s">
        <v>16</v>
      </c>
      <c r="D302" s="3" t="s">
        <v>1235</v>
      </c>
      <c r="E302" s="4" t="s">
        <v>18</v>
      </c>
      <c r="F302" s="4" t="s">
        <v>19</v>
      </c>
      <c r="G302" s="4" t="s">
        <v>20</v>
      </c>
      <c r="H302" s="4" t="s">
        <v>21</v>
      </c>
      <c r="I302" s="5" t="s">
        <v>21</v>
      </c>
      <c r="J302" s="1" t="s">
        <v>1305</v>
      </c>
      <c r="K302" s="1" t="s">
        <v>1306</v>
      </c>
      <c r="L302" s="1" t="s">
        <v>1307</v>
      </c>
      <c r="M302" s="4" t="str">
        <f t="shared" si="1"/>
        <v>Outstanding</v>
      </c>
      <c r="N302" s="13" t="s">
        <v>21</v>
      </c>
    </row>
    <row r="303" spans="1:14" ht="60" customHeight="1" x14ac:dyDescent="0.35">
      <c r="A303" s="11" t="s">
        <v>1308</v>
      </c>
      <c r="B303" s="1" t="s">
        <v>1309</v>
      </c>
      <c r="C303" s="2" t="s">
        <v>16</v>
      </c>
      <c r="D303" s="3" t="s">
        <v>1235</v>
      </c>
      <c r="E303" s="4" t="s">
        <v>18</v>
      </c>
      <c r="F303" s="4" t="s">
        <v>19</v>
      </c>
      <c r="G303" s="4" t="s">
        <v>20</v>
      </c>
      <c r="H303" s="4" t="s">
        <v>21</v>
      </c>
      <c r="I303" s="5" t="s">
        <v>21</v>
      </c>
      <c r="J303" s="1" t="s">
        <v>1310</v>
      </c>
      <c r="K303" s="1" t="s">
        <v>1306</v>
      </c>
      <c r="L303" s="1" t="s">
        <v>1311</v>
      </c>
      <c r="M303" s="4" t="str">
        <f t="shared" si="1"/>
        <v>Outstanding</v>
      </c>
      <c r="N303" s="13" t="s">
        <v>21</v>
      </c>
    </row>
    <row r="304" spans="1:14" ht="60" customHeight="1" x14ac:dyDescent="0.35">
      <c r="A304" s="11" t="s">
        <v>1312</v>
      </c>
      <c r="B304" s="1" t="s">
        <v>1313</v>
      </c>
      <c r="C304" s="2" t="s">
        <v>16</v>
      </c>
      <c r="D304" s="3" t="s">
        <v>1235</v>
      </c>
      <c r="E304" s="4" t="s">
        <v>18</v>
      </c>
      <c r="F304" s="4" t="s">
        <v>19</v>
      </c>
      <c r="G304" s="4" t="s">
        <v>20</v>
      </c>
      <c r="H304" s="4" t="s">
        <v>21</v>
      </c>
      <c r="I304" s="5" t="s">
        <v>21</v>
      </c>
      <c r="J304" s="1" t="s">
        <v>1314</v>
      </c>
      <c r="K304" s="1" t="s">
        <v>1306</v>
      </c>
      <c r="L304" s="1" t="s">
        <v>1315</v>
      </c>
      <c r="M304" s="4" t="str">
        <f t="shared" si="1"/>
        <v>Outstanding</v>
      </c>
      <c r="N304" s="13" t="s">
        <v>21</v>
      </c>
    </row>
    <row r="305" spans="1:14" ht="60" customHeight="1" x14ac:dyDescent="0.35">
      <c r="A305" s="11" t="s">
        <v>1316</v>
      </c>
      <c r="B305" s="1" t="s">
        <v>1317</v>
      </c>
      <c r="C305" s="2" t="s">
        <v>16</v>
      </c>
      <c r="D305" s="3" t="s">
        <v>1235</v>
      </c>
      <c r="E305" s="4" t="s">
        <v>18</v>
      </c>
      <c r="F305" s="4" t="s">
        <v>19</v>
      </c>
      <c r="G305" s="4" t="s">
        <v>20</v>
      </c>
      <c r="H305" s="4" t="s">
        <v>21</v>
      </c>
      <c r="I305" s="5" t="s">
        <v>21</v>
      </c>
      <c r="J305" s="1" t="s">
        <v>1318</v>
      </c>
      <c r="K305" s="1" t="s">
        <v>1319</v>
      </c>
      <c r="L305" s="1" t="s">
        <v>1320</v>
      </c>
      <c r="M305" s="4" t="str">
        <f t="shared" si="1"/>
        <v>Outstanding</v>
      </c>
      <c r="N305" s="13" t="s">
        <v>21</v>
      </c>
    </row>
    <row r="306" spans="1:14" ht="60" customHeight="1" x14ac:dyDescent="0.35">
      <c r="A306" s="11" t="s">
        <v>1321</v>
      </c>
      <c r="B306" s="1" t="s">
        <v>1322</v>
      </c>
      <c r="C306" s="2" t="s">
        <v>16</v>
      </c>
      <c r="D306" s="3" t="s">
        <v>1235</v>
      </c>
      <c r="E306" s="4" t="s">
        <v>18</v>
      </c>
      <c r="F306" s="4" t="s">
        <v>19</v>
      </c>
      <c r="G306" s="4" t="s">
        <v>20</v>
      </c>
      <c r="H306" s="4" t="s">
        <v>21</v>
      </c>
      <c r="I306" s="5" t="s">
        <v>21</v>
      </c>
      <c r="J306" s="1" t="s">
        <v>1323</v>
      </c>
      <c r="K306" s="1" t="s">
        <v>1319</v>
      </c>
      <c r="L306" s="1" t="s">
        <v>1324</v>
      </c>
      <c r="M306" s="4" t="str">
        <f t="shared" si="1"/>
        <v>Outstanding</v>
      </c>
      <c r="N306" s="13" t="s">
        <v>21</v>
      </c>
    </row>
    <row r="307" spans="1:14" ht="60" customHeight="1" x14ac:dyDescent="0.35">
      <c r="A307" s="11" t="s">
        <v>1325</v>
      </c>
      <c r="B307" s="1" t="s">
        <v>1326</v>
      </c>
      <c r="C307" s="2" t="s">
        <v>16</v>
      </c>
      <c r="D307" s="3" t="s">
        <v>1235</v>
      </c>
      <c r="E307" s="4" t="s">
        <v>18</v>
      </c>
      <c r="F307" s="4" t="s">
        <v>19</v>
      </c>
      <c r="G307" s="4" t="s">
        <v>20</v>
      </c>
      <c r="H307" s="4" t="s">
        <v>21</v>
      </c>
      <c r="I307" s="5" t="s">
        <v>21</v>
      </c>
      <c r="J307" s="1" t="s">
        <v>1327</v>
      </c>
      <c r="K307" s="1" t="s">
        <v>1319</v>
      </c>
      <c r="L307" s="1" t="s">
        <v>1328</v>
      </c>
      <c r="M307" s="4" t="str">
        <f t="shared" si="1"/>
        <v>Outstanding</v>
      </c>
      <c r="N307" s="13" t="s">
        <v>21</v>
      </c>
    </row>
    <row r="308" spans="1:14" ht="60" customHeight="1" x14ac:dyDescent="0.35">
      <c r="A308" s="11" t="s">
        <v>1329</v>
      </c>
      <c r="B308" s="1" t="s">
        <v>1330</v>
      </c>
      <c r="C308" s="2" t="s">
        <v>16</v>
      </c>
      <c r="D308" s="3" t="s">
        <v>1235</v>
      </c>
      <c r="E308" s="4" t="s">
        <v>18</v>
      </c>
      <c r="F308" s="4" t="s">
        <v>19</v>
      </c>
      <c r="G308" s="4" t="s">
        <v>20</v>
      </c>
      <c r="H308" s="4" t="s">
        <v>21</v>
      </c>
      <c r="I308" s="5" t="s">
        <v>21</v>
      </c>
      <c r="J308" s="1" t="s">
        <v>1331</v>
      </c>
      <c r="K308" s="1" t="s">
        <v>1332</v>
      </c>
      <c r="L308" s="1" t="s">
        <v>1333</v>
      </c>
      <c r="M308" s="4" t="str">
        <f t="shared" si="1"/>
        <v>Outstanding</v>
      </c>
      <c r="N308" s="13" t="s">
        <v>21</v>
      </c>
    </row>
    <row r="309" spans="1:14" ht="60" customHeight="1" x14ac:dyDescent="0.35">
      <c r="A309" s="11" t="s">
        <v>1334</v>
      </c>
      <c r="B309" s="1" t="s">
        <v>1335</v>
      </c>
      <c r="C309" s="2" t="s">
        <v>16</v>
      </c>
      <c r="D309" s="3" t="s">
        <v>1235</v>
      </c>
      <c r="E309" s="4" t="s">
        <v>18</v>
      </c>
      <c r="F309" s="4" t="s">
        <v>19</v>
      </c>
      <c r="G309" s="4" t="s">
        <v>20</v>
      </c>
      <c r="H309" s="4" t="s">
        <v>21</v>
      </c>
      <c r="I309" s="5" t="s">
        <v>21</v>
      </c>
      <c r="J309" s="1" t="s">
        <v>1318</v>
      </c>
      <c r="K309" s="1" t="s">
        <v>1336</v>
      </c>
      <c r="L309" s="1" t="s">
        <v>1337</v>
      </c>
      <c r="M309" s="4" t="str">
        <f t="shared" si="1"/>
        <v>Outstanding</v>
      </c>
      <c r="N309" s="13" t="s">
        <v>21</v>
      </c>
    </row>
    <row r="310" spans="1:14" ht="60" customHeight="1" x14ac:dyDescent="0.35">
      <c r="A310" s="11" t="s">
        <v>1338</v>
      </c>
      <c r="B310" s="1" t="s">
        <v>1339</v>
      </c>
      <c r="C310" s="2" t="s">
        <v>16</v>
      </c>
      <c r="D310" s="3" t="s">
        <v>1235</v>
      </c>
      <c r="E310" s="4" t="s">
        <v>18</v>
      </c>
      <c r="F310" s="4" t="s">
        <v>19</v>
      </c>
      <c r="G310" s="4" t="s">
        <v>20</v>
      </c>
      <c r="H310" s="4" t="s">
        <v>21</v>
      </c>
      <c r="I310" s="5" t="s">
        <v>21</v>
      </c>
      <c r="J310" s="1" t="s">
        <v>1323</v>
      </c>
      <c r="K310" s="1" t="s">
        <v>1336</v>
      </c>
      <c r="L310" s="1" t="s">
        <v>1340</v>
      </c>
      <c r="M310" s="4" t="str">
        <f t="shared" si="1"/>
        <v>Outstanding</v>
      </c>
      <c r="N310" s="13" t="s">
        <v>21</v>
      </c>
    </row>
    <row r="311" spans="1:14" ht="60" customHeight="1" x14ac:dyDescent="0.35">
      <c r="A311" s="11" t="s">
        <v>1341</v>
      </c>
      <c r="B311" s="1" t="s">
        <v>1342</v>
      </c>
      <c r="C311" s="2" t="s">
        <v>16</v>
      </c>
      <c r="D311" s="3" t="s">
        <v>1235</v>
      </c>
      <c r="E311" s="4" t="s">
        <v>18</v>
      </c>
      <c r="F311" s="4" t="s">
        <v>19</v>
      </c>
      <c r="G311" s="4" t="s">
        <v>20</v>
      </c>
      <c r="H311" s="4" t="s">
        <v>21</v>
      </c>
      <c r="I311" s="5" t="s">
        <v>21</v>
      </c>
      <c r="J311" s="1" t="s">
        <v>1327</v>
      </c>
      <c r="K311" s="1" t="s">
        <v>1336</v>
      </c>
      <c r="L311" s="1" t="s">
        <v>1343</v>
      </c>
      <c r="M311" s="4" t="str">
        <f t="shared" si="1"/>
        <v>Outstanding</v>
      </c>
      <c r="N311" s="13" t="s">
        <v>21</v>
      </c>
    </row>
    <row r="312" spans="1:14" ht="60" customHeight="1" x14ac:dyDescent="0.35">
      <c r="A312" s="11" t="s">
        <v>1344</v>
      </c>
      <c r="B312" s="1" t="s">
        <v>1345</v>
      </c>
      <c r="C312" s="2" t="s">
        <v>16</v>
      </c>
      <c r="D312" s="3" t="s">
        <v>1235</v>
      </c>
      <c r="E312" s="4" t="s">
        <v>18</v>
      </c>
      <c r="F312" s="4" t="s">
        <v>19</v>
      </c>
      <c r="G312" s="4" t="s">
        <v>20</v>
      </c>
      <c r="H312" s="4" t="s">
        <v>21</v>
      </c>
      <c r="I312" s="5" t="s">
        <v>21</v>
      </c>
      <c r="J312" s="1" t="s">
        <v>1331</v>
      </c>
      <c r="K312" s="1" t="s">
        <v>1346</v>
      </c>
      <c r="L312" s="1" t="s">
        <v>1347</v>
      </c>
      <c r="M312" s="4" t="str">
        <f t="shared" si="1"/>
        <v>Outstanding</v>
      </c>
      <c r="N312" s="13" t="s">
        <v>21</v>
      </c>
    </row>
    <row r="313" spans="1:14" ht="60" customHeight="1" x14ac:dyDescent="0.35">
      <c r="A313" s="11" t="s">
        <v>1348</v>
      </c>
      <c r="B313" s="1" t="s">
        <v>1349</v>
      </c>
      <c r="C313" s="2" t="s">
        <v>16</v>
      </c>
      <c r="D313" s="3" t="s">
        <v>1235</v>
      </c>
      <c r="E313" s="4" t="s">
        <v>18</v>
      </c>
      <c r="F313" s="4" t="s">
        <v>19</v>
      </c>
      <c r="G313" s="4" t="s">
        <v>20</v>
      </c>
      <c r="H313" s="4" t="s">
        <v>21</v>
      </c>
      <c r="I313" s="5" t="s">
        <v>21</v>
      </c>
      <c r="J313" s="1" t="s">
        <v>1318</v>
      </c>
      <c r="K313" s="1" t="s">
        <v>1350</v>
      </c>
      <c r="L313" s="1" t="s">
        <v>1351</v>
      </c>
      <c r="M313" s="4" t="str">
        <f t="shared" si="1"/>
        <v>Outstanding</v>
      </c>
      <c r="N313" s="13" t="s">
        <v>21</v>
      </c>
    </row>
    <row r="314" spans="1:14" ht="60" customHeight="1" x14ac:dyDescent="0.35">
      <c r="A314" s="11" t="s">
        <v>1352</v>
      </c>
      <c r="B314" s="1" t="s">
        <v>1353</v>
      </c>
      <c r="C314" s="2" t="s">
        <v>16</v>
      </c>
      <c r="D314" s="3" t="s">
        <v>1235</v>
      </c>
      <c r="E314" s="4" t="s">
        <v>18</v>
      </c>
      <c r="F314" s="4" t="s">
        <v>19</v>
      </c>
      <c r="G314" s="4" t="s">
        <v>20</v>
      </c>
      <c r="H314" s="4" t="s">
        <v>21</v>
      </c>
      <c r="I314" s="5" t="s">
        <v>21</v>
      </c>
      <c r="J314" s="1" t="s">
        <v>1323</v>
      </c>
      <c r="K314" s="1" t="s">
        <v>1354</v>
      </c>
      <c r="L314" s="1" t="s">
        <v>1355</v>
      </c>
      <c r="M314" s="4" t="str">
        <f t="shared" si="1"/>
        <v>Outstanding</v>
      </c>
      <c r="N314" s="13" t="s">
        <v>21</v>
      </c>
    </row>
    <row r="315" spans="1:14" ht="60" customHeight="1" x14ac:dyDescent="0.35">
      <c r="A315" s="11" t="s">
        <v>1356</v>
      </c>
      <c r="B315" s="1" t="s">
        <v>1357</v>
      </c>
      <c r="C315" s="2" t="s">
        <v>16</v>
      </c>
      <c r="D315" s="3" t="s">
        <v>1235</v>
      </c>
      <c r="E315" s="4" t="s">
        <v>18</v>
      </c>
      <c r="F315" s="4" t="s">
        <v>19</v>
      </c>
      <c r="G315" s="4" t="s">
        <v>20</v>
      </c>
      <c r="H315" s="4" t="s">
        <v>21</v>
      </c>
      <c r="I315" s="5" t="s">
        <v>21</v>
      </c>
      <c r="J315" s="1" t="s">
        <v>1327</v>
      </c>
      <c r="K315" s="1" t="s">
        <v>1354</v>
      </c>
      <c r="L315" s="1" t="s">
        <v>1358</v>
      </c>
      <c r="M315" s="4" t="str">
        <f t="shared" si="1"/>
        <v>Outstanding</v>
      </c>
      <c r="N315" s="13" t="s">
        <v>21</v>
      </c>
    </row>
    <row r="316" spans="1:14" ht="60" customHeight="1" x14ac:dyDescent="0.35">
      <c r="A316" s="11" t="s">
        <v>1359</v>
      </c>
      <c r="B316" s="1" t="s">
        <v>1360</v>
      </c>
      <c r="C316" s="2" t="s">
        <v>16</v>
      </c>
      <c r="D316" s="3" t="s">
        <v>1235</v>
      </c>
      <c r="E316" s="4" t="s">
        <v>18</v>
      </c>
      <c r="F316" s="4" t="s">
        <v>19</v>
      </c>
      <c r="G316" s="4" t="s">
        <v>20</v>
      </c>
      <c r="H316" s="4" t="s">
        <v>21</v>
      </c>
      <c r="I316" s="5" t="s">
        <v>21</v>
      </c>
      <c r="J316" s="1" t="s">
        <v>1318</v>
      </c>
      <c r="K316" s="1" t="s">
        <v>1361</v>
      </c>
      <c r="L316" s="1" t="s">
        <v>1362</v>
      </c>
      <c r="M316" s="4" t="str">
        <f t="shared" si="1"/>
        <v>Outstanding</v>
      </c>
      <c r="N316" s="13" t="s">
        <v>21</v>
      </c>
    </row>
    <row r="317" spans="1:14" ht="60" customHeight="1" x14ac:dyDescent="0.35">
      <c r="A317" s="11" t="s">
        <v>1363</v>
      </c>
      <c r="B317" s="1" t="s">
        <v>1364</v>
      </c>
      <c r="C317" s="2" t="s">
        <v>16</v>
      </c>
      <c r="D317" s="3" t="s">
        <v>1235</v>
      </c>
      <c r="E317" s="4" t="s">
        <v>18</v>
      </c>
      <c r="F317" s="4" t="s">
        <v>19</v>
      </c>
      <c r="G317" s="4" t="s">
        <v>20</v>
      </c>
      <c r="H317" s="4" t="s">
        <v>21</v>
      </c>
      <c r="I317" s="5" t="s">
        <v>21</v>
      </c>
      <c r="J317" s="1" t="s">
        <v>1323</v>
      </c>
      <c r="K317" s="1" t="s">
        <v>1361</v>
      </c>
      <c r="L317" s="1" t="s">
        <v>1365</v>
      </c>
      <c r="M317" s="4" t="str">
        <f t="shared" si="1"/>
        <v>Outstanding</v>
      </c>
      <c r="N317" s="13" t="s">
        <v>21</v>
      </c>
    </row>
    <row r="318" spans="1:14" ht="60" customHeight="1" x14ac:dyDescent="0.35">
      <c r="A318" s="11" t="s">
        <v>1366</v>
      </c>
      <c r="B318" s="1" t="s">
        <v>1367</v>
      </c>
      <c r="C318" s="2" t="s">
        <v>16</v>
      </c>
      <c r="D318" s="3" t="s">
        <v>1235</v>
      </c>
      <c r="E318" s="4" t="s">
        <v>18</v>
      </c>
      <c r="F318" s="4" t="s">
        <v>19</v>
      </c>
      <c r="G318" s="4" t="s">
        <v>20</v>
      </c>
      <c r="H318" s="4" t="s">
        <v>21</v>
      </c>
      <c r="I318" s="5" t="s">
        <v>21</v>
      </c>
      <c r="J318" s="1" t="s">
        <v>1327</v>
      </c>
      <c r="K318" s="1" t="s">
        <v>1368</v>
      </c>
      <c r="L318" s="1" t="s">
        <v>1369</v>
      </c>
      <c r="M318" s="4" t="str">
        <f t="shared" si="1"/>
        <v>Outstanding</v>
      </c>
      <c r="N318" s="13" t="s">
        <v>21</v>
      </c>
    </row>
    <row r="319" spans="1:14" ht="60" customHeight="1" x14ac:dyDescent="0.35">
      <c r="A319" s="11" t="s">
        <v>1370</v>
      </c>
      <c r="B319" s="1" t="s">
        <v>1371</v>
      </c>
      <c r="C319" s="2" t="s">
        <v>16</v>
      </c>
      <c r="D319" s="3" t="s">
        <v>1235</v>
      </c>
      <c r="E319" s="4" t="s">
        <v>18</v>
      </c>
      <c r="F319" s="4" t="s">
        <v>19</v>
      </c>
      <c r="G319" s="4" t="s">
        <v>20</v>
      </c>
      <c r="H319" s="4" t="s">
        <v>21</v>
      </c>
      <c r="I319" s="5" t="s">
        <v>21</v>
      </c>
      <c r="J319" s="1" t="s">
        <v>1318</v>
      </c>
      <c r="K319" s="1" t="s">
        <v>1372</v>
      </c>
      <c r="L319" s="1" t="s">
        <v>1373</v>
      </c>
      <c r="M319" s="4" t="str">
        <f t="shared" si="1"/>
        <v>Outstanding</v>
      </c>
      <c r="N319" s="13" t="s">
        <v>21</v>
      </c>
    </row>
    <row r="320" spans="1:14" ht="60" customHeight="1" x14ac:dyDescent="0.35">
      <c r="A320" s="11" t="s">
        <v>1374</v>
      </c>
      <c r="B320" s="1" t="s">
        <v>1375</v>
      </c>
      <c r="C320" s="2" t="s">
        <v>16</v>
      </c>
      <c r="D320" s="3" t="s">
        <v>1235</v>
      </c>
      <c r="E320" s="4" t="s">
        <v>18</v>
      </c>
      <c r="F320" s="4" t="s">
        <v>19</v>
      </c>
      <c r="G320" s="4" t="s">
        <v>20</v>
      </c>
      <c r="H320" s="4" t="s">
        <v>21</v>
      </c>
      <c r="I320" s="5" t="s">
        <v>21</v>
      </c>
      <c r="J320" s="1" t="s">
        <v>1323</v>
      </c>
      <c r="K320" s="1" t="s">
        <v>1376</v>
      </c>
      <c r="L320" s="1" t="s">
        <v>1377</v>
      </c>
      <c r="M320" s="4" t="str">
        <f t="shared" si="1"/>
        <v>Outstanding</v>
      </c>
      <c r="N320" s="13" t="s">
        <v>21</v>
      </c>
    </row>
    <row r="321" spans="1:14" ht="60" customHeight="1" x14ac:dyDescent="0.35">
      <c r="A321" s="11" t="s">
        <v>1378</v>
      </c>
      <c r="B321" s="1" t="s">
        <v>1379</v>
      </c>
      <c r="C321" s="2" t="s">
        <v>16</v>
      </c>
      <c r="D321" s="3" t="s">
        <v>1235</v>
      </c>
      <c r="E321" s="4" t="s">
        <v>18</v>
      </c>
      <c r="F321" s="4" t="s">
        <v>19</v>
      </c>
      <c r="G321" s="4" t="s">
        <v>20</v>
      </c>
      <c r="H321" s="4" t="s">
        <v>21</v>
      </c>
      <c r="I321" s="5" t="s">
        <v>21</v>
      </c>
      <c r="J321" s="1" t="s">
        <v>1380</v>
      </c>
      <c r="K321" s="1" t="s">
        <v>1376</v>
      </c>
      <c r="L321" s="1" t="s">
        <v>1381</v>
      </c>
      <c r="M321" s="4" t="str">
        <f t="shared" si="1"/>
        <v>Outstanding</v>
      </c>
      <c r="N321" s="13" t="s">
        <v>21</v>
      </c>
    </row>
    <row r="322" spans="1:14" ht="60" customHeight="1" x14ac:dyDescent="0.35">
      <c r="A322" s="11" t="s">
        <v>1382</v>
      </c>
      <c r="B322" s="1" t="s">
        <v>1383</v>
      </c>
      <c r="C322" s="2" t="s">
        <v>16</v>
      </c>
      <c r="D322" s="3" t="s">
        <v>1235</v>
      </c>
      <c r="E322" s="4" t="s">
        <v>18</v>
      </c>
      <c r="F322" s="4" t="s">
        <v>19</v>
      </c>
      <c r="G322" s="4" t="s">
        <v>20</v>
      </c>
      <c r="H322" s="4" t="s">
        <v>21</v>
      </c>
      <c r="I322" s="5" t="s">
        <v>21</v>
      </c>
      <c r="J322" s="1" t="s">
        <v>1318</v>
      </c>
      <c r="K322" s="1" t="s">
        <v>1384</v>
      </c>
      <c r="L322" s="1" t="s">
        <v>1385</v>
      </c>
      <c r="M322" s="4" t="str">
        <f t="shared" si="1"/>
        <v>Outstanding</v>
      </c>
      <c r="N322" s="13" t="s">
        <v>21</v>
      </c>
    </row>
    <row r="323" spans="1:14" ht="60" customHeight="1" x14ac:dyDescent="0.35">
      <c r="A323" s="11" t="s">
        <v>1386</v>
      </c>
      <c r="B323" s="1" t="s">
        <v>1387</v>
      </c>
      <c r="C323" s="2" t="s">
        <v>16</v>
      </c>
      <c r="D323" s="3" t="s">
        <v>1235</v>
      </c>
      <c r="E323" s="4" t="s">
        <v>18</v>
      </c>
      <c r="F323" s="4" t="s">
        <v>19</v>
      </c>
      <c r="G323" s="4" t="s">
        <v>20</v>
      </c>
      <c r="H323" s="4" t="s">
        <v>21</v>
      </c>
      <c r="I323" s="5" t="s">
        <v>21</v>
      </c>
      <c r="J323" s="1" t="s">
        <v>1323</v>
      </c>
      <c r="K323" s="1" t="s">
        <v>1384</v>
      </c>
      <c r="L323" s="1" t="s">
        <v>1388</v>
      </c>
      <c r="M323" s="4" t="str">
        <f t="shared" si="1"/>
        <v>Outstanding</v>
      </c>
      <c r="N323" s="13" t="s">
        <v>21</v>
      </c>
    </row>
    <row r="324" spans="1:14" ht="60" customHeight="1" x14ac:dyDescent="0.35">
      <c r="A324" s="11" t="s">
        <v>1389</v>
      </c>
      <c r="B324" s="1" t="s">
        <v>1390</v>
      </c>
      <c r="C324" s="2" t="s">
        <v>16</v>
      </c>
      <c r="D324" s="3" t="s">
        <v>1235</v>
      </c>
      <c r="E324" s="4" t="s">
        <v>18</v>
      </c>
      <c r="F324" s="4" t="s">
        <v>19</v>
      </c>
      <c r="G324" s="4" t="s">
        <v>20</v>
      </c>
      <c r="H324" s="4" t="s">
        <v>21</v>
      </c>
      <c r="I324" s="5" t="s">
        <v>21</v>
      </c>
      <c r="J324" s="1" t="s">
        <v>1327</v>
      </c>
      <c r="K324" s="1" t="s">
        <v>1384</v>
      </c>
      <c r="L324" s="1" t="s">
        <v>1391</v>
      </c>
      <c r="M324" s="4" t="str">
        <f t="shared" si="1"/>
        <v>Outstanding</v>
      </c>
      <c r="N324" s="13" t="s">
        <v>21</v>
      </c>
    </row>
    <row r="325" spans="1:14" ht="60" customHeight="1" x14ac:dyDescent="0.35">
      <c r="A325" s="11" t="s">
        <v>1392</v>
      </c>
      <c r="B325" s="1" t="s">
        <v>1393</v>
      </c>
      <c r="C325" s="2" t="s">
        <v>16</v>
      </c>
      <c r="D325" s="3" t="s">
        <v>1235</v>
      </c>
      <c r="E325" s="4" t="s">
        <v>18</v>
      </c>
      <c r="F325" s="4" t="s">
        <v>19</v>
      </c>
      <c r="G325" s="4" t="s">
        <v>20</v>
      </c>
      <c r="H325" s="4" t="s">
        <v>21</v>
      </c>
      <c r="I325" s="5" t="s">
        <v>21</v>
      </c>
      <c r="J325" s="1" t="s">
        <v>1318</v>
      </c>
      <c r="K325" s="1" t="s">
        <v>1394</v>
      </c>
      <c r="L325" s="1" t="s">
        <v>1395</v>
      </c>
      <c r="M325" s="4" t="str">
        <f t="shared" si="1"/>
        <v>Outstanding</v>
      </c>
      <c r="N325" s="13" t="s">
        <v>21</v>
      </c>
    </row>
    <row r="326" spans="1:14" ht="60" customHeight="1" x14ac:dyDescent="0.35">
      <c r="A326" s="11" t="s">
        <v>1396</v>
      </c>
      <c r="B326" s="1" t="s">
        <v>1397</v>
      </c>
      <c r="C326" s="2" t="s">
        <v>16</v>
      </c>
      <c r="D326" s="3" t="s">
        <v>1235</v>
      </c>
      <c r="E326" s="4" t="s">
        <v>18</v>
      </c>
      <c r="F326" s="4" t="s">
        <v>19</v>
      </c>
      <c r="G326" s="4" t="s">
        <v>20</v>
      </c>
      <c r="H326" s="4" t="s">
        <v>21</v>
      </c>
      <c r="I326" s="5" t="s">
        <v>21</v>
      </c>
      <c r="J326" s="1" t="s">
        <v>1323</v>
      </c>
      <c r="K326" s="1" t="s">
        <v>1398</v>
      </c>
      <c r="L326" s="1" t="s">
        <v>1399</v>
      </c>
      <c r="M326" s="4" t="str">
        <f t="shared" si="1"/>
        <v>Outstanding</v>
      </c>
      <c r="N326" s="13" t="s">
        <v>21</v>
      </c>
    </row>
    <row r="327" spans="1:14" ht="60" customHeight="1" x14ac:dyDescent="0.35">
      <c r="A327" s="11" t="s">
        <v>1400</v>
      </c>
      <c r="B327" s="1" t="s">
        <v>1401</v>
      </c>
      <c r="C327" s="2" t="s">
        <v>16</v>
      </c>
      <c r="D327" s="3" t="s">
        <v>1235</v>
      </c>
      <c r="E327" s="4" t="s">
        <v>18</v>
      </c>
      <c r="F327" s="4" t="s">
        <v>19</v>
      </c>
      <c r="G327" s="4" t="s">
        <v>20</v>
      </c>
      <c r="H327" s="4" t="s">
        <v>21</v>
      </c>
      <c r="I327" s="5" t="s">
        <v>21</v>
      </c>
      <c r="J327" s="1" t="s">
        <v>1327</v>
      </c>
      <c r="K327" s="1" t="s">
        <v>1398</v>
      </c>
      <c r="L327" s="1" t="s">
        <v>1402</v>
      </c>
      <c r="M327" s="4" t="str">
        <f t="shared" si="1"/>
        <v>Outstanding</v>
      </c>
      <c r="N327" s="13" t="s">
        <v>21</v>
      </c>
    </row>
    <row r="328" spans="1:14" ht="60" customHeight="1" x14ac:dyDescent="0.35">
      <c r="A328" s="11" t="s">
        <v>1403</v>
      </c>
      <c r="B328" s="1" t="s">
        <v>1404</v>
      </c>
      <c r="C328" s="2" t="s">
        <v>16</v>
      </c>
      <c r="D328" s="3" t="s">
        <v>1235</v>
      </c>
      <c r="E328" s="4" t="s">
        <v>18</v>
      </c>
      <c r="F328" s="4" t="s">
        <v>19</v>
      </c>
      <c r="G328" s="4" t="s">
        <v>20</v>
      </c>
      <c r="H328" s="4" t="s">
        <v>21</v>
      </c>
      <c r="I328" s="5" t="s">
        <v>21</v>
      </c>
      <c r="J328" s="1" t="s">
        <v>1405</v>
      </c>
      <c r="K328" s="1" t="s">
        <v>1406</v>
      </c>
      <c r="L328" s="1" t="s">
        <v>1407</v>
      </c>
      <c r="M328" s="4" t="str">
        <f t="shared" si="1"/>
        <v>Outstanding</v>
      </c>
      <c r="N328" s="13" t="s">
        <v>21</v>
      </c>
    </row>
    <row r="329" spans="1:14" ht="60" customHeight="1" x14ac:dyDescent="0.35">
      <c r="A329" s="11" t="s">
        <v>1408</v>
      </c>
      <c r="B329" s="1" t="s">
        <v>1409</v>
      </c>
      <c r="C329" s="2" t="s">
        <v>16</v>
      </c>
      <c r="D329" s="3" t="s">
        <v>1235</v>
      </c>
      <c r="E329" s="4" t="s">
        <v>18</v>
      </c>
      <c r="F329" s="4" t="s">
        <v>19</v>
      </c>
      <c r="G329" s="4" t="s">
        <v>20</v>
      </c>
      <c r="H329" s="4" t="s">
        <v>21</v>
      </c>
      <c r="I329" s="5" t="s">
        <v>21</v>
      </c>
      <c r="J329" s="1" t="s">
        <v>1410</v>
      </c>
      <c r="K329" s="1" t="s">
        <v>1411</v>
      </c>
      <c r="L329" s="1" t="s">
        <v>1412</v>
      </c>
      <c r="M329" s="4" t="str">
        <f t="shared" si="1"/>
        <v>Outstanding</v>
      </c>
      <c r="N329" s="13" t="s">
        <v>21</v>
      </c>
    </row>
    <row r="330" spans="1:14" ht="60" customHeight="1" x14ac:dyDescent="0.35">
      <c r="A330" s="11" t="s">
        <v>1413</v>
      </c>
      <c r="B330" s="1" t="s">
        <v>1414</v>
      </c>
      <c r="C330" s="2" t="s">
        <v>16</v>
      </c>
      <c r="D330" s="3" t="s">
        <v>1235</v>
      </c>
      <c r="E330" s="4" t="s">
        <v>18</v>
      </c>
      <c r="F330" s="4" t="s">
        <v>19</v>
      </c>
      <c r="G330" s="4" t="s">
        <v>20</v>
      </c>
      <c r="H330" s="4" t="s">
        <v>21</v>
      </c>
      <c r="I330" s="5" t="s">
        <v>21</v>
      </c>
      <c r="J330" s="1" t="s">
        <v>1415</v>
      </c>
      <c r="K330" s="1" t="s">
        <v>1406</v>
      </c>
      <c r="L330" s="1" t="s">
        <v>1416</v>
      </c>
      <c r="M330" s="4" t="str">
        <f t="shared" si="1"/>
        <v>Outstanding</v>
      </c>
      <c r="N330" s="13" t="s">
        <v>21</v>
      </c>
    </row>
    <row r="331" spans="1:14" ht="60" customHeight="1" x14ac:dyDescent="0.35">
      <c r="A331" s="11" t="s">
        <v>1417</v>
      </c>
      <c r="B331" s="1" t="s">
        <v>1418</v>
      </c>
      <c r="C331" s="2" t="s">
        <v>16</v>
      </c>
      <c r="D331" s="3" t="s">
        <v>1235</v>
      </c>
      <c r="E331" s="4" t="s">
        <v>18</v>
      </c>
      <c r="F331" s="4" t="s">
        <v>19</v>
      </c>
      <c r="G331" s="4" t="s">
        <v>20</v>
      </c>
      <c r="H331" s="4" t="s">
        <v>21</v>
      </c>
      <c r="I331" s="5" t="s">
        <v>21</v>
      </c>
      <c r="J331" s="1" t="s">
        <v>1318</v>
      </c>
      <c r="K331" s="1" t="s">
        <v>1419</v>
      </c>
      <c r="L331" s="1" t="s">
        <v>1420</v>
      </c>
      <c r="M331" s="4" t="str">
        <f t="shared" si="1"/>
        <v>Outstanding</v>
      </c>
      <c r="N331" s="13" t="s">
        <v>21</v>
      </c>
    </row>
    <row r="332" spans="1:14" ht="60" customHeight="1" x14ac:dyDescent="0.35">
      <c r="A332" s="11" t="s">
        <v>1421</v>
      </c>
      <c r="B332" s="1" t="s">
        <v>1422</v>
      </c>
      <c r="C332" s="2" t="s">
        <v>16</v>
      </c>
      <c r="D332" s="3" t="s">
        <v>1235</v>
      </c>
      <c r="E332" s="4" t="s">
        <v>18</v>
      </c>
      <c r="F332" s="4" t="s">
        <v>19</v>
      </c>
      <c r="G332" s="4" t="s">
        <v>20</v>
      </c>
      <c r="H332" s="4" t="s">
        <v>21</v>
      </c>
      <c r="I332" s="5" t="s">
        <v>21</v>
      </c>
      <c r="J332" s="1" t="s">
        <v>1323</v>
      </c>
      <c r="K332" s="1" t="s">
        <v>1419</v>
      </c>
      <c r="L332" s="1" t="s">
        <v>1423</v>
      </c>
      <c r="M332" s="4" t="str">
        <f t="shared" si="1"/>
        <v>Outstanding</v>
      </c>
      <c r="N332" s="13" t="s">
        <v>21</v>
      </c>
    </row>
    <row r="333" spans="1:14" ht="60" customHeight="1" x14ac:dyDescent="0.35">
      <c r="A333" s="11" t="s">
        <v>1424</v>
      </c>
      <c r="B333" s="1" t="s">
        <v>1425</v>
      </c>
      <c r="C333" s="2" t="s">
        <v>16</v>
      </c>
      <c r="D333" s="3" t="s">
        <v>1235</v>
      </c>
      <c r="E333" s="4" t="s">
        <v>18</v>
      </c>
      <c r="F333" s="4" t="s">
        <v>19</v>
      </c>
      <c r="G333" s="4" t="s">
        <v>20</v>
      </c>
      <c r="H333" s="4" t="s">
        <v>21</v>
      </c>
      <c r="I333" s="5" t="s">
        <v>21</v>
      </c>
      <c r="J333" s="1" t="s">
        <v>1327</v>
      </c>
      <c r="K333" s="1" t="s">
        <v>1419</v>
      </c>
      <c r="L333" s="1" t="s">
        <v>1426</v>
      </c>
      <c r="M333" s="4" t="str">
        <f t="shared" si="1"/>
        <v>Outstanding</v>
      </c>
      <c r="N333" s="13" t="s">
        <v>21</v>
      </c>
    </row>
    <row r="334" spans="1:14" ht="60" customHeight="1" x14ac:dyDescent="0.35">
      <c r="A334" s="11" t="s">
        <v>1427</v>
      </c>
      <c r="B334" s="1" t="s">
        <v>1428</v>
      </c>
      <c r="C334" s="2" t="s">
        <v>16</v>
      </c>
      <c r="D334" s="3" t="s">
        <v>1235</v>
      </c>
      <c r="E334" s="4" t="s">
        <v>18</v>
      </c>
      <c r="F334" s="4" t="s">
        <v>19</v>
      </c>
      <c r="G334" s="4" t="s">
        <v>20</v>
      </c>
      <c r="H334" s="4" t="s">
        <v>21</v>
      </c>
      <c r="I334" s="5" t="s">
        <v>21</v>
      </c>
      <c r="J334" s="1" t="s">
        <v>1318</v>
      </c>
      <c r="K334" s="1" t="s">
        <v>1429</v>
      </c>
      <c r="L334" s="1" t="s">
        <v>1430</v>
      </c>
      <c r="M334" s="4" t="str">
        <f t="shared" si="1"/>
        <v>Outstanding</v>
      </c>
      <c r="N334" s="13" t="s">
        <v>21</v>
      </c>
    </row>
    <row r="335" spans="1:14" ht="60" customHeight="1" x14ac:dyDescent="0.35">
      <c r="A335" s="11" t="s">
        <v>1431</v>
      </c>
      <c r="B335" s="1" t="s">
        <v>1432</v>
      </c>
      <c r="C335" s="2" t="s">
        <v>16</v>
      </c>
      <c r="D335" s="3" t="s">
        <v>1235</v>
      </c>
      <c r="E335" s="4" t="s">
        <v>18</v>
      </c>
      <c r="F335" s="4" t="s">
        <v>19</v>
      </c>
      <c r="G335" s="4" t="s">
        <v>20</v>
      </c>
      <c r="H335" s="4" t="s">
        <v>21</v>
      </c>
      <c r="I335" s="5" t="s">
        <v>21</v>
      </c>
      <c r="J335" s="1" t="s">
        <v>1323</v>
      </c>
      <c r="K335" s="1" t="s">
        <v>1429</v>
      </c>
      <c r="L335" s="1" t="s">
        <v>1433</v>
      </c>
      <c r="M335" s="4" t="str">
        <f t="shared" si="1"/>
        <v>Outstanding</v>
      </c>
      <c r="N335" s="13" t="s">
        <v>21</v>
      </c>
    </row>
    <row r="336" spans="1:14" ht="60" customHeight="1" x14ac:dyDescent="0.35">
      <c r="A336" s="11" t="s">
        <v>1434</v>
      </c>
      <c r="B336" s="1" t="s">
        <v>1435</v>
      </c>
      <c r="C336" s="2" t="s">
        <v>16</v>
      </c>
      <c r="D336" s="3" t="s">
        <v>1235</v>
      </c>
      <c r="E336" s="4" t="s">
        <v>18</v>
      </c>
      <c r="F336" s="4" t="s">
        <v>19</v>
      </c>
      <c r="G336" s="4" t="s">
        <v>20</v>
      </c>
      <c r="H336" s="4" t="s">
        <v>21</v>
      </c>
      <c r="I336" s="5" t="s">
        <v>21</v>
      </c>
      <c r="J336" s="1" t="s">
        <v>1327</v>
      </c>
      <c r="K336" s="1" t="s">
        <v>1429</v>
      </c>
      <c r="L336" s="1" t="s">
        <v>1436</v>
      </c>
      <c r="M336" s="4" t="str">
        <f t="shared" si="1"/>
        <v>Outstanding</v>
      </c>
      <c r="N336" s="13" t="s">
        <v>21</v>
      </c>
    </row>
    <row r="337" spans="1:14" ht="60" customHeight="1" x14ac:dyDescent="0.35">
      <c r="A337" s="11" t="s">
        <v>1437</v>
      </c>
      <c r="B337" s="1" t="s">
        <v>1438</v>
      </c>
      <c r="C337" s="2" t="s">
        <v>16</v>
      </c>
      <c r="D337" s="3" t="s">
        <v>1235</v>
      </c>
      <c r="E337" s="4" t="s">
        <v>18</v>
      </c>
      <c r="F337" s="4" t="s">
        <v>19</v>
      </c>
      <c r="G337" s="4" t="s">
        <v>20</v>
      </c>
      <c r="H337" s="4" t="s">
        <v>21</v>
      </c>
      <c r="I337" s="5" t="s">
        <v>21</v>
      </c>
      <c r="J337" s="1" t="s">
        <v>1439</v>
      </c>
      <c r="K337" s="1" t="s">
        <v>1440</v>
      </c>
      <c r="L337" s="1" t="s">
        <v>1441</v>
      </c>
      <c r="M337" s="4" t="str">
        <f t="shared" si="1"/>
        <v>Outstanding</v>
      </c>
      <c r="N337" s="13" t="s">
        <v>21</v>
      </c>
    </row>
    <row r="338" spans="1:14" ht="60" customHeight="1" x14ac:dyDescent="0.35">
      <c r="A338" s="11" t="s">
        <v>1442</v>
      </c>
      <c r="B338" s="1" t="s">
        <v>1443</v>
      </c>
      <c r="C338" s="2" t="s">
        <v>16</v>
      </c>
      <c r="D338" s="3" t="s">
        <v>1235</v>
      </c>
      <c r="E338" s="4" t="s">
        <v>18</v>
      </c>
      <c r="F338" s="4" t="s">
        <v>19</v>
      </c>
      <c r="G338" s="4" t="s">
        <v>20</v>
      </c>
      <c r="H338" s="4" t="s">
        <v>21</v>
      </c>
      <c r="I338" s="5" t="s">
        <v>21</v>
      </c>
      <c r="J338" s="1" t="s">
        <v>1444</v>
      </c>
      <c r="K338" s="1" t="s">
        <v>1445</v>
      </c>
      <c r="L338" s="1" t="s">
        <v>1446</v>
      </c>
      <c r="M338" s="4" t="str">
        <f t="shared" si="1"/>
        <v>Outstanding</v>
      </c>
      <c r="N338" s="13" t="s">
        <v>21</v>
      </c>
    </row>
    <row r="339" spans="1:14" ht="60" customHeight="1" x14ac:dyDescent="0.35">
      <c r="A339" s="11" t="s">
        <v>1447</v>
      </c>
      <c r="B339" s="1" t="s">
        <v>1448</v>
      </c>
      <c r="C339" s="2" t="s">
        <v>16</v>
      </c>
      <c r="D339" s="3" t="s">
        <v>1235</v>
      </c>
      <c r="E339" s="4" t="s">
        <v>18</v>
      </c>
      <c r="F339" s="4" t="s">
        <v>19</v>
      </c>
      <c r="G339" s="4" t="s">
        <v>20</v>
      </c>
      <c r="H339" s="4" t="s">
        <v>21</v>
      </c>
      <c r="I339" s="5" t="s">
        <v>21</v>
      </c>
      <c r="J339" s="1" t="s">
        <v>1449</v>
      </c>
      <c r="K339" s="1" t="s">
        <v>1445</v>
      </c>
      <c r="L339" s="1" t="s">
        <v>1450</v>
      </c>
      <c r="M339" s="4" t="str">
        <f t="shared" si="1"/>
        <v>Outstanding</v>
      </c>
      <c r="N339" s="13" t="s">
        <v>21</v>
      </c>
    </row>
    <row r="340" spans="1:14" ht="60" customHeight="1" x14ac:dyDescent="0.35">
      <c r="A340" s="11" t="s">
        <v>1451</v>
      </c>
      <c r="B340" s="1" t="s">
        <v>1452</v>
      </c>
      <c r="C340" s="2" t="s">
        <v>16</v>
      </c>
      <c r="D340" s="3" t="s">
        <v>1235</v>
      </c>
      <c r="E340" s="4" t="s">
        <v>18</v>
      </c>
      <c r="F340" s="4" t="s">
        <v>19</v>
      </c>
      <c r="G340" s="4" t="s">
        <v>20</v>
      </c>
      <c r="H340" s="4" t="s">
        <v>21</v>
      </c>
      <c r="I340" s="5" t="s">
        <v>21</v>
      </c>
      <c r="J340" s="1" t="s">
        <v>1453</v>
      </c>
      <c r="K340" s="1" t="s">
        <v>1445</v>
      </c>
      <c r="L340" s="1" t="s">
        <v>1454</v>
      </c>
      <c r="M340" s="4" t="str">
        <f t="shared" si="1"/>
        <v>Outstanding</v>
      </c>
      <c r="N340" s="13" t="s">
        <v>21</v>
      </c>
    </row>
    <row r="341" spans="1:14" ht="60" customHeight="1" x14ac:dyDescent="0.35">
      <c r="A341" s="11" t="s">
        <v>1455</v>
      </c>
      <c r="B341" s="1" t="s">
        <v>1456</v>
      </c>
      <c r="C341" s="2" t="s">
        <v>16</v>
      </c>
      <c r="D341" s="3" t="s">
        <v>1235</v>
      </c>
      <c r="E341" s="4" t="s">
        <v>18</v>
      </c>
      <c r="F341" s="4" t="s">
        <v>19</v>
      </c>
      <c r="G341" s="4" t="s">
        <v>20</v>
      </c>
      <c r="H341" s="4" t="s">
        <v>21</v>
      </c>
      <c r="I341" s="5" t="s">
        <v>21</v>
      </c>
      <c r="J341" s="1" t="s">
        <v>1457</v>
      </c>
      <c r="K341" s="1" t="s">
        <v>1458</v>
      </c>
      <c r="L341" s="1" t="s">
        <v>1459</v>
      </c>
      <c r="M341" s="4" t="str">
        <f t="shared" si="1"/>
        <v>Outstanding</v>
      </c>
      <c r="N341" s="13" t="s">
        <v>21</v>
      </c>
    </row>
    <row r="342" spans="1:14" ht="60" customHeight="1" x14ac:dyDescent="0.35">
      <c r="A342" s="11" t="s">
        <v>1460</v>
      </c>
      <c r="B342" s="1" t="s">
        <v>1461</v>
      </c>
      <c r="C342" s="2" t="s">
        <v>16</v>
      </c>
      <c r="D342" s="3" t="s">
        <v>1235</v>
      </c>
      <c r="E342" s="4" t="s">
        <v>18</v>
      </c>
      <c r="F342" s="4" t="s">
        <v>19</v>
      </c>
      <c r="G342" s="4" t="s">
        <v>20</v>
      </c>
      <c r="H342" s="4" t="s">
        <v>21</v>
      </c>
      <c r="I342" s="5" t="s">
        <v>21</v>
      </c>
      <c r="J342" s="1" t="s">
        <v>1457</v>
      </c>
      <c r="K342" s="1" t="s">
        <v>1458</v>
      </c>
      <c r="L342" s="1" t="s">
        <v>1462</v>
      </c>
      <c r="M342" s="4" t="str">
        <f t="shared" si="1"/>
        <v>Outstanding</v>
      </c>
      <c r="N342" s="13" t="s">
        <v>21</v>
      </c>
    </row>
    <row r="343" spans="1:14" ht="60" customHeight="1" x14ac:dyDescent="0.35">
      <c r="A343" s="11" t="s">
        <v>1463</v>
      </c>
      <c r="B343" s="1" t="s">
        <v>1464</v>
      </c>
      <c r="C343" s="2" t="s">
        <v>16</v>
      </c>
      <c r="D343" s="3" t="s">
        <v>1235</v>
      </c>
      <c r="E343" s="4" t="s">
        <v>18</v>
      </c>
      <c r="F343" s="4" t="s">
        <v>19</v>
      </c>
      <c r="G343" s="4" t="s">
        <v>20</v>
      </c>
      <c r="H343" s="4" t="s">
        <v>21</v>
      </c>
      <c r="I343" s="5" t="s">
        <v>21</v>
      </c>
      <c r="J343" s="1" t="s">
        <v>1457</v>
      </c>
      <c r="K343" s="1" t="s">
        <v>1458</v>
      </c>
      <c r="L343" s="1" t="s">
        <v>1465</v>
      </c>
      <c r="M343" s="4" t="str">
        <f t="shared" si="1"/>
        <v>Outstanding</v>
      </c>
      <c r="N343" s="13" t="s">
        <v>21</v>
      </c>
    </row>
    <row r="344" spans="1:14" ht="60" customHeight="1" x14ac:dyDescent="0.35">
      <c r="A344" s="11" t="s">
        <v>1466</v>
      </c>
      <c r="B344" s="1" t="s">
        <v>1467</v>
      </c>
      <c r="C344" s="2" t="s">
        <v>16</v>
      </c>
      <c r="D344" s="3" t="s">
        <v>1235</v>
      </c>
      <c r="E344" s="4" t="s">
        <v>18</v>
      </c>
      <c r="F344" s="4" t="s">
        <v>19</v>
      </c>
      <c r="G344" s="4" t="s">
        <v>20</v>
      </c>
      <c r="H344" s="4" t="s">
        <v>21</v>
      </c>
      <c r="I344" s="5" t="s">
        <v>21</v>
      </c>
      <c r="J344" s="1" t="s">
        <v>1457</v>
      </c>
      <c r="K344" s="1" t="s">
        <v>1468</v>
      </c>
      <c r="L344" s="1" t="s">
        <v>1469</v>
      </c>
      <c r="M344" s="4" t="str">
        <f t="shared" si="1"/>
        <v>Outstanding</v>
      </c>
      <c r="N344" s="13" t="s">
        <v>21</v>
      </c>
    </row>
    <row r="345" spans="1:14" ht="60" customHeight="1" x14ac:dyDescent="0.35">
      <c r="A345" s="11" t="s">
        <v>1470</v>
      </c>
      <c r="B345" s="1" t="s">
        <v>1471</v>
      </c>
      <c r="C345" s="2" t="s">
        <v>16</v>
      </c>
      <c r="D345" s="3" t="s">
        <v>1235</v>
      </c>
      <c r="E345" s="4" t="s">
        <v>18</v>
      </c>
      <c r="F345" s="4" t="s">
        <v>19</v>
      </c>
      <c r="G345" s="4" t="s">
        <v>20</v>
      </c>
      <c r="H345" s="4" t="s">
        <v>21</v>
      </c>
      <c r="I345" s="5" t="s">
        <v>21</v>
      </c>
      <c r="J345" s="1" t="s">
        <v>1457</v>
      </c>
      <c r="K345" s="1" t="s">
        <v>1468</v>
      </c>
      <c r="L345" s="1" t="s">
        <v>1462</v>
      </c>
      <c r="M345" s="4" t="str">
        <f t="shared" si="1"/>
        <v>Outstanding</v>
      </c>
      <c r="N345" s="13" t="s">
        <v>21</v>
      </c>
    </row>
    <row r="346" spans="1:14" ht="60" customHeight="1" x14ac:dyDescent="0.35">
      <c r="A346" s="11" t="s">
        <v>1472</v>
      </c>
      <c r="B346" s="1" t="s">
        <v>1473</v>
      </c>
      <c r="C346" s="2" t="s">
        <v>16</v>
      </c>
      <c r="D346" s="3" t="s">
        <v>1235</v>
      </c>
      <c r="E346" s="4" t="s">
        <v>18</v>
      </c>
      <c r="F346" s="4" t="s">
        <v>19</v>
      </c>
      <c r="G346" s="4" t="s">
        <v>20</v>
      </c>
      <c r="H346" s="4" t="s">
        <v>21</v>
      </c>
      <c r="I346" s="5" t="s">
        <v>21</v>
      </c>
      <c r="J346" s="1" t="s">
        <v>1457</v>
      </c>
      <c r="K346" s="1" t="s">
        <v>1468</v>
      </c>
      <c r="L346" s="1" t="s">
        <v>1474</v>
      </c>
      <c r="M346" s="4" t="str">
        <f t="shared" si="1"/>
        <v>Outstanding</v>
      </c>
      <c r="N346" s="13" t="s">
        <v>21</v>
      </c>
    </row>
    <row r="347" spans="1:14" ht="60" customHeight="1" x14ac:dyDescent="0.35">
      <c r="A347" s="11" t="s">
        <v>1475</v>
      </c>
      <c r="B347" s="1" t="s">
        <v>1476</v>
      </c>
      <c r="C347" s="2" t="s">
        <v>16</v>
      </c>
      <c r="D347" s="3" t="s">
        <v>1235</v>
      </c>
      <c r="E347" s="4" t="s">
        <v>18</v>
      </c>
      <c r="F347" s="4" t="s">
        <v>19</v>
      </c>
      <c r="G347" s="4" t="s">
        <v>20</v>
      </c>
      <c r="H347" s="4" t="s">
        <v>21</v>
      </c>
      <c r="I347" s="5" t="s">
        <v>21</v>
      </c>
      <c r="J347" s="1" t="s">
        <v>1477</v>
      </c>
      <c r="K347" s="1" t="s">
        <v>1478</v>
      </c>
      <c r="L347" s="1" t="s">
        <v>1479</v>
      </c>
      <c r="M347" s="4" t="str">
        <f t="shared" si="1"/>
        <v>Outstanding</v>
      </c>
      <c r="N347" s="13" t="s">
        <v>21</v>
      </c>
    </row>
    <row r="348" spans="1:14" ht="60" customHeight="1" x14ac:dyDescent="0.35">
      <c r="A348" s="11" t="s">
        <v>1480</v>
      </c>
      <c r="B348" s="1" t="s">
        <v>1481</v>
      </c>
      <c r="C348" s="2" t="s">
        <v>16</v>
      </c>
      <c r="D348" s="3" t="s">
        <v>1235</v>
      </c>
      <c r="E348" s="4" t="s">
        <v>18</v>
      </c>
      <c r="F348" s="4" t="s">
        <v>19</v>
      </c>
      <c r="G348" s="4" t="s">
        <v>20</v>
      </c>
      <c r="H348" s="4" t="s">
        <v>21</v>
      </c>
      <c r="I348" s="5" t="s">
        <v>21</v>
      </c>
      <c r="J348" s="1" t="s">
        <v>1482</v>
      </c>
      <c r="K348" s="1" t="s">
        <v>1483</v>
      </c>
      <c r="L348" s="1" t="s">
        <v>1484</v>
      </c>
      <c r="M348" s="4" t="str">
        <f t="shared" si="1"/>
        <v>Outstanding</v>
      </c>
      <c r="N348" s="13" t="s">
        <v>21</v>
      </c>
    </row>
    <row r="349" spans="1:14" ht="60" customHeight="1" x14ac:dyDescent="0.35">
      <c r="A349" s="11" t="s">
        <v>1485</v>
      </c>
      <c r="B349" s="1" t="s">
        <v>1486</v>
      </c>
      <c r="C349" s="2" t="s">
        <v>16</v>
      </c>
      <c r="D349" s="3" t="s">
        <v>1235</v>
      </c>
      <c r="E349" s="4" t="s">
        <v>18</v>
      </c>
      <c r="F349" s="4" t="s">
        <v>19</v>
      </c>
      <c r="G349" s="4" t="s">
        <v>20</v>
      </c>
      <c r="H349" s="4" t="s">
        <v>21</v>
      </c>
      <c r="I349" s="5" t="s">
        <v>21</v>
      </c>
      <c r="J349" s="1" t="s">
        <v>1487</v>
      </c>
      <c r="K349" s="1" t="s">
        <v>1488</v>
      </c>
      <c r="L349" s="1" t="s">
        <v>1489</v>
      </c>
      <c r="M349" s="4" t="str">
        <f t="shared" si="1"/>
        <v>Outstanding</v>
      </c>
      <c r="N349" s="13" t="s">
        <v>21</v>
      </c>
    </row>
    <row r="350" spans="1:14" ht="60" customHeight="1" x14ac:dyDescent="0.35">
      <c r="A350" s="11" t="s">
        <v>1490</v>
      </c>
      <c r="B350" s="1" t="s">
        <v>1491</v>
      </c>
      <c r="C350" s="2" t="s">
        <v>16</v>
      </c>
      <c r="D350" s="3" t="s">
        <v>1235</v>
      </c>
      <c r="E350" s="4" t="s">
        <v>18</v>
      </c>
      <c r="F350" s="4" t="s">
        <v>19</v>
      </c>
      <c r="G350" s="4" t="s">
        <v>20</v>
      </c>
      <c r="H350" s="4" t="s">
        <v>21</v>
      </c>
      <c r="I350" s="5" t="s">
        <v>21</v>
      </c>
      <c r="J350" s="1" t="s">
        <v>1492</v>
      </c>
      <c r="K350" s="1" t="s">
        <v>1493</v>
      </c>
      <c r="L350" s="1" t="s">
        <v>1494</v>
      </c>
      <c r="M350" s="4" t="str">
        <f t="shared" si="1"/>
        <v>Outstanding</v>
      </c>
      <c r="N350" s="13" t="s">
        <v>21</v>
      </c>
    </row>
    <row r="351" spans="1:14" ht="60" customHeight="1" x14ac:dyDescent="0.35">
      <c r="A351" s="11" t="s">
        <v>1495</v>
      </c>
      <c r="B351" s="1" t="s">
        <v>1496</v>
      </c>
      <c r="C351" s="2" t="s">
        <v>16</v>
      </c>
      <c r="D351" s="3" t="s">
        <v>1235</v>
      </c>
      <c r="E351" s="4" t="s">
        <v>18</v>
      </c>
      <c r="F351" s="4" t="s">
        <v>19</v>
      </c>
      <c r="G351" s="4" t="s">
        <v>20</v>
      </c>
      <c r="H351" s="4" t="s">
        <v>21</v>
      </c>
      <c r="I351" s="5" t="s">
        <v>21</v>
      </c>
      <c r="J351" s="1" t="s">
        <v>1492</v>
      </c>
      <c r="K351" s="1" t="s">
        <v>1497</v>
      </c>
      <c r="L351" s="1" t="s">
        <v>1498</v>
      </c>
      <c r="M351" s="4" t="str">
        <f t="shared" si="1"/>
        <v>Outstanding</v>
      </c>
      <c r="N351" s="13" t="s">
        <v>21</v>
      </c>
    </row>
    <row r="352" spans="1:14" ht="60" customHeight="1" x14ac:dyDescent="0.35">
      <c r="A352" s="11" t="s">
        <v>1499</v>
      </c>
      <c r="B352" s="1" t="s">
        <v>1500</v>
      </c>
      <c r="C352" s="2" t="s">
        <v>16</v>
      </c>
      <c r="D352" s="3" t="s">
        <v>1235</v>
      </c>
      <c r="E352" s="4" t="s">
        <v>18</v>
      </c>
      <c r="F352" s="4" t="s">
        <v>19</v>
      </c>
      <c r="G352" s="4" t="s">
        <v>20</v>
      </c>
      <c r="H352" s="4" t="s">
        <v>21</v>
      </c>
      <c r="I352" s="5" t="s">
        <v>21</v>
      </c>
      <c r="J352" s="1" t="s">
        <v>1492</v>
      </c>
      <c r="K352" s="1" t="s">
        <v>1497</v>
      </c>
      <c r="L352" s="1" t="s">
        <v>1501</v>
      </c>
      <c r="M352" s="4" t="str">
        <f t="shared" si="1"/>
        <v>Outstanding</v>
      </c>
      <c r="N352" s="13" t="s">
        <v>21</v>
      </c>
    </row>
    <row r="353" spans="1:14" ht="60" customHeight="1" x14ac:dyDescent="0.35">
      <c r="A353" s="11" t="s">
        <v>1502</v>
      </c>
      <c r="B353" s="1" t="s">
        <v>1503</v>
      </c>
      <c r="C353" s="2" t="s">
        <v>16</v>
      </c>
      <c r="D353" s="3" t="s">
        <v>1235</v>
      </c>
      <c r="E353" s="4" t="s">
        <v>18</v>
      </c>
      <c r="F353" s="4" t="s">
        <v>19</v>
      </c>
      <c r="G353" s="4" t="s">
        <v>20</v>
      </c>
      <c r="H353" s="4" t="s">
        <v>21</v>
      </c>
      <c r="I353" s="5" t="s">
        <v>21</v>
      </c>
      <c r="J353" s="1" t="s">
        <v>1504</v>
      </c>
      <c r="K353" s="1" t="s">
        <v>1505</v>
      </c>
      <c r="L353" s="1" t="s">
        <v>1506</v>
      </c>
      <c r="M353" s="4" t="str">
        <f t="shared" si="1"/>
        <v>Outstanding</v>
      </c>
      <c r="N353" s="13" t="s">
        <v>21</v>
      </c>
    </row>
    <row r="354" spans="1:14" ht="60" customHeight="1" x14ac:dyDescent="0.35">
      <c r="A354" s="11" t="s">
        <v>1507</v>
      </c>
      <c r="B354" s="1" t="s">
        <v>1508</v>
      </c>
      <c r="C354" s="2" t="s">
        <v>163</v>
      </c>
      <c r="D354" s="3" t="s">
        <v>1235</v>
      </c>
      <c r="E354" s="4" t="s">
        <v>18</v>
      </c>
      <c r="F354" s="4" t="s">
        <v>19</v>
      </c>
      <c r="G354" s="4" t="s">
        <v>20</v>
      </c>
      <c r="H354" s="4" t="s">
        <v>21</v>
      </c>
      <c r="I354" s="5" t="s">
        <v>21</v>
      </c>
      <c r="J354" s="1" t="s">
        <v>1509</v>
      </c>
      <c r="K354" s="1" t="s">
        <v>1510</v>
      </c>
      <c r="L354" s="1" t="s">
        <v>1511</v>
      </c>
      <c r="M354" s="4" t="str">
        <f t="shared" si="1"/>
        <v>Outstanding</v>
      </c>
      <c r="N354" s="13" t="s">
        <v>21</v>
      </c>
    </row>
    <row r="355" spans="1:14" ht="60" customHeight="1" x14ac:dyDescent="0.35">
      <c r="A355" s="11" t="s">
        <v>1512</v>
      </c>
      <c r="B355" s="1" t="s">
        <v>1513</v>
      </c>
      <c r="C355" s="2" t="s">
        <v>16</v>
      </c>
      <c r="D355" s="3" t="s">
        <v>1235</v>
      </c>
      <c r="E355" s="4" t="s">
        <v>18</v>
      </c>
      <c r="F355" s="4" t="s">
        <v>19</v>
      </c>
      <c r="G355" s="4" t="s">
        <v>20</v>
      </c>
      <c r="H355" s="4" t="s">
        <v>21</v>
      </c>
      <c r="I355" s="5" t="s">
        <v>21</v>
      </c>
      <c r="J355" s="1" t="s">
        <v>1514</v>
      </c>
      <c r="K355" s="1" t="s">
        <v>1515</v>
      </c>
      <c r="L355" s="1" t="s">
        <v>1516</v>
      </c>
      <c r="M355" s="4" t="str">
        <f t="shared" si="1"/>
        <v>Outstanding</v>
      </c>
      <c r="N355" s="13" t="s">
        <v>21</v>
      </c>
    </row>
    <row r="356" spans="1:14" ht="60" customHeight="1" x14ac:dyDescent="0.35">
      <c r="A356" s="11" t="s">
        <v>1517</v>
      </c>
      <c r="B356" s="1" t="s">
        <v>1518</v>
      </c>
      <c r="C356" s="2" t="s">
        <v>16</v>
      </c>
      <c r="D356" s="3" t="s">
        <v>1235</v>
      </c>
      <c r="E356" s="4" t="s">
        <v>18</v>
      </c>
      <c r="F356" s="4" t="s">
        <v>19</v>
      </c>
      <c r="G356" s="4" t="s">
        <v>20</v>
      </c>
      <c r="H356" s="4" t="s">
        <v>21</v>
      </c>
      <c r="I356" s="5" t="s">
        <v>21</v>
      </c>
      <c r="J356" s="1" t="s">
        <v>1519</v>
      </c>
      <c r="K356" s="1" t="s">
        <v>1520</v>
      </c>
      <c r="L356" s="1" t="s">
        <v>1521</v>
      </c>
      <c r="M356" s="4" t="str">
        <f t="shared" si="1"/>
        <v>Outstanding</v>
      </c>
      <c r="N356" s="13" t="s">
        <v>21</v>
      </c>
    </row>
    <row r="357" spans="1:14" ht="60" customHeight="1" x14ac:dyDescent="0.35">
      <c r="A357" s="11" t="s">
        <v>1522</v>
      </c>
      <c r="B357" s="1" t="s">
        <v>1523</v>
      </c>
      <c r="C357" s="2" t="s">
        <v>16</v>
      </c>
      <c r="D357" s="3" t="s">
        <v>1235</v>
      </c>
      <c r="E357" s="4" t="s">
        <v>18</v>
      </c>
      <c r="F357" s="4" t="s">
        <v>19</v>
      </c>
      <c r="G357" s="4" t="s">
        <v>20</v>
      </c>
      <c r="H357" s="4" t="s">
        <v>21</v>
      </c>
      <c r="I357" s="5" t="s">
        <v>21</v>
      </c>
      <c r="J357" s="1" t="s">
        <v>1524</v>
      </c>
      <c r="K357" s="1" t="s">
        <v>1525</v>
      </c>
      <c r="L357" s="1" t="s">
        <v>1526</v>
      </c>
      <c r="M357" s="4" t="str">
        <f t="shared" si="1"/>
        <v>Outstanding</v>
      </c>
      <c r="N357" s="13" t="s">
        <v>21</v>
      </c>
    </row>
    <row r="358" spans="1:14" ht="60" customHeight="1" x14ac:dyDescent="0.35">
      <c r="A358" s="11" t="s">
        <v>1527</v>
      </c>
      <c r="B358" s="1" t="s">
        <v>1528</v>
      </c>
      <c r="C358" s="2" t="s">
        <v>16</v>
      </c>
      <c r="D358" s="3" t="s">
        <v>1235</v>
      </c>
      <c r="E358" s="4" t="s">
        <v>18</v>
      </c>
      <c r="F358" s="4" t="s">
        <v>19</v>
      </c>
      <c r="G358" s="4" t="s">
        <v>20</v>
      </c>
      <c r="H358" s="4" t="s">
        <v>21</v>
      </c>
      <c r="I358" s="5" t="s">
        <v>21</v>
      </c>
      <c r="J358" s="1" t="s">
        <v>1529</v>
      </c>
      <c r="K358" s="1" t="s">
        <v>1530</v>
      </c>
      <c r="L358" s="1" t="s">
        <v>1531</v>
      </c>
      <c r="M358" s="4" t="str">
        <f t="shared" si="1"/>
        <v>Outstanding</v>
      </c>
      <c r="N358" s="13" t="s">
        <v>21</v>
      </c>
    </row>
    <row r="359" spans="1:14" ht="60" customHeight="1" x14ac:dyDescent="0.35">
      <c r="A359" s="11" t="s">
        <v>1532</v>
      </c>
      <c r="B359" s="1" t="s">
        <v>1533</v>
      </c>
      <c r="C359" s="2" t="s">
        <v>16</v>
      </c>
      <c r="D359" s="3" t="s">
        <v>1235</v>
      </c>
      <c r="E359" s="4" t="s">
        <v>18</v>
      </c>
      <c r="F359" s="4" t="s">
        <v>19</v>
      </c>
      <c r="G359" s="4" t="s">
        <v>20</v>
      </c>
      <c r="H359" s="4" t="s">
        <v>21</v>
      </c>
      <c r="I359" s="5" t="s">
        <v>21</v>
      </c>
      <c r="J359" s="1" t="s">
        <v>1534</v>
      </c>
      <c r="K359" s="1" t="s">
        <v>1535</v>
      </c>
      <c r="L359" s="1" t="s">
        <v>1536</v>
      </c>
      <c r="M359" s="4" t="str">
        <f t="shared" si="1"/>
        <v>Outstanding</v>
      </c>
      <c r="N359" s="13" t="s">
        <v>21</v>
      </c>
    </row>
    <row r="360" spans="1:14" ht="60" customHeight="1" x14ac:dyDescent="0.35">
      <c r="A360" s="11" t="s">
        <v>1537</v>
      </c>
      <c r="B360" s="1" t="s">
        <v>1538</v>
      </c>
      <c r="C360" s="2" t="s">
        <v>16</v>
      </c>
      <c r="D360" s="3" t="s">
        <v>1235</v>
      </c>
      <c r="E360" s="4" t="s">
        <v>18</v>
      </c>
      <c r="F360" s="4" t="s">
        <v>19</v>
      </c>
      <c r="G360" s="4" t="s">
        <v>20</v>
      </c>
      <c r="H360" s="4" t="s">
        <v>21</v>
      </c>
      <c r="I360" s="5" t="s">
        <v>21</v>
      </c>
      <c r="J360" s="1" t="s">
        <v>1539</v>
      </c>
      <c r="K360" s="1" t="s">
        <v>1535</v>
      </c>
      <c r="L360" s="1" t="s">
        <v>1540</v>
      </c>
      <c r="M360" s="4" t="str">
        <f t="shared" si="1"/>
        <v>Outstanding</v>
      </c>
      <c r="N360" s="13" t="s">
        <v>21</v>
      </c>
    </row>
    <row r="361" spans="1:14" ht="60" customHeight="1" x14ac:dyDescent="0.35">
      <c r="A361" s="11" t="s">
        <v>1541</v>
      </c>
      <c r="B361" s="1" t="s">
        <v>1542</v>
      </c>
      <c r="C361" s="2" t="s">
        <v>16</v>
      </c>
      <c r="D361" s="3" t="s">
        <v>1235</v>
      </c>
      <c r="E361" s="4" t="s">
        <v>18</v>
      </c>
      <c r="F361" s="4" t="s">
        <v>19</v>
      </c>
      <c r="G361" s="4" t="s">
        <v>20</v>
      </c>
      <c r="H361" s="4" t="s">
        <v>21</v>
      </c>
      <c r="I361" s="5" t="s">
        <v>21</v>
      </c>
      <c r="J361" s="1" t="s">
        <v>1543</v>
      </c>
      <c r="K361" s="1" t="s">
        <v>1544</v>
      </c>
      <c r="L361" s="1" t="s">
        <v>1545</v>
      </c>
      <c r="M361" s="4" t="str">
        <f t="shared" si="1"/>
        <v>Outstanding</v>
      </c>
      <c r="N361" s="13" t="s">
        <v>21</v>
      </c>
    </row>
    <row r="362" spans="1:14" ht="60" customHeight="1" x14ac:dyDescent="0.35">
      <c r="A362" s="11" t="s">
        <v>1546</v>
      </c>
      <c r="B362" s="1" t="s">
        <v>1547</v>
      </c>
      <c r="C362" s="2" t="s">
        <v>16</v>
      </c>
      <c r="D362" s="3" t="s">
        <v>1235</v>
      </c>
      <c r="E362" s="4" t="s">
        <v>18</v>
      </c>
      <c r="F362" s="4" t="s">
        <v>19</v>
      </c>
      <c r="G362" s="4" t="s">
        <v>20</v>
      </c>
      <c r="H362" s="4" t="s">
        <v>21</v>
      </c>
      <c r="I362" s="5" t="s">
        <v>21</v>
      </c>
      <c r="J362" s="1" t="s">
        <v>1548</v>
      </c>
      <c r="K362" s="1" t="s">
        <v>1549</v>
      </c>
      <c r="L362" s="1" t="s">
        <v>1550</v>
      </c>
      <c r="M362" s="4" t="str">
        <f t="shared" si="1"/>
        <v>Outstanding</v>
      </c>
      <c r="N362" s="13" t="s">
        <v>21</v>
      </c>
    </row>
    <row r="363" spans="1:14" ht="60" customHeight="1" x14ac:dyDescent="0.35">
      <c r="A363" s="11" t="s">
        <v>1551</v>
      </c>
      <c r="B363" s="1" t="s">
        <v>1552</v>
      </c>
      <c r="C363" s="2" t="s">
        <v>16</v>
      </c>
      <c r="D363" s="3" t="s">
        <v>1235</v>
      </c>
      <c r="E363" s="4" t="s">
        <v>18</v>
      </c>
      <c r="F363" s="4" t="s">
        <v>19</v>
      </c>
      <c r="G363" s="4" t="s">
        <v>20</v>
      </c>
      <c r="H363" s="4" t="s">
        <v>21</v>
      </c>
      <c r="I363" s="5" t="s">
        <v>21</v>
      </c>
      <c r="J363" s="1" t="s">
        <v>1553</v>
      </c>
      <c r="K363" s="1" t="s">
        <v>1549</v>
      </c>
      <c r="L363" s="1" t="s">
        <v>1554</v>
      </c>
      <c r="M363" s="4" t="str">
        <f t="shared" si="1"/>
        <v>Outstanding</v>
      </c>
      <c r="N363" s="13" t="s">
        <v>21</v>
      </c>
    </row>
    <row r="364" spans="1:14" ht="60" customHeight="1" x14ac:dyDescent="0.35">
      <c r="A364" s="11" t="s">
        <v>1555</v>
      </c>
      <c r="B364" s="1" t="s">
        <v>1556</v>
      </c>
      <c r="C364" s="2" t="s">
        <v>16</v>
      </c>
      <c r="D364" s="3" t="s">
        <v>1235</v>
      </c>
      <c r="E364" s="4" t="s">
        <v>18</v>
      </c>
      <c r="F364" s="4" t="s">
        <v>19</v>
      </c>
      <c r="G364" s="4" t="s">
        <v>20</v>
      </c>
      <c r="H364" s="4" t="s">
        <v>21</v>
      </c>
      <c r="I364" s="5" t="s">
        <v>21</v>
      </c>
      <c r="J364" s="1" t="s">
        <v>1557</v>
      </c>
      <c r="K364" s="1" t="s">
        <v>1549</v>
      </c>
      <c r="L364" s="1" t="s">
        <v>1558</v>
      </c>
      <c r="M364" s="4" t="str">
        <f t="shared" si="1"/>
        <v>Outstanding</v>
      </c>
      <c r="N364" s="13" t="s">
        <v>21</v>
      </c>
    </row>
    <row r="365" spans="1:14" ht="60" customHeight="1" x14ac:dyDescent="0.35">
      <c r="A365" s="11" t="s">
        <v>1559</v>
      </c>
      <c r="B365" s="1" t="s">
        <v>1560</v>
      </c>
      <c r="C365" s="2" t="s">
        <v>163</v>
      </c>
      <c r="D365" s="3" t="s">
        <v>1235</v>
      </c>
      <c r="E365" s="4" t="s">
        <v>18</v>
      </c>
      <c r="F365" s="4" t="s">
        <v>19</v>
      </c>
      <c r="G365" s="4" t="s">
        <v>20</v>
      </c>
      <c r="H365" s="4" t="s">
        <v>21</v>
      </c>
      <c r="I365" s="5" t="s">
        <v>21</v>
      </c>
      <c r="J365" s="1" t="s">
        <v>1561</v>
      </c>
      <c r="K365" s="1" t="s">
        <v>1562</v>
      </c>
      <c r="L365" s="1" t="s">
        <v>1563</v>
      </c>
      <c r="M365" s="4" t="str">
        <f t="shared" si="1"/>
        <v>Outstanding</v>
      </c>
      <c r="N365" s="13" t="s">
        <v>21</v>
      </c>
    </row>
    <row r="366" spans="1:14" ht="60" customHeight="1" x14ac:dyDescent="0.35">
      <c r="A366" s="11" t="s">
        <v>1564</v>
      </c>
      <c r="B366" s="1" t="s">
        <v>1565</v>
      </c>
      <c r="C366" s="2" t="s">
        <v>163</v>
      </c>
      <c r="D366" s="3" t="s">
        <v>1235</v>
      </c>
      <c r="E366" s="4" t="s">
        <v>18</v>
      </c>
      <c r="F366" s="4" t="s">
        <v>19</v>
      </c>
      <c r="G366" s="4" t="s">
        <v>20</v>
      </c>
      <c r="H366" s="4" t="s">
        <v>21</v>
      </c>
      <c r="I366" s="5" t="s">
        <v>21</v>
      </c>
      <c r="J366" s="1" t="s">
        <v>1561</v>
      </c>
      <c r="K366" s="1" t="s">
        <v>1562</v>
      </c>
      <c r="L366" s="1" t="s">
        <v>1566</v>
      </c>
      <c r="M366" s="4" t="str">
        <f t="shared" si="1"/>
        <v>Outstanding</v>
      </c>
      <c r="N366" s="13" t="s">
        <v>21</v>
      </c>
    </row>
    <row r="367" spans="1:14" ht="60" customHeight="1" x14ac:dyDescent="0.35">
      <c r="A367" s="11" t="s">
        <v>1567</v>
      </c>
      <c r="B367" s="1" t="s">
        <v>1568</v>
      </c>
      <c r="C367" s="2" t="s">
        <v>163</v>
      </c>
      <c r="D367" s="3" t="s">
        <v>1235</v>
      </c>
      <c r="E367" s="4" t="s">
        <v>18</v>
      </c>
      <c r="F367" s="4" t="s">
        <v>19</v>
      </c>
      <c r="G367" s="4" t="s">
        <v>20</v>
      </c>
      <c r="H367" s="4" t="s">
        <v>21</v>
      </c>
      <c r="I367" s="5" t="s">
        <v>21</v>
      </c>
      <c r="J367" s="1" t="s">
        <v>1561</v>
      </c>
      <c r="K367" s="1" t="s">
        <v>1562</v>
      </c>
      <c r="L367" s="1" t="s">
        <v>1569</v>
      </c>
      <c r="M367" s="4" t="str">
        <f t="shared" si="1"/>
        <v>Outstanding</v>
      </c>
      <c r="N367" s="13" t="s">
        <v>21</v>
      </c>
    </row>
    <row r="368" spans="1:14" ht="60" customHeight="1" x14ac:dyDescent="0.35">
      <c r="A368" s="11" t="s">
        <v>1570</v>
      </c>
      <c r="B368" s="1" t="s">
        <v>1571</v>
      </c>
      <c r="C368" s="2" t="s">
        <v>16</v>
      </c>
      <c r="D368" s="3" t="s">
        <v>1235</v>
      </c>
      <c r="E368" s="4" t="s">
        <v>18</v>
      </c>
      <c r="F368" s="4" t="s">
        <v>19</v>
      </c>
      <c r="G368" s="4" t="s">
        <v>20</v>
      </c>
      <c r="H368" s="4" t="s">
        <v>21</v>
      </c>
      <c r="I368" s="5" t="s">
        <v>21</v>
      </c>
      <c r="J368" s="1" t="s">
        <v>1572</v>
      </c>
      <c r="K368" s="1" t="s">
        <v>1573</v>
      </c>
      <c r="L368" s="1" t="s">
        <v>1574</v>
      </c>
      <c r="M368" s="4" t="str">
        <f t="shared" si="1"/>
        <v>Outstanding</v>
      </c>
      <c r="N368" s="13" t="s">
        <v>21</v>
      </c>
    </row>
    <row r="369" spans="1:14" ht="60" customHeight="1" x14ac:dyDescent="0.35">
      <c r="A369" s="11" t="s">
        <v>1575</v>
      </c>
      <c r="B369" s="1" t="s">
        <v>1576</v>
      </c>
      <c r="C369" s="2" t="s">
        <v>16</v>
      </c>
      <c r="D369" s="3" t="s">
        <v>1235</v>
      </c>
      <c r="E369" s="4" t="s">
        <v>18</v>
      </c>
      <c r="F369" s="4" t="s">
        <v>19</v>
      </c>
      <c r="G369" s="4" t="s">
        <v>20</v>
      </c>
      <c r="H369" s="4" t="s">
        <v>21</v>
      </c>
      <c r="I369" s="5" t="s">
        <v>21</v>
      </c>
      <c r="J369" s="1" t="s">
        <v>1572</v>
      </c>
      <c r="K369" s="1" t="s">
        <v>1573</v>
      </c>
      <c r="L369" s="1" t="s">
        <v>1577</v>
      </c>
      <c r="M369" s="4" t="str">
        <f t="shared" si="1"/>
        <v>Outstanding</v>
      </c>
      <c r="N369" s="13" t="s">
        <v>21</v>
      </c>
    </row>
    <row r="370" spans="1:14" ht="60" customHeight="1" x14ac:dyDescent="0.35">
      <c r="A370" s="11" t="s">
        <v>1578</v>
      </c>
      <c r="B370" s="1" t="s">
        <v>1579</v>
      </c>
      <c r="C370" s="2" t="s">
        <v>16</v>
      </c>
      <c r="D370" s="3" t="s">
        <v>1235</v>
      </c>
      <c r="E370" s="4" t="s">
        <v>18</v>
      </c>
      <c r="F370" s="4" t="s">
        <v>19</v>
      </c>
      <c r="G370" s="4" t="s">
        <v>20</v>
      </c>
      <c r="H370" s="4" t="s">
        <v>21</v>
      </c>
      <c r="I370" s="5" t="s">
        <v>21</v>
      </c>
      <c r="J370" s="1" t="s">
        <v>1580</v>
      </c>
      <c r="K370" s="1" t="s">
        <v>1573</v>
      </c>
      <c r="L370" s="1" t="s">
        <v>1581</v>
      </c>
      <c r="M370" s="4" t="str">
        <f t="shared" si="1"/>
        <v>Outstanding</v>
      </c>
      <c r="N370" s="13" t="s">
        <v>21</v>
      </c>
    </row>
    <row r="371" spans="1:14" ht="60" customHeight="1" x14ac:dyDescent="0.35">
      <c r="A371" s="11" t="s">
        <v>1582</v>
      </c>
      <c r="B371" s="1" t="s">
        <v>1583</v>
      </c>
      <c r="C371" s="2" t="s">
        <v>16</v>
      </c>
      <c r="D371" s="3" t="s">
        <v>1235</v>
      </c>
      <c r="E371" s="4" t="s">
        <v>18</v>
      </c>
      <c r="F371" s="4" t="s">
        <v>19</v>
      </c>
      <c r="G371" s="4" t="s">
        <v>20</v>
      </c>
      <c r="H371" s="4" t="s">
        <v>21</v>
      </c>
      <c r="I371" s="5" t="s">
        <v>21</v>
      </c>
      <c r="J371" s="1" t="s">
        <v>1584</v>
      </c>
      <c r="K371" s="1" t="s">
        <v>1585</v>
      </c>
      <c r="L371" s="1" t="s">
        <v>1586</v>
      </c>
      <c r="M371" s="4" t="str">
        <f t="shared" si="1"/>
        <v>Outstanding</v>
      </c>
      <c r="N371" s="13" t="s">
        <v>21</v>
      </c>
    </row>
    <row r="372" spans="1:14" ht="60" customHeight="1" x14ac:dyDescent="0.35">
      <c r="A372" s="11" t="s">
        <v>1587</v>
      </c>
      <c r="B372" s="1" t="s">
        <v>1588</v>
      </c>
      <c r="C372" s="2" t="s">
        <v>16</v>
      </c>
      <c r="D372" s="3" t="s">
        <v>1235</v>
      </c>
      <c r="E372" s="4" t="s">
        <v>18</v>
      </c>
      <c r="F372" s="4" t="s">
        <v>19</v>
      </c>
      <c r="G372" s="4" t="s">
        <v>20</v>
      </c>
      <c r="H372" s="4" t="s">
        <v>21</v>
      </c>
      <c r="I372" s="5" t="s">
        <v>21</v>
      </c>
      <c r="J372" s="1" t="s">
        <v>1589</v>
      </c>
      <c r="K372" s="1" t="s">
        <v>1590</v>
      </c>
      <c r="L372" s="1" t="s">
        <v>1591</v>
      </c>
      <c r="M372" s="4" t="str">
        <f t="shared" si="1"/>
        <v>Outstanding</v>
      </c>
      <c r="N372" s="13" t="s">
        <v>21</v>
      </c>
    </row>
    <row r="373" spans="1:14" ht="60" customHeight="1" x14ac:dyDescent="0.35">
      <c r="A373" s="11" t="s">
        <v>1592</v>
      </c>
      <c r="B373" s="1" t="s">
        <v>1593</v>
      </c>
      <c r="C373" s="2" t="s">
        <v>16</v>
      </c>
      <c r="D373" s="3" t="s">
        <v>1235</v>
      </c>
      <c r="E373" s="4" t="s">
        <v>18</v>
      </c>
      <c r="F373" s="4" t="s">
        <v>19</v>
      </c>
      <c r="G373" s="4" t="s">
        <v>20</v>
      </c>
      <c r="H373" s="4" t="s">
        <v>21</v>
      </c>
      <c r="I373" s="5" t="s">
        <v>21</v>
      </c>
      <c r="J373" s="1" t="s">
        <v>1594</v>
      </c>
      <c r="K373" s="1" t="s">
        <v>1590</v>
      </c>
      <c r="L373" s="1" t="s">
        <v>1315</v>
      </c>
      <c r="M373" s="4" t="str">
        <f t="shared" si="1"/>
        <v>Outstanding</v>
      </c>
      <c r="N373" s="13" t="s">
        <v>21</v>
      </c>
    </row>
    <row r="374" spans="1:14" ht="60" customHeight="1" x14ac:dyDescent="0.35">
      <c r="A374" s="11" t="s">
        <v>1595</v>
      </c>
      <c r="B374" s="1" t="s">
        <v>1596</v>
      </c>
      <c r="C374" s="2" t="s">
        <v>16</v>
      </c>
      <c r="D374" s="3" t="s">
        <v>1235</v>
      </c>
      <c r="E374" s="4" t="s">
        <v>18</v>
      </c>
      <c r="F374" s="4" t="s">
        <v>19</v>
      </c>
      <c r="G374" s="4" t="s">
        <v>20</v>
      </c>
      <c r="H374" s="4" t="s">
        <v>21</v>
      </c>
      <c r="I374" s="5" t="s">
        <v>21</v>
      </c>
      <c r="J374" s="1" t="s">
        <v>1597</v>
      </c>
      <c r="K374" s="1" t="s">
        <v>1598</v>
      </c>
      <c r="L374" s="1" t="s">
        <v>1599</v>
      </c>
      <c r="M374" s="4" t="str">
        <f t="shared" si="1"/>
        <v>Outstanding</v>
      </c>
      <c r="N374" s="13" t="s">
        <v>21</v>
      </c>
    </row>
    <row r="375" spans="1:14" ht="60" customHeight="1" x14ac:dyDescent="0.35">
      <c r="A375" s="11" t="s">
        <v>1600</v>
      </c>
      <c r="B375" s="1" t="s">
        <v>1601</v>
      </c>
      <c r="C375" s="2" t="s">
        <v>16</v>
      </c>
      <c r="D375" s="3" t="s">
        <v>1235</v>
      </c>
      <c r="E375" s="4" t="s">
        <v>18</v>
      </c>
      <c r="F375" s="4" t="s">
        <v>19</v>
      </c>
      <c r="G375" s="4" t="s">
        <v>20</v>
      </c>
      <c r="H375" s="4" t="s">
        <v>21</v>
      </c>
      <c r="I375" s="5" t="s">
        <v>21</v>
      </c>
      <c r="J375" s="1" t="s">
        <v>1602</v>
      </c>
      <c r="K375" s="1" t="s">
        <v>1603</v>
      </c>
      <c r="L375" s="1" t="s">
        <v>1604</v>
      </c>
      <c r="M375" s="4" t="str">
        <f t="shared" si="1"/>
        <v>Outstanding</v>
      </c>
      <c r="N375" s="13" t="s">
        <v>21</v>
      </c>
    </row>
    <row r="376" spans="1:14" ht="60" customHeight="1" x14ac:dyDescent="0.35">
      <c r="A376" s="11" t="s">
        <v>1605</v>
      </c>
      <c r="B376" s="1" t="s">
        <v>1606</v>
      </c>
      <c r="C376" s="2" t="s">
        <v>16</v>
      </c>
      <c r="D376" s="3" t="s">
        <v>1235</v>
      </c>
      <c r="E376" s="4" t="s">
        <v>18</v>
      </c>
      <c r="F376" s="4" t="s">
        <v>19</v>
      </c>
      <c r="G376" s="4" t="s">
        <v>20</v>
      </c>
      <c r="H376" s="4" t="s">
        <v>21</v>
      </c>
      <c r="I376" s="5" t="s">
        <v>21</v>
      </c>
      <c r="J376" s="1" t="s">
        <v>1607</v>
      </c>
      <c r="K376" s="1" t="s">
        <v>1608</v>
      </c>
      <c r="L376" s="1" t="s">
        <v>1609</v>
      </c>
      <c r="M376" s="4" t="str">
        <f t="shared" si="1"/>
        <v>Outstanding</v>
      </c>
      <c r="N376" s="13" t="s">
        <v>21</v>
      </c>
    </row>
    <row r="377" spans="1:14" ht="60" customHeight="1" x14ac:dyDescent="0.35">
      <c r="A377" s="11" t="s">
        <v>1610</v>
      </c>
      <c r="B377" s="1" t="s">
        <v>1611</v>
      </c>
      <c r="C377" s="2" t="s">
        <v>16</v>
      </c>
      <c r="D377" s="3" t="s">
        <v>1235</v>
      </c>
      <c r="E377" s="4" t="s">
        <v>18</v>
      </c>
      <c r="F377" s="4" t="s">
        <v>19</v>
      </c>
      <c r="G377" s="4" t="s">
        <v>20</v>
      </c>
      <c r="H377" s="4" t="s">
        <v>21</v>
      </c>
      <c r="I377" s="5" t="s">
        <v>21</v>
      </c>
      <c r="J377" s="1" t="s">
        <v>1291</v>
      </c>
      <c r="K377" s="1" t="s">
        <v>1612</v>
      </c>
      <c r="L377" s="1" t="s">
        <v>1293</v>
      </c>
      <c r="M377" s="4" t="str">
        <f t="shared" si="1"/>
        <v>Outstanding</v>
      </c>
      <c r="N377" s="13" t="s">
        <v>21</v>
      </c>
    </row>
    <row r="378" spans="1:14" ht="60" customHeight="1" x14ac:dyDescent="0.35">
      <c r="A378" s="11" t="s">
        <v>1613</v>
      </c>
      <c r="B378" s="1" t="s">
        <v>1614</v>
      </c>
      <c r="C378" s="2" t="s">
        <v>16</v>
      </c>
      <c r="D378" s="3" t="s">
        <v>1235</v>
      </c>
      <c r="E378" s="4" t="s">
        <v>18</v>
      </c>
      <c r="F378" s="4" t="s">
        <v>19</v>
      </c>
      <c r="G378" s="4" t="s">
        <v>20</v>
      </c>
      <c r="H378" s="4" t="s">
        <v>21</v>
      </c>
      <c r="I378" s="5" t="s">
        <v>21</v>
      </c>
      <c r="J378" s="1" t="s">
        <v>1296</v>
      </c>
      <c r="K378" s="1" t="s">
        <v>1615</v>
      </c>
      <c r="L378" s="1" t="s">
        <v>1297</v>
      </c>
      <c r="M378" s="4" t="str">
        <f t="shared" si="1"/>
        <v>Outstanding</v>
      </c>
      <c r="N378" s="13" t="s">
        <v>21</v>
      </c>
    </row>
    <row r="379" spans="1:14" ht="60" customHeight="1" x14ac:dyDescent="0.35">
      <c r="A379" s="11" t="s">
        <v>1616</v>
      </c>
      <c r="B379" s="1" t="s">
        <v>1617</v>
      </c>
      <c r="C379" s="2" t="s">
        <v>16</v>
      </c>
      <c r="D379" s="3" t="s">
        <v>1235</v>
      </c>
      <c r="E379" s="4" t="s">
        <v>18</v>
      </c>
      <c r="F379" s="4" t="s">
        <v>19</v>
      </c>
      <c r="G379" s="4" t="s">
        <v>20</v>
      </c>
      <c r="H379" s="4" t="s">
        <v>21</v>
      </c>
      <c r="I379" s="5" t="s">
        <v>21</v>
      </c>
      <c r="J379" s="1" t="s">
        <v>1300</v>
      </c>
      <c r="K379" s="1" t="s">
        <v>1615</v>
      </c>
      <c r="L379" s="1" t="s">
        <v>1302</v>
      </c>
      <c r="M379" s="4" t="str">
        <f t="shared" si="1"/>
        <v>Outstanding</v>
      </c>
      <c r="N379" s="13" t="s">
        <v>21</v>
      </c>
    </row>
    <row r="380" spans="1:14" ht="60" customHeight="1" x14ac:dyDescent="0.35">
      <c r="A380" s="11" t="s">
        <v>1618</v>
      </c>
      <c r="B380" s="1" t="s">
        <v>1619</v>
      </c>
      <c r="C380" s="2" t="s">
        <v>163</v>
      </c>
      <c r="D380" s="3" t="s">
        <v>1235</v>
      </c>
      <c r="E380" s="4" t="s">
        <v>18</v>
      </c>
      <c r="F380" s="4" t="s">
        <v>19</v>
      </c>
      <c r="G380" s="4" t="s">
        <v>20</v>
      </c>
      <c r="H380" s="4" t="s">
        <v>21</v>
      </c>
      <c r="I380" s="5" t="s">
        <v>21</v>
      </c>
      <c r="J380" s="1" t="s">
        <v>1620</v>
      </c>
      <c r="K380" s="1" t="s">
        <v>1621</v>
      </c>
      <c r="L380" s="1" t="s">
        <v>1622</v>
      </c>
      <c r="M380" s="4" t="str">
        <f t="shared" si="1"/>
        <v>Outstanding</v>
      </c>
      <c r="N380" s="13" t="s">
        <v>21</v>
      </c>
    </row>
    <row r="381" spans="1:14" ht="60" customHeight="1" x14ac:dyDescent="0.35">
      <c r="A381" s="11" t="s">
        <v>1623</v>
      </c>
      <c r="B381" s="1" t="s">
        <v>1624</v>
      </c>
      <c r="C381" s="2" t="s">
        <v>163</v>
      </c>
      <c r="D381" s="3" t="s">
        <v>1235</v>
      </c>
      <c r="E381" s="4" t="s">
        <v>18</v>
      </c>
      <c r="F381" s="4" t="s">
        <v>19</v>
      </c>
      <c r="G381" s="4" t="s">
        <v>20</v>
      </c>
      <c r="H381" s="4" t="s">
        <v>21</v>
      </c>
      <c r="I381" s="5" t="s">
        <v>21</v>
      </c>
      <c r="J381" s="1" t="s">
        <v>1620</v>
      </c>
      <c r="K381" s="1" t="s">
        <v>1621</v>
      </c>
      <c r="L381" s="1" t="s">
        <v>1625</v>
      </c>
      <c r="M381" s="4" t="str">
        <f t="shared" si="1"/>
        <v>Outstanding</v>
      </c>
      <c r="N381" s="13" t="s">
        <v>21</v>
      </c>
    </row>
    <row r="382" spans="1:14" ht="60" customHeight="1" x14ac:dyDescent="0.35">
      <c r="A382" s="11" t="s">
        <v>1626</v>
      </c>
      <c r="B382" s="1" t="s">
        <v>1627</v>
      </c>
      <c r="C382" s="2" t="s">
        <v>163</v>
      </c>
      <c r="D382" s="3" t="s">
        <v>1235</v>
      </c>
      <c r="E382" s="4" t="s">
        <v>18</v>
      </c>
      <c r="F382" s="4" t="s">
        <v>19</v>
      </c>
      <c r="G382" s="4" t="s">
        <v>20</v>
      </c>
      <c r="H382" s="4" t="s">
        <v>21</v>
      </c>
      <c r="I382" s="5" t="s">
        <v>21</v>
      </c>
      <c r="J382" s="1" t="s">
        <v>1620</v>
      </c>
      <c r="K382" s="1" t="s">
        <v>1621</v>
      </c>
      <c r="L382" s="1" t="s">
        <v>1628</v>
      </c>
      <c r="M382" s="4" t="str">
        <f t="shared" si="1"/>
        <v>Outstanding</v>
      </c>
      <c r="N382" s="13" t="s">
        <v>21</v>
      </c>
    </row>
    <row r="383" spans="1:14" ht="60" customHeight="1" x14ac:dyDescent="0.35">
      <c r="A383" s="11" t="s">
        <v>1629</v>
      </c>
      <c r="B383" s="1" t="s">
        <v>1630</v>
      </c>
      <c r="C383" s="2" t="s">
        <v>163</v>
      </c>
      <c r="D383" s="3" t="s">
        <v>1235</v>
      </c>
      <c r="E383" s="4" t="s">
        <v>18</v>
      </c>
      <c r="F383" s="4" t="s">
        <v>19</v>
      </c>
      <c r="G383" s="4" t="s">
        <v>20</v>
      </c>
      <c r="H383" s="4" t="s">
        <v>21</v>
      </c>
      <c r="I383" s="5" t="s">
        <v>21</v>
      </c>
      <c r="J383" s="1" t="s">
        <v>1631</v>
      </c>
      <c r="K383" s="1" t="s">
        <v>1632</v>
      </c>
      <c r="L383" s="1" t="s">
        <v>1633</v>
      </c>
      <c r="M383" s="4" t="str">
        <f t="shared" si="1"/>
        <v>Outstanding</v>
      </c>
      <c r="N383" s="13" t="s">
        <v>21</v>
      </c>
    </row>
    <row r="384" spans="1:14" ht="60" customHeight="1" x14ac:dyDescent="0.35">
      <c r="A384" s="11" t="s">
        <v>1634</v>
      </c>
      <c r="B384" s="1" t="s">
        <v>1635</v>
      </c>
      <c r="C384" s="2" t="s">
        <v>163</v>
      </c>
      <c r="D384" s="3" t="s">
        <v>1235</v>
      </c>
      <c r="E384" s="4" t="s">
        <v>18</v>
      </c>
      <c r="F384" s="4" t="s">
        <v>19</v>
      </c>
      <c r="G384" s="4" t="s">
        <v>20</v>
      </c>
      <c r="H384" s="4" t="s">
        <v>21</v>
      </c>
      <c r="I384" s="5" t="s">
        <v>21</v>
      </c>
      <c r="J384" s="1" t="s">
        <v>1631</v>
      </c>
      <c r="K384" s="1" t="s">
        <v>1632</v>
      </c>
      <c r="L384" s="1" t="s">
        <v>1636</v>
      </c>
      <c r="M384" s="4" t="str">
        <f t="shared" si="1"/>
        <v>Outstanding</v>
      </c>
      <c r="N384" s="13" t="s">
        <v>21</v>
      </c>
    </row>
    <row r="385" spans="1:14" ht="60" customHeight="1" x14ac:dyDescent="0.35">
      <c r="A385" s="11" t="s">
        <v>1637</v>
      </c>
      <c r="B385" s="1" t="s">
        <v>1638</v>
      </c>
      <c r="C385" s="2" t="s">
        <v>163</v>
      </c>
      <c r="D385" s="3" t="s">
        <v>1235</v>
      </c>
      <c r="E385" s="4" t="s">
        <v>18</v>
      </c>
      <c r="F385" s="4" t="s">
        <v>19</v>
      </c>
      <c r="G385" s="4" t="s">
        <v>20</v>
      </c>
      <c r="H385" s="4" t="s">
        <v>21</v>
      </c>
      <c r="I385" s="5" t="s">
        <v>21</v>
      </c>
      <c r="J385" s="1" t="s">
        <v>1639</v>
      </c>
      <c r="K385" s="1" t="s">
        <v>1632</v>
      </c>
      <c r="L385" s="1" t="s">
        <v>1640</v>
      </c>
      <c r="M385" s="4" t="str">
        <f t="shared" si="1"/>
        <v>Outstanding</v>
      </c>
      <c r="N385" s="13" t="s">
        <v>21</v>
      </c>
    </row>
    <row r="386" spans="1:14" ht="60" customHeight="1" x14ac:dyDescent="0.35">
      <c r="A386" s="11" t="s">
        <v>1641</v>
      </c>
      <c r="B386" s="1" t="s">
        <v>1642</v>
      </c>
      <c r="C386" s="2" t="s">
        <v>16</v>
      </c>
      <c r="D386" s="3" t="s">
        <v>1235</v>
      </c>
      <c r="E386" s="4" t="s">
        <v>18</v>
      </c>
      <c r="F386" s="4" t="s">
        <v>19</v>
      </c>
      <c r="G386" s="4" t="s">
        <v>20</v>
      </c>
      <c r="H386" s="4" t="s">
        <v>21</v>
      </c>
      <c r="I386" s="5" t="s">
        <v>21</v>
      </c>
      <c r="J386" s="1" t="s">
        <v>1643</v>
      </c>
      <c r="K386" s="1" t="s">
        <v>1644</v>
      </c>
      <c r="L386" s="1" t="s">
        <v>1645</v>
      </c>
      <c r="M386" s="4" t="str">
        <f t="shared" si="1"/>
        <v>Outstanding</v>
      </c>
      <c r="N386" s="13" t="s">
        <v>21</v>
      </c>
    </row>
    <row r="387" spans="1:14" ht="60" customHeight="1" x14ac:dyDescent="0.35">
      <c r="A387" s="11" t="s">
        <v>1646</v>
      </c>
      <c r="B387" s="1" t="s">
        <v>1647</v>
      </c>
      <c r="C387" s="2" t="s">
        <v>16</v>
      </c>
      <c r="D387" s="3" t="s">
        <v>1235</v>
      </c>
      <c r="E387" s="4" t="s">
        <v>18</v>
      </c>
      <c r="F387" s="4" t="s">
        <v>19</v>
      </c>
      <c r="G387" s="4" t="s">
        <v>20</v>
      </c>
      <c r="H387" s="4" t="s">
        <v>21</v>
      </c>
      <c r="I387" s="5" t="s">
        <v>21</v>
      </c>
      <c r="J387" s="1" t="s">
        <v>1648</v>
      </c>
      <c r="K387" s="1" t="s">
        <v>1649</v>
      </c>
      <c r="L387" s="1" t="s">
        <v>1650</v>
      </c>
      <c r="M387" s="4" t="str">
        <f t="shared" si="1"/>
        <v>Outstanding</v>
      </c>
      <c r="N387" s="13" t="s">
        <v>21</v>
      </c>
    </row>
    <row r="388" spans="1:14" ht="60" customHeight="1" x14ac:dyDescent="0.35">
      <c r="A388" s="11" t="s">
        <v>1651</v>
      </c>
      <c r="B388" s="1" t="s">
        <v>1652</v>
      </c>
      <c r="C388" s="2" t="s">
        <v>16</v>
      </c>
      <c r="D388" s="3" t="s">
        <v>1235</v>
      </c>
      <c r="E388" s="4" t="s">
        <v>18</v>
      </c>
      <c r="F388" s="4" t="s">
        <v>19</v>
      </c>
      <c r="G388" s="4" t="s">
        <v>20</v>
      </c>
      <c r="H388" s="4" t="s">
        <v>21</v>
      </c>
      <c r="I388" s="5" t="s">
        <v>21</v>
      </c>
      <c r="J388" s="1" t="s">
        <v>1653</v>
      </c>
      <c r="K388" s="1" t="s">
        <v>1654</v>
      </c>
      <c r="L388" s="1" t="s">
        <v>1655</v>
      </c>
      <c r="M388" s="4" t="str">
        <f t="shared" si="1"/>
        <v>Outstanding</v>
      </c>
      <c r="N388" s="13" t="s">
        <v>21</v>
      </c>
    </row>
    <row r="389" spans="1:14" ht="60" customHeight="1" x14ac:dyDescent="0.35">
      <c r="A389" s="11" t="s">
        <v>1656</v>
      </c>
      <c r="B389" s="1" t="s">
        <v>1657</v>
      </c>
      <c r="C389" s="2" t="s">
        <v>16</v>
      </c>
      <c r="D389" s="3" t="s">
        <v>1235</v>
      </c>
      <c r="E389" s="4" t="s">
        <v>18</v>
      </c>
      <c r="F389" s="4" t="s">
        <v>19</v>
      </c>
      <c r="G389" s="4" t="s">
        <v>20</v>
      </c>
      <c r="H389" s="4" t="s">
        <v>21</v>
      </c>
      <c r="I389" s="5" t="s">
        <v>21</v>
      </c>
      <c r="J389" s="1" t="s">
        <v>1658</v>
      </c>
      <c r="K389" s="1" t="s">
        <v>1659</v>
      </c>
      <c r="L389" s="1" t="s">
        <v>1660</v>
      </c>
      <c r="M389" s="4" t="str">
        <f t="shared" si="1"/>
        <v>Outstanding</v>
      </c>
      <c r="N389" s="13" t="s">
        <v>21</v>
      </c>
    </row>
    <row r="390" spans="1:14" ht="60" customHeight="1" x14ac:dyDescent="0.35">
      <c r="A390" s="11" t="s">
        <v>1661</v>
      </c>
      <c r="B390" s="1" t="s">
        <v>1662</v>
      </c>
      <c r="C390" s="2" t="s">
        <v>16</v>
      </c>
      <c r="D390" s="3" t="s">
        <v>1235</v>
      </c>
      <c r="E390" s="4" t="s">
        <v>18</v>
      </c>
      <c r="F390" s="4" t="s">
        <v>19</v>
      </c>
      <c r="G390" s="4" t="s">
        <v>20</v>
      </c>
      <c r="H390" s="4" t="s">
        <v>21</v>
      </c>
      <c r="I390" s="5" t="s">
        <v>21</v>
      </c>
      <c r="J390" s="1" t="s">
        <v>1663</v>
      </c>
      <c r="K390" s="1" t="s">
        <v>1664</v>
      </c>
      <c r="L390" s="1" t="s">
        <v>1665</v>
      </c>
      <c r="M390" s="4" t="str">
        <f t="shared" si="1"/>
        <v>Outstanding</v>
      </c>
      <c r="N390" s="13" t="s">
        <v>21</v>
      </c>
    </row>
    <row r="391" spans="1:14" ht="60" customHeight="1" x14ac:dyDescent="0.35">
      <c r="A391" s="11" t="s">
        <v>1666</v>
      </c>
      <c r="B391" s="1" t="s">
        <v>1667</v>
      </c>
      <c r="C391" s="2" t="s">
        <v>16</v>
      </c>
      <c r="D391" s="3" t="s">
        <v>1235</v>
      </c>
      <c r="E391" s="4" t="s">
        <v>18</v>
      </c>
      <c r="F391" s="4" t="s">
        <v>19</v>
      </c>
      <c r="G391" s="4" t="s">
        <v>20</v>
      </c>
      <c r="H391" s="4" t="s">
        <v>21</v>
      </c>
      <c r="I391" s="5" t="s">
        <v>21</v>
      </c>
      <c r="J391" s="1" t="s">
        <v>1668</v>
      </c>
      <c r="K391" s="1" t="s">
        <v>1664</v>
      </c>
      <c r="L391" s="1" t="s">
        <v>1669</v>
      </c>
      <c r="M391" s="4" t="str">
        <f t="shared" si="1"/>
        <v>Outstanding</v>
      </c>
      <c r="N391" s="13" t="s">
        <v>21</v>
      </c>
    </row>
    <row r="392" spans="1:14" ht="60" customHeight="1" x14ac:dyDescent="0.35">
      <c r="A392" s="11" t="s">
        <v>1670</v>
      </c>
      <c r="B392" s="1" t="s">
        <v>1671</v>
      </c>
      <c r="C392" s="2" t="s">
        <v>16</v>
      </c>
      <c r="D392" s="3" t="s">
        <v>1235</v>
      </c>
      <c r="E392" s="4" t="s">
        <v>18</v>
      </c>
      <c r="F392" s="4" t="s">
        <v>19</v>
      </c>
      <c r="G392" s="4" t="s">
        <v>20</v>
      </c>
      <c r="H392" s="4" t="s">
        <v>21</v>
      </c>
      <c r="I392" s="5" t="s">
        <v>21</v>
      </c>
      <c r="J392" s="1" t="s">
        <v>1672</v>
      </c>
      <c r="K392" s="1" t="s">
        <v>1673</v>
      </c>
      <c r="L392" s="1" t="s">
        <v>1674</v>
      </c>
      <c r="M392" s="4" t="str">
        <f t="shared" si="1"/>
        <v>Outstanding</v>
      </c>
      <c r="N392" s="13" t="s">
        <v>21</v>
      </c>
    </row>
    <row r="393" spans="1:14" ht="60" customHeight="1" x14ac:dyDescent="0.35">
      <c r="A393" s="11" t="s">
        <v>1675</v>
      </c>
      <c r="B393" s="1" t="s">
        <v>1676</v>
      </c>
      <c r="C393" s="2" t="s">
        <v>16</v>
      </c>
      <c r="D393" s="3" t="s">
        <v>1235</v>
      </c>
      <c r="E393" s="4" t="s">
        <v>18</v>
      </c>
      <c r="F393" s="4" t="s">
        <v>19</v>
      </c>
      <c r="G393" s="4" t="s">
        <v>20</v>
      </c>
      <c r="H393" s="4" t="s">
        <v>21</v>
      </c>
      <c r="I393" s="5" t="s">
        <v>21</v>
      </c>
      <c r="J393" s="1" t="s">
        <v>1677</v>
      </c>
      <c r="K393" s="1" t="s">
        <v>1678</v>
      </c>
      <c r="L393" s="1" t="s">
        <v>1679</v>
      </c>
      <c r="M393" s="4" t="str">
        <f t="shared" si="1"/>
        <v>Outstanding</v>
      </c>
      <c r="N393" s="13" t="s">
        <v>21</v>
      </c>
    </row>
    <row r="394" spans="1:14" ht="60" customHeight="1" x14ac:dyDescent="0.35">
      <c r="A394" s="11" t="s">
        <v>1680</v>
      </c>
      <c r="B394" s="1" t="s">
        <v>1681</v>
      </c>
      <c r="C394" s="2" t="s">
        <v>16</v>
      </c>
      <c r="D394" s="3" t="s">
        <v>1235</v>
      </c>
      <c r="E394" s="4" t="s">
        <v>18</v>
      </c>
      <c r="F394" s="4" t="s">
        <v>19</v>
      </c>
      <c r="G394" s="4" t="s">
        <v>20</v>
      </c>
      <c r="H394" s="4" t="s">
        <v>21</v>
      </c>
      <c r="I394" s="5" t="s">
        <v>21</v>
      </c>
      <c r="J394" s="1" t="s">
        <v>1682</v>
      </c>
      <c r="K394" s="1" t="s">
        <v>1678</v>
      </c>
      <c r="L394" s="1" t="s">
        <v>1683</v>
      </c>
      <c r="M394" s="4" t="str">
        <f t="shared" si="1"/>
        <v>Outstanding</v>
      </c>
      <c r="N394" s="13" t="s">
        <v>21</v>
      </c>
    </row>
    <row r="395" spans="1:14" ht="60" customHeight="1" x14ac:dyDescent="0.35">
      <c r="A395" s="11" t="s">
        <v>1684</v>
      </c>
      <c r="B395" s="1" t="s">
        <v>1685</v>
      </c>
      <c r="C395" s="2" t="s">
        <v>16</v>
      </c>
      <c r="D395" s="3" t="s">
        <v>1235</v>
      </c>
      <c r="E395" s="4" t="s">
        <v>18</v>
      </c>
      <c r="F395" s="4" t="s">
        <v>19</v>
      </c>
      <c r="G395" s="4" t="s">
        <v>20</v>
      </c>
      <c r="H395" s="4" t="s">
        <v>21</v>
      </c>
      <c r="I395" s="5" t="s">
        <v>21</v>
      </c>
      <c r="J395" s="1" t="s">
        <v>1686</v>
      </c>
      <c r="K395" s="1" t="s">
        <v>1678</v>
      </c>
      <c r="L395" s="1" t="s">
        <v>1687</v>
      </c>
      <c r="M395" s="4" t="str">
        <f t="shared" si="1"/>
        <v>Outstanding</v>
      </c>
      <c r="N395" s="13" t="s">
        <v>21</v>
      </c>
    </row>
    <row r="396" spans="1:14" ht="60" customHeight="1" x14ac:dyDescent="0.35">
      <c r="A396" s="11" t="s">
        <v>1688</v>
      </c>
      <c r="B396" s="1" t="s">
        <v>1689</v>
      </c>
      <c r="C396" s="2" t="s">
        <v>16</v>
      </c>
      <c r="D396" s="3" t="s">
        <v>1235</v>
      </c>
      <c r="E396" s="4" t="s">
        <v>18</v>
      </c>
      <c r="F396" s="4" t="s">
        <v>19</v>
      </c>
      <c r="G396" s="4" t="s">
        <v>20</v>
      </c>
      <c r="H396" s="4" t="s">
        <v>21</v>
      </c>
      <c r="I396" s="5" t="s">
        <v>21</v>
      </c>
      <c r="J396" s="1" t="s">
        <v>1690</v>
      </c>
      <c r="K396" s="1" t="s">
        <v>1691</v>
      </c>
      <c r="L396" s="1" t="s">
        <v>1692</v>
      </c>
      <c r="M396" s="4" t="str">
        <f t="shared" si="1"/>
        <v>Outstanding</v>
      </c>
      <c r="N396" s="13" t="s">
        <v>21</v>
      </c>
    </row>
    <row r="397" spans="1:14" ht="60" customHeight="1" x14ac:dyDescent="0.35">
      <c r="A397" s="11" t="s">
        <v>1693</v>
      </c>
      <c r="B397" s="1" t="s">
        <v>1694</v>
      </c>
      <c r="C397" s="2" t="s">
        <v>16</v>
      </c>
      <c r="D397" s="3" t="s">
        <v>1235</v>
      </c>
      <c r="E397" s="4" t="s">
        <v>18</v>
      </c>
      <c r="F397" s="4" t="s">
        <v>19</v>
      </c>
      <c r="G397" s="4" t="s">
        <v>20</v>
      </c>
      <c r="H397" s="4" t="s">
        <v>21</v>
      </c>
      <c r="I397" s="5" t="s">
        <v>21</v>
      </c>
      <c r="J397" s="1" t="s">
        <v>1695</v>
      </c>
      <c r="K397" s="1" t="s">
        <v>1691</v>
      </c>
      <c r="L397" s="1" t="s">
        <v>1696</v>
      </c>
      <c r="M397" s="4" t="str">
        <f t="shared" si="1"/>
        <v>Outstanding</v>
      </c>
      <c r="N397" s="13" t="s">
        <v>21</v>
      </c>
    </row>
    <row r="398" spans="1:14" ht="60" customHeight="1" x14ac:dyDescent="0.35">
      <c r="A398" s="11" t="s">
        <v>1697</v>
      </c>
      <c r="B398" s="1" t="s">
        <v>1698</v>
      </c>
      <c r="C398" s="2" t="s">
        <v>16</v>
      </c>
      <c r="D398" s="3" t="s">
        <v>1235</v>
      </c>
      <c r="E398" s="4" t="s">
        <v>18</v>
      </c>
      <c r="F398" s="4" t="s">
        <v>19</v>
      </c>
      <c r="G398" s="4" t="s">
        <v>20</v>
      </c>
      <c r="H398" s="4" t="s">
        <v>21</v>
      </c>
      <c r="I398" s="5" t="s">
        <v>21</v>
      </c>
      <c r="J398" s="1" t="s">
        <v>1699</v>
      </c>
      <c r="K398" s="1" t="s">
        <v>1691</v>
      </c>
      <c r="L398" s="1" t="s">
        <v>1700</v>
      </c>
      <c r="M398" s="4" t="str">
        <f t="shared" si="1"/>
        <v>Outstanding</v>
      </c>
      <c r="N398" s="13" t="s">
        <v>21</v>
      </c>
    </row>
    <row r="399" spans="1:14" ht="60" customHeight="1" x14ac:dyDescent="0.35">
      <c r="A399" s="11" t="s">
        <v>1701</v>
      </c>
      <c r="B399" s="1" t="s">
        <v>1702</v>
      </c>
      <c r="C399" s="2" t="s">
        <v>16</v>
      </c>
      <c r="D399" s="3" t="s">
        <v>1235</v>
      </c>
      <c r="E399" s="4" t="s">
        <v>18</v>
      </c>
      <c r="F399" s="4" t="s">
        <v>19</v>
      </c>
      <c r="G399" s="4" t="s">
        <v>20</v>
      </c>
      <c r="H399" s="4" t="s">
        <v>21</v>
      </c>
      <c r="I399" s="5" t="s">
        <v>21</v>
      </c>
      <c r="J399" s="1" t="s">
        <v>1703</v>
      </c>
      <c r="K399" s="1" t="s">
        <v>1704</v>
      </c>
      <c r="L399" s="1" t="s">
        <v>1705</v>
      </c>
      <c r="M399" s="4" t="str">
        <f t="shared" si="1"/>
        <v>Outstanding</v>
      </c>
      <c r="N399" s="13" t="s">
        <v>21</v>
      </c>
    </row>
    <row r="400" spans="1:14" ht="60" customHeight="1" x14ac:dyDescent="0.35">
      <c r="A400" s="11" t="s">
        <v>1706</v>
      </c>
      <c r="B400" s="1" t="s">
        <v>1707</v>
      </c>
      <c r="C400" s="2" t="s">
        <v>16</v>
      </c>
      <c r="D400" s="3" t="s">
        <v>1235</v>
      </c>
      <c r="E400" s="4" t="s">
        <v>18</v>
      </c>
      <c r="F400" s="4" t="s">
        <v>19</v>
      </c>
      <c r="G400" s="4" t="s">
        <v>20</v>
      </c>
      <c r="H400" s="4" t="s">
        <v>21</v>
      </c>
      <c r="I400" s="5" t="s">
        <v>21</v>
      </c>
      <c r="J400" s="1" t="s">
        <v>1708</v>
      </c>
      <c r="K400" s="1" t="s">
        <v>1709</v>
      </c>
      <c r="L400" s="1" t="s">
        <v>1710</v>
      </c>
      <c r="M400" s="4" t="str">
        <f t="shared" si="1"/>
        <v>Outstanding</v>
      </c>
      <c r="N400" s="13" t="s">
        <v>21</v>
      </c>
    </row>
    <row r="401" spans="1:14" ht="60" customHeight="1" x14ac:dyDescent="0.35">
      <c r="A401" s="11" t="s">
        <v>1711</v>
      </c>
      <c r="B401" s="1" t="s">
        <v>1712</v>
      </c>
      <c r="C401" s="2" t="s">
        <v>16</v>
      </c>
      <c r="D401" s="3" t="s">
        <v>1235</v>
      </c>
      <c r="E401" s="4" t="s">
        <v>18</v>
      </c>
      <c r="F401" s="4" t="s">
        <v>19</v>
      </c>
      <c r="G401" s="4" t="s">
        <v>20</v>
      </c>
      <c r="H401" s="4" t="s">
        <v>21</v>
      </c>
      <c r="I401" s="5" t="s">
        <v>21</v>
      </c>
      <c r="J401" s="1" t="s">
        <v>1713</v>
      </c>
      <c r="K401" s="1" t="s">
        <v>1709</v>
      </c>
      <c r="L401" s="1" t="s">
        <v>1714</v>
      </c>
      <c r="M401" s="4" t="str">
        <f t="shared" si="1"/>
        <v>Outstanding</v>
      </c>
      <c r="N401" s="13" t="s">
        <v>21</v>
      </c>
    </row>
    <row r="402" spans="1:14" ht="60" customHeight="1" x14ac:dyDescent="0.35">
      <c r="A402" s="11" t="s">
        <v>1715</v>
      </c>
      <c r="B402" s="1" t="s">
        <v>1716</v>
      </c>
      <c r="C402" s="2" t="s">
        <v>16</v>
      </c>
      <c r="D402" s="3" t="s">
        <v>1235</v>
      </c>
      <c r="E402" s="4" t="s">
        <v>18</v>
      </c>
      <c r="F402" s="4" t="s">
        <v>19</v>
      </c>
      <c r="G402" s="4" t="s">
        <v>20</v>
      </c>
      <c r="H402" s="4" t="s">
        <v>21</v>
      </c>
      <c r="I402" s="5" t="s">
        <v>21</v>
      </c>
      <c r="J402" s="1" t="s">
        <v>1717</v>
      </c>
      <c r="K402" s="1" t="s">
        <v>1718</v>
      </c>
      <c r="L402" s="1" t="s">
        <v>1719</v>
      </c>
      <c r="M402" s="4" t="str">
        <f t="shared" si="1"/>
        <v>Outstanding</v>
      </c>
      <c r="N402" s="13" t="s">
        <v>21</v>
      </c>
    </row>
    <row r="403" spans="1:14" ht="60" customHeight="1" x14ac:dyDescent="0.35">
      <c r="A403" s="11" t="s">
        <v>1720</v>
      </c>
      <c r="B403" s="1" t="s">
        <v>1721</v>
      </c>
      <c r="C403" s="2" t="s">
        <v>16</v>
      </c>
      <c r="D403" s="3" t="s">
        <v>1235</v>
      </c>
      <c r="E403" s="4" t="s">
        <v>18</v>
      </c>
      <c r="F403" s="4" t="s">
        <v>19</v>
      </c>
      <c r="G403" s="4" t="s">
        <v>20</v>
      </c>
      <c r="H403" s="4" t="s">
        <v>21</v>
      </c>
      <c r="I403" s="5" t="s">
        <v>21</v>
      </c>
      <c r="J403" s="1" t="s">
        <v>1722</v>
      </c>
      <c r="K403" s="1" t="s">
        <v>1723</v>
      </c>
      <c r="L403" s="1" t="s">
        <v>1724</v>
      </c>
      <c r="M403" s="4" t="str">
        <f t="shared" si="1"/>
        <v>Outstanding</v>
      </c>
      <c r="N403" s="13" t="s">
        <v>21</v>
      </c>
    </row>
    <row r="404" spans="1:14" ht="60" customHeight="1" x14ac:dyDescent="0.35">
      <c r="A404" s="11" t="s">
        <v>1725</v>
      </c>
      <c r="B404" s="1" t="s">
        <v>1726</v>
      </c>
      <c r="C404" s="2" t="s">
        <v>16</v>
      </c>
      <c r="D404" s="3" t="s">
        <v>1235</v>
      </c>
      <c r="E404" s="4" t="s">
        <v>18</v>
      </c>
      <c r="F404" s="4" t="s">
        <v>19</v>
      </c>
      <c r="G404" s="4" t="s">
        <v>20</v>
      </c>
      <c r="H404" s="4" t="s">
        <v>21</v>
      </c>
      <c r="I404" s="5" t="s">
        <v>21</v>
      </c>
      <c r="J404" s="1" t="s">
        <v>1727</v>
      </c>
      <c r="K404" s="1" t="s">
        <v>1723</v>
      </c>
      <c r="L404" s="1" t="s">
        <v>1728</v>
      </c>
      <c r="M404" s="4" t="str">
        <f t="shared" si="1"/>
        <v>Outstanding</v>
      </c>
      <c r="N404" s="13" t="s">
        <v>21</v>
      </c>
    </row>
    <row r="405" spans="1:14" ht="60" customHeight="1" x14ac:dyDescent="0.35">
      <c r="A405" s="11" t="s">
        <v>1729</v>
      </c>
      <c r="B405" s="1" t="s">
        <v>1730</v>
      </c>
      <c r="C405" s="2" t="s">
        <v>16</v>
      </c>
      <c r="D405" s="3" t="s">
        <v>1235</v>
      </c>
      <c r="E405" s="4" t="s">
        <v>18</v>
      </c>
      <c r="F405" s="4" t="s">
        <v>19</v>
      </c>
      <c r="G405" s="4" t="s">
        <v>20</v>
      </c>
      <c r="H405" s="4" t="s">
        <v>21</v>
      </c>
      <c r="I405" s="5" t="s">
        <v>21</v>
      </c>
      <c r="J405" s="1" t="s">
        <v>1731</v>
      </c>
      <c r="K405" s="1" t="s">
        <v>1732</v>
      </c>
      <c r="L405" s="1" t="s">
        <v>1733</v>
      </c>
      <c r="M405" s="4" t="str">
        <f t="shared" si="1"/>
        <v>Outstanding</v>
      </c>
      <c r="N405" s="13" t="s">
        <v>21</v>
      </c>
    </row>
    <row r="406" spans="1:14" ht="60" customHeight="1" x14ac:dyDescent="0.35">
      <c r="A406" s="11" t="s">
        <v>1734</v>
      </c>
      <c r="B406" s="1" t="s">
        <v>1735</v>
      </c>
      <c r="C406" s="2" t="s">
        <v>16</v>
      </c>
      <c r="D406" s="3" t="s">
        <v>1235</v>
      </c>
      <c r="E406" s="4" t="s">
        <v>18</v>
      </c>
      <c r="F406" s="4" t="s">
        <v>19</v>
      </c>
      <c r="G406" s="4" t="s">
        <v>20</v>
      </c>
      <c r="H406" s="4" t="s">
        <v>21</v>
      </c>
      <c r="I406" s="5" t="s">
        <v>21</v>
      </c>
      <c r="J406" s="1" t="s">
        <v>1736</v>
      </c>
      <c r="K406" s="1" t="s">
        <v>1732</v>
      </c>
      <c r="L406" s="1" t="s">
        <v>1737</v>
      </c>
      <c r="M406" s="4" t="str">
        <f t="shared" si="1"/>
        <v>Outstanding</v>
      </c>
      <c r="N406" s="13" t="s">
        <v>21</v>
      </c>
    </row>
    <row r="407" spans="1:14" ht="60" customHeight="1" x14ac:dyDescent="0.35">
      <c r="A407" s="11" t="s">
        <v>1738</v>
      </c>
      <c r="B407" s="1" t="s">
        <v>1739</v>
      </c>
      <c r="C407" s="2" t="s">
        <v>16</v>
      </c>
      <c r="D407" s="3" t="s">
        <v>1235</v>
      </c>
      <c r="E407" s="4" t="s">
        <v>18</v>
      </c>
      <c r="F407" s="4" t="s">
        <v>19</v>
      </c>
      <c r="G407" s="4" t="s">
        <v>20</v>
      </c>
      <c r="H407" s="4" t="s">
        <v>21</v>
      </c>
      <c r="I407" s="5" t="s">
        <v>21</v>
      </c>
      <c r="J407" s="1" t="s">
        <v>1740</v>
      </c>
      <c r="K407" s="1" t="s">
        <v>1732</v>
      </c>
      <c r="L407" s="1" t="s">
        <v>1741</v>
      </c>
      <c r="M407" s="4" t="str">
        <f t="shared" si="1"/>
        <v>Outstanding</v>
      </c>
      <c r="N407" s="13" t="s">
        <v>21</v>
      </c>
    </row>
    <row r="408" spans="1:14" ht="60" customHeight="1" x14ac:dyDescent="0.35">
      <c r="A408" s="11" t="s">
        <v>1742</v>
      </c>
      <c r="B408" s="1" t="s">
        <v>1743</v>
      </c>
      <c r="C408" s="2" t="s">
        <v>16</v>
      </c>
      <c r="D408" s="3" t="s">
        <v>1235</v>
      </c>
      <c r="E408" s="4" t="s">
        <v>18</v>
      </c>
      <c r="F408" s="4" t="s">
        <v>19</v>
      </c>
      <c r="G408" s="4" t="s">
        <v>20</v>
      </c>
      <c r="H408" s="4" t="s">
        <v>21</v>
      </c>
      <c r="I408" s="5" t="s">
        <v>21</v>
      </c>
      <c r="J408" s="1" t="s">
        <v>1744</v>
      </c>
      <c r="K408" s="1" t="s">
        <v>1745</v>
      </c>
      <c r="L408" s="1" t="s">
        <v>1746</v>
      </c>
      <c r="M408" s="4" t="str">
        <f t="shared" si="1"/>
        <v>Outstanding</v>
      </c>
      <c r="N408" s="13" t="s">
        <v>21</v>
      </c>
    </row>
    <row r="409" spans="1:14" ht="60" customHeight="1" x14ac:dyDescent="0.35">
      <c r="A409" s="11" t="s">
        <v>1747</v>
      </c>
      <c r="B409" s="1" t="s">
        <v>1748</v>
      </c>
      <c r="C409" s="2" t="s">
        <v>16</v>
      </c>
      <c r="D409" s="3" t="s">
        <v>1235</v>
      </c>
      <c r="E409" s="4" t="s">
        <v>18</v>
      </c>
      <c r="F409" s="4" t="s">
        <v>19</v>
      </c>
      <c r="G409" s="4" t="s">
        <v>20</v>
      </c>
      <c r="H409" s="4" t="s">
        <v>21</v>
      </c>
      <c r="I409" s="5" t="s">
        <v>21</v>
      </c>
      <c r="J409" s="1" t="s">
        <v>1749</v>
      </c>
      <c r="K409" s="1" t="s">
        <v>1745</v>
      </c>
      <c r="L409" s="1" t="s">
        <v>1750</v>
      </c>
      <c r="M409" s="4" t="str">
        <f t="shared" si="1"/>
        <v>Outstanding</v>
      </c>
      <c r="N409" s="13" t="s">
        <v>21</v>
      </c>
    </row>
    <row r="410" spans="1:14" ht="60" customHeight="1" x14ac:dyDescent="0.35">
      <c r="A410" s="11" t="s">
        <v>1751</v>
      </c>
      <c r="B410" s="1" t="s">
        <v>1752</v>
      </c>
      <c r="C410" s="2" t="s">
        <v>16</v>
      </c>
      <c r="D410" s="3" t="s">
        <v>1235</v>
      </c>
      <c r="E410" s="4" t="s">
        <v>18</v>
      </c>
      <c r="F410" s="4" t="s">
        <v>19</v>
      </c>
      <c r="G410" s="4" t="s">
        <v>20</v>
      </c>
      <c r="H410" s="4" t="s">
        <v>21</v>
      </c>
      <c r="I410" s="5" t="s">
        <v>21</v>
      </c>
      <c r="J410" s="1" t="s">
        <v>1753</v>
      </c>
      <c r="K410" s="1" t="s">
        <v>1745</v>
      </c>
      <c r="L410" s="1" t="s">
        <v>1754</v>
      </c>
      <c r="M410" s="4" t="str">
        <f t="shared" si="1"/>
        <v>Outstanding</v>
      </c>
      <c r="N410" s="13" t="s">
        <v>21</v>
      </c>
    </row>
    <row r="411" spans="1:14" ht="60" customHeight="1" x14ac:dyDescent="0.35">
      <c r="A411" s="11" t="s">
        <v>1755</v>
      </c>
      <c r="B411" s="1" t="s">
        <v>1756</v>
      </c>
      <c r="C411" s="2" t="s">
        <v>16</v>
      </c>
      <c r="D411" s="3" t="s">
        <v>1235</v>
      </c>
      <c r="E411" s="4" t="s">
        <v>18</v>
      </c>
      <c r="F411" s="4" t="s">
        <v>19</v>
      </c>
      <c r="G411" s="4" t="s">
        <v>20</v>
      </c>
      <c r="H411" s="4" t="s">
        <v>21</v>
      </c>
      <c r="I411" s="5" t="s">
        <v>21</v>
      </c>
      <c r="J411" s="1" t="s">
        <v>1757</v>
      </c>
      <c r="K411" s="1" t="s">
        <v>1758</v>
      </c>
      <c r="L411" s="1" t="s">
        <v>1759</v>
      </c>
      <c r="M411" s="4" t="str">
        <f t="shared" si="1"/>
        <v>Outstanding</v>
      </c>
      <c r="N411" s="13" t="s">
        <v>21</v>
      </c>
    </row>
    <row r="412" spans="1:14" ht="60" customHeight="1" x14ac:dyDescent="0.35">
      <c r="A412" s="11" t="s">
        <v>1760</v>
      </c>
      <c r="B412" s="1" t="s">
        <v>1761</v>
      </c>
      <c r="C412" s="2" t="s">
        <v>16</v>
      </c>
      <c r="D412" s="3" t="s">
        <v>1235</v>
      </c>
      <c r="E412" s="4" t="s">
        <v>18</v>
      </c>
      <c r="F412" s="4" t="s">
        <v>19</v>
      </c>
      <c r="G412" s="4" t="s">
        <v>20</v>
      </c>
      <c r="H412" s="4" t="s">
        <v>21</v>
      </c>
      <c r="I412" s="5" t="s">
        <v>21</v>
      </c>
      <c r="J412" s="1" t="s">
        <v>1762</v>
      </c>
      <c r="K412" s="1" t="s">
        <v>1763</v>
      </c>
      <c r="L412" s="1" t="s">
        <v>1764</v>
      </c>
      <c r="M412" s="4" t="str">
        <f t="shared" si="1"/>
        <v>Outstanding</v>
      </c>
      <c r="N412" s="13" t="s">
        <v>21</v>
      </c>
    </row>
    <row r="413" spans="1:14" ht="60" customHeight="1" x14ac:dyDescent="0.35">
      <c r="A413" s="11" t="s">
        <v>1765</v>
      </c>
      <c r="B413" s="1" t="s">
        <v>1766</v>
      </c>
      <c r="C413" s="2" t="s">
        <v>16</v>
      </c>
      <c r="D413" s="3" t="s">
        <v>1235</v>
      </c>
      <c r="E413" s="4" t="s">
        <v>18</v>
      </c>
      <c r="F413" s="4" t="s">
        <v>19</v>
      </c>
      <c r="G413" s="4" t="s">
        <v>20</v>
      </c>
      <c r="H413" s="4" t="s">
        <v>21</v>
      </c>
      <c r="I413" s="5" t="s">
        <v>21</v>
      </c>
      <c r="J413" s="1" t="s">
        <v>1767</v>
      </c>
      <c r="K413" s="1" t="s">
        <v>1763</v>
      </c>
      <c r="L413" s="1" t="s">
        <v>1768</v>
      </c>
      <c r="M413" s="4" t="str">
        <f t="shared" si="1"/>
        <v>Outstanding</v>
      </c>
      <c r="N413" s="13" t="s">
        <v>21</v>
      </c>
    </row>
    <row r="414" spans="1:14" ht="60" customHeight="1" x14ac:dyDescent="0.35">
      <c r="A414" s="11" t="s">
        <v>1769</v>
      </c>
      <c r="B414" s="1" t="s">
        <v>1770</v>
      </c>
      <c r="C414" s="2" t="s">
        <v>163</v>
      </c>
      <c r="D414" s="3" t="s">
        <v>1235</v>
      </c>
      <c r="E414" s="4" t="s">
        <v>18</v>
      </c>
      <c r="F414" s="4" t="s">
        <v>19</v>
      </c>
      <c r="G414" s="4" t="s">
        <v>20</v>
      </c>
      <c r="H414" s="4" t="s">
        <v>21</v>
      </c>
      <c r="I414" s="5" t="s">
        <v>21</v>
      </c>
      <c r="J414" s="1" t="s">
        <v>1771</v>
      </c>
      <c r="K414" s="1" t="s">
        <v>1772</v>
      </c>
      <c r="L414" s="1" t="s">
        <v>1773</v>
      </c>
      <c r="M414" s="4" t="str">
        <f t="shared" si="1"/>
        <v>Outstanding</v>
      </c>
      <c r="N414" s="13" t="s">
        <v>21</v>
      </c>
    </row>
    <row r="415" spans="1:14" ht="60" customHeight="1" x14ac:dyDescent="0.35">
      <c r="A415" s="11" t="s">
        <v>1774</v>
      </c>
      <c r="B415" s="1" t="s">
        <v>1775</v>
      </c>
      <c r="C415" s="2" t="s">
        <v>16</v>
      </c>
      <c r="D415" s="3" t="s">
        <v>1235</v>
      </c>
      <c r="E415" s="4" t="s">
        <v>18</v>
      </c>
      <c r="F415" s="4" t="s">
        <v>19</v>
      </c>
      <c r="G415" s="4" t="s">
        <v>20</v>
      </c>
      <c r="H415" s="4" t="s">
        <v>21</v>
      </c>
      <c r="I415" s="5" t="s">
        <v>21</v>
      </c>
      <c r="J415" s="1" t="s">
        <v>1776</v>
      </c>
      <c r="K415" s="1" t="s">
        <v>1777</v>
      </c>
      <c r="L415" s="1" t="s">
        <v>1778</v>
      </c>
      <c r="M415" s="4" t="str">
        <f t="shared" si="1"/>
        <v>Outstanding</v>
      </c>
      <c r="N415" s="13" t="s">
        <v>21</v>
      </c>
    </row>
    <row r="416" spans="1:14" ht="60" customHeight="1" x14ac:dyDescent="0.35">
      <c r="A416" s="11" t="s">
        <v>1779</v>
      </c>
      <c r="B416" s="1" t="s">
        <v>1780</v>
      </c>
      <c r="C416" s="2" t="s">
        <v>16</v>
      </c>
      <c r="D416" s="3" t="s">
        <v>1235</v>
      </c>
      <c r="E416" s="4" t="s">
        <v>18</v>
      </c>
      <c r="F416" s="4" t="s">
        <v>19</v>
      </c>
      <c r="G416" s="4" t="s">
        <v>20</v>
      </c>
      <c r="H416" s="4" t="s">
        <v>21</v>
      </c>
      <c r="I416" s="5" t="s">
        <v>21</v>
      </c>
      <c r="J416" s="1" t="s">
        <v>1781</v>
      </c>
      <c r="K416" s="1" t="s">
        <v>1777</v>
      </c>
      <c r="L416" s="1" t="s">
        <v>1782</v>
      </c>
      <c r="M416" s="4" t="str">
        <f t="shared" si="1"/>
        <v>Outstanding</v>
      </c>
      <c r="N416" s="13" t="s">
        <v>21</v>
      </c>
    </row>
    <row r="417" spans="1:14" ht="60" customHeight="1" x14ac:dyDescent="0.35">
      <c r="A417" s="11" t="s">
        <v>1783</v>
      </c>
      <c r="B417" s="1" t="s">
        <v>1784</v>
      </c>
      <c r="C417" s="2" t="s">
        <v>16</v>
      </c>
      <c r="D417" s="3" t="s">
        <v>1235</v>
      </c>
      <c r="E417" s="4" t="s">
        <v>18</v>
      </c>
      <c r="F417" s="4" t="s">
        <v>19</v>
      </c>
      <c r="G417" s="4" t="s">
        <v>20</v>
      </c>
      <c r="H417" s="4" t="s">
        <v>21</v>
      </c>
      <c r="I417" s="5" t="s">
        <v>21</v>
      </c>
      <c r="J417" s="1" t="s">
        <v>1785</v>
      </c>
      <c r="K417" s="1" t="s">
        <v>1777</v>
      </c>
      <c r="L417" s="1" t="s">
        <v>1786</v>
      </c>
      <c r="M417" s="4" t="str">
        <f t="shared" si="1"/>
        <v>Outstanding</v>
      </c>
      <c r="N417" s="13" t="s">
        <v>21</v>
      </c>
    </row>
    <row r="418" spans="1:14" ht="60" customHeight="1" x14ac:dyDescent="0.35">
      <c r="A418" s="11" t="s">
        <v>1787</v>
      </c>
      <c r="B418" s="1" t="s">
        <v>1788</v>
      </c>
      <c r="C418" s="2" t="s">
        <v>16</v>
      </c>
      <c r="D418" s="3" t="s">
        <v>1235</v>
      </c>
      <c r="E418" s="4" t="s">
        <v>18</v>
      </c>
      <c r="F418" s="4" t="s">
        <v>19</v>
      </c>
      <c r="G418" s="4" t="s">
        <v>20</v>
      </c>
      <c r="H418" s="4" t="s">
        <v>21</v>
      </c>
      <c r="I418" s="5" t="s">
        <v>21</v>
      </c>
      <c r="J418" s="1" t="s">
        <v>1789</v>
      </c>
      <c r="K418" s="1" t="s">
        <v>1790</v>
      </c>
      <c r="L418" s="1" t="s">
        <v>1791</v>
      </c>
      <c r="M418" s="4" t="str">
        <f t="shared" si="1"/>
        <v>Outstanding</v>
      </c>
      <c r="N418" s="13" t="s">
        <v>21</v>
      </c>
    </row>
    <row r="419" spans="1:14" ht="60" customHeight="1" x14ac:dyDescent="0.35">
      <c r="A419" s="11" t="s">
        <v>1792</v>
      </c>
      <c r="B419" s="1" t="s">
        <v>1793</v>
      </c>
      <c r="C419" s="2" t="s">
        <v>16</v>
      </c>
      <c r="D419" s="3" t="s">
        <v>1235</v>
      </c>
      <c r="E419" s="4" t="s">
        <v>18</v>
      </c>
      <c r="F419" s="4" t="s">
        <v>19</v>
      </c>
      <c r="G419" s="4" t="s">
        <v>20</v>
      </c>
      <c r="H419" s="4" t="s">
        <v>21</v>
      </c>
      <c r="I419" s="5" t="s">
        <v>21</v>
      </c>
      <c r="J419" s="1" t="s">
        <v>1794</v>
      </c>
      <c r="K419" s="1" t="s">
        <v>1795</v>
      </c>
      <c r="L419" s="1" t="s">
        <v>1796</v>
      </c>
      <c r="M419" s="4" t="str">
        <f t="shared" si="1"/>
        <v>Outstanding</v>
      </c>
      <c r="N419" s="13" t="s">
        <v>21</v>
      </c>
    </row>
    <row r="420" spans="1:14" ht="60" customHeight="1" x14ac:dyDescent="0.35">
      <c r="A420" s="11" t="s">
        <v>1797</v>
      </c>
      <c r="B420" s="1" t="s">
        <v>1798</v>
      </c>
      <c r="C420" s="2" t="s">
        <v>16</v>
      </c>
      <c r="D420" s="3" t="s">
        <v>1235</v>
      </c>
      <c r="E420" s="4" t="s">
        <v>18</v>
      </c>
      <c r="F420" s="4" t="s">
        <v>19</v>
      </c>
      <c r="G420" s="4" t="s">
        <v>20</v>
      </c>
      <c r="H420" s="4" t="s">
        <v>21</v>
      </c>
      <c r="I420" s="5" t="s">
        <v>21</v>
      </c>
      <c r="J420" s="1" t="s">
        <v>1799</v>
      </c>
      <c r="K420" s="1" t="s">
        <v>1800</v>
      </c>
      <c r="L420" s="1" t="s">
        <v>1801</v>
      </c>
      <c r="M420" s="4" t="str">
        <f t="shared" si="1"/>
        <v>Outstanding</v>
      </c>
      <c r="N420" s="13" t="s">
        <v>21</v>
      </c>
    </row>
    <row r="421" spans="1:14" ht="60" customHeight="1" x14ac:dyDescent="0.35">
      <c r="A421" s="11" t="s">
        <v>1802</v>
      </c>
      <c r="B421" s="1" t="s">
        <v>1803</v>
      </c>
      <c r="C421" s="2" t="s">
        <v>16</v>
      </c>
      <c r="D421" s="3" t="s">
        <v>1235</v>
      </c>
      <c r="E421" s="4" t="s">
        <v>18</v>
      </c>
      <c r="F421" s="4" t="s">
        <v>19</v>
      </c>
      <c r="G421" s="4" t="s">
        <v>20</v>
      </c>
      <c r="H421" s="4" t="s">
        <v>21</v>
      </c>
      <c r="I421" s="5" t="s">
        <v>21</v>
      </c>
      <c r="J421" s="1" t="s">
        <v>1804</v>
      </c>
      <c r="K421" s="1" t="s">
        <v>1805</v>
      </c>
      <c r="L421" s="1" t="s">
        <v>1806</v>
      </c>
      <c r="M421" s="4" t="str">
        <f t="shared" si="1"/>
        <v>Outstanding</v>
      </c>
      <c r="N421" s="13" t="s">
        <v>21</v>
      </c>
    </row>
    <row r="422" spans="1:14" ht="60" customHeight="1" x14ac:dyDescent="0.35">
      <c r="A422" s="11" t="s">
        <v>1807</v>
      </c>
      <c r="B422" s="1" t="s">
        <v>1808</v>
      </c>
      <c r="C422" s="2" t="s">
        <v>16</v>
      </c>
      <c r="D422" s="3" t="s">
        <v>1235</v>
      </c>
      <c r="E422" s="4" t="s">
        <v>18</v>
      </c>
      <c r="F422" s="4" t="s">
        <v>19</v>
      </c>
      <c r="G422" s="4" t="s">
        <v>20</v>
      </c>
      <c r="H422" s="4" t="s">
        <v>21</v>
      </c>
      <c r="I422" s="5" t="s">
        <v>21</v>
      </c>
      <c r="J422" s="1" t="s">
        <v>1809</v>
      </c>
      <c r="K422" s="1" t="s">
        <v>1805</v>
      </c>
      <c r="L422" s="1" t="s">
        <v>1810</v>
      </c>
      <c r="M422" s="4" t="str">
        <f t="shared" si="1"/>
        <v>Outstanding</v>
      </c>
      <c r="N422" s="13" t="s">
        <v>21</v>
      </c>
    </row>
    <row r="423" spans="1:14" ht="60" customHeight="1" x14ac:dyDescent="0.35">
      <c r="A423" s="11" t="s">
        <v>1811</v>
      </c>
      <c r="B423" s="1" t="s">
        <v>1812</v>
      </c>
      <c r="C423" s="2" t="s">
        <v>16</v>
      </c>
      <c r="D423" s="3" t="s">
        <v>1235</v>
      </c>
      <c r="E423" s="4" t="s">
        <v>18</v>
      </c>
      <c r="F423" s="4" t="s">
        <v>19</v>
      </c>
      <c r="G423" s="4" t="s">
        <v>20</v>
      </c>
      <c r="H423" s="4" t="s">
        <v>21</v>
      </c>
      <c r="I423" s="5" t="s">
        <v>21</v>
      </c>
      <c r="J423" s="1" t="s">
        <v>1813</v>
      </c>
      <c r="K423" s="1" t="s">
        <v>1805</v>
      </c>
      <c r="L423" s="1" t="s">
        <v>1814</v>
      </c>
      <c r="M423" s="4" t="str">
        <f t="shared" si="1"/>
        <v>Outstanding</v>
      </c>
      <c r="N423" s="13" t="s">
        <v>21</v>
      </c>
    </row>
    <row r="424" spans="1:14" ht="60" customHeight="1" x14ac:dyDescent="0.35">
      <c r="A424" s="11" t="s">
        <v>1815</v>
      </c>
      <c r="B424" s="1" t="s">
        <v>1816</v>
      </c>
      <c r="C424" s="2" t="s">
        <v>16</v>
      </c>
      <c r="D424" s="3" t="s">
        <v>1235</v>
      </c>
      <c r="E424" s="4" t="s">
        <v>18</v>
      </c>
      <c r="F424" s="4" t="s">
        <v>19</v>
      </c>
      <c r="G424" s="4" t="s">
        <v>20</v>
      </c>
      <c r="H424" s="4" t="s">
        <v>21</v>
      </c>
      <c r="I424" s="5" t="s">
        <v>21</v>
      </c>
      <c r="J424" s="1" t="s">
        <v>1804</v>
      </c>
      <c r="K424" s="1" t="s">
        <v>1817</v>
      </c>
      <c r="L424" s="1" t="s">
        <v>1818</v>
      </c>
      <c r="M424" s="4" t="str">
        <f t="shared" si="1"/>
        <v>Outstanding</v>
      </c>
      <c r="N424" s="13" t="s">
        <v>21</v>
      </c>
    </row>
    <row r="425" spans="1:14" ht="60" customHeight="1" x14ac:dyDescent="0.35">
      <c r="A425" s="11" t="s">
        <v>1819</v>
      </c>
      <c r="B425" s="1" t="s">
        <v>1820</v>
      </c>
      <c r="C425" s="2" t="s">
        <v>16</v>
      </c>
      <c r="D425" s="3" t="s">
        <v>1235</v>
      </c>
      <c r="E425" s="4" t="s">
        <v>18</v>
      </c>
      <c r="F425" s="4" t="s">
        <v>19</v>
      </c>
      <c r="G425" s="4" t="s">
        <v>20</v>
      </c>
      <c r="H425" s="4" t="s">
        <v>21</v>
      </c>
      <c r="I425" s="5" t="s">
        <v>21</v>
      </c>
      <c r="J425" s="1" t="s">
        <v>1809</v>
      </c>
      <c r="K425" s="1" t="s">
        <v>1817</v>
      </c>
      <c r="L425" s="1" t="s">
        <v>1821</v>
      </c>
      <c r="M425" s="4" t="str">
        <f t="shared" si="1"/>
        <v>Outstanding</v>
      </c>
      <c r="N425" s="13" t="s">
        <v>21</v>
      </c>
    </row>
    <row r="426" spans="1:14" ht="60" customHeight="1" x14ac:dyDescent="0.35">
      <c r="A426" s="11" t="s">
        <v>1822</v>
      </c>
      <c r="B426" s="1" t="s">
        <v>1823</v>
      </c>
      <c r="C426" s="2" t="s">
        <v>16</v>
      </c>
      <c r="D426" s="3" t="s">
        <v>1235</v>
      </c>
      <c r="E426" s="4" t="s">
        <v>18</v>
      </c>
      <c r="F426" s="4" t="s">
        <v>19</v>
      </c>
      <c r="G426" s="4" t="s">
        <v>20</v>
      </c>
      <c r="H426" s="4" t="s">
        <v>21</v>
      </c>
      <c r="I426" s="5" t="s">
        <v>21</v>
      </c>
      <c r="J426" s="1" t="s">
        <v>1813</v>
      </c>
      <c r="K426" s="1" t="s">
        <v>1824</v>
      </c>
      <c r="L426" s="1" t="s">
        <v>1825</v>
      </c>
      <c r="M426" s="4" t="str">
        <f t="shared" si="1"/>
        <v>Outstanding</v>
      </c>
      <c r="N426" s="13" t="s">
        <v>21</v>
      </c>
    </row>
    <row r="427" spans="1:14" ht="60" customHeight="1" x14ac:dyDescent="0.35">
      <c r="A427" s="11" t="s">
        <v>1826</v>
      </c>
      <c r="B427" s="1" t="s">
        <v>1827</v>
      </c>
      <c r="C427" s="2" t="s">
        <v>16</v>
      </c>
      <c r="D427" s="3" t="s">
        <v>1235</v>
      </c>
      <c r="E427" s="4" t="s">
        <v>18</v>
      </c>
      <c r="F427" s="4" t="s">
        <v>19</v>
      </c>
      <c r="G427" s="4" t="s">
        <v>20</v>
      </c>
      <c r="H427" s="4" t="s">
        <v>21</v>
      </c>
      <c r="I427" s="5" t="s">
        <v>21</v>
      </c>
      <c r="J427" s="1" t="s">
        <v>1828</v>
      </c>
      <c r="K427" s="1" t="s">
        <v>1829</v>
      </c>
      <c r="L427" s="1" t="s">
        <v>1830</v>
      </c>
      <c r="M427" s="4" t="str">
        <f t="shared" si="1"/>
        <v>Outstanding</v>
      </c>
      <c r="N427" s="13" t="s">
        <v>21</v>
      </c>
    </row>
    <row r="428" spans="1:14" ht="60" customHeight="1" x14ac:dyDescent="0.35">
      <c r="A428" s="11" t="s">
        <v>1831</v>
      </c>
      <c r="B428" s="1" t="s">
        <v>1832</v>
      </c>
      <c r="C428" s="2" t="s">
        <v>16</v>
      </c>
      <c r="D428" s="3" t="s">
        <v>1235</v>
      </c>
      <c r="E428" s="4" t="s">
        <v>18</v>
      </c>
      <c r="F428" s="4" t="s">
        <v>19</v>
      </c>
      <c r="G428" s="4" t="s">
        <v>20</v>
      </c>
      <c r="H428" s="4" t="s">
        <v>21</v>
      </c>
      <c r="I428" s="5" t="s">
        <v>21</v>
      </c>
      <c r="J428" s="1" t="s">
        <v>1828</v>
      </c>
      <c r="K428" s="1" t="s">
        <v>1829</v>
      </c>
      <c r="L428" s="1" t="s">
        <v>1833</v>
      </c>
      <c r="M428" s="4" t="str">
        <f t="shared" si="1"/>
        <v>Outstanding</v>
      </c>
      <c r="N428" s="13" t="s">
        <v>21</v>
      </c>
    </row>
    <row r="429" spans="1:14" ht="60" customHeight="1" x14ac:dyDescent="0.35">
      <c r="A429" s="11" t="s">
        <v>1834</v>
      </c>
      <c r="B429" s="1" t="s">
        <v>1835</v>
      </c>
      <c r="C429" s="2" t="s">
        <v>16</v>
      </c>
      <c r="D429" s="3" t="s">
        <v>1235</v>
      </c>
      <c r="E429" s="4" t="s">
        <v>18</v>
      </c>
      <c r="F429" s="4" t="s">
        <v>19</v>
      </c>
      <c r="G429" s="4" t="s">
        <v>20</v>
      </c>
      <c r="H429" s="4" t="s">
        <v>21</v>
      </c>
      <c r="I429" s="5" t="s">
        <v>21</v>
      </c>
      <c r="J429" s="1" t="s">
        <v>1828</v>
      </c>
      <c r="K429" s="1" t="s">
        <v>1829</v>
      </c>
      <c r="L429" s="1" t="s">
        <v>1836</v>
      </c>
      <c r="M429" s="4" t="str">
        <f t="shared" si="1"/>
        <v>Outstanding</v>
      </c>
      <c r="N429" s="13" t="s">
        <v>21</v>
      </c>
    </row>
    <row r="430" spans="1:14" ht="60" customHeight="1" x14ac:dyDescent="0.35">
      <c r="A430" s="11" t="s">
        <v>1837</v>
      </c>
      <c r="B430" s="1" t="s">
        <v>1838</v>
      </c>
      <c r="C430" s="2" t="s">
        <v>16</v>
      </c>
      <c r="D430" s="3" t="s">
        <v>1235</v>
      </c>
      <c r="E430" s="4" t="s">
        <v>18</v>
      </c>
      <c r="F430" s="4" t="s">
        <v>19</v>
      </c>
      <c r="G430" s="4" t="s">
        <v>20</v>
      </c>
      <c r="H430" s="4" t="s">
        <v>21</v>
      </c>
      <c r="I430" s="5" t="s">
        <v>21</v>
      </c>
      <c r="J430" s="1" t="s">
        <v>1839</v>
      </c>
      <c r="K430" s="1" t="s">
        <v>1840</v>
      </c>
      <c r="L430" s="1" t="s">
        <v>1841</v>
      </c>
      <c r="M430" s="4" t="str">
        <f t="shared" si="1"/>
        <v>Outstanding</v>
      </c>
      <c r="N430" s="13" t="s">
        <v>21</v>
      </c>
    </row>
    <row r="431" spans="1:14" ht="60" customHeight="1" x14ac:dyDescent="0.35">
      <c r="A431" s="11" t="s">
        <v>1842</v>
      </c>
      <c r="B431" s="1" t="s">
        <v>1843</v>
      </c>
      <c r="C431" s="2" t="s">
        <v>16</v>
      </c>
      <c r="D431" s="3" t="s">
        <v>1235</v>
      </c>
      <c r="E431" s="4" t="s">
        <v>18</v>
      </c>
      <c r="F431" s="4" t="s">
        <v>19</v>
      </c>
      <c r="G431" s="4" t="s">
        <v>20</v>
      </c>
      <c r="H431" s="4" t="s">
        <v>21</v>
      </c>
      <c r="I431" s="5" t="s">
        <v>21</v>
      </c>
      <c r="J431" s="1" t="s">
        <v>1844</v>
      </c>
      <c r="K431" s="1" t="s">
        <v>1840</v>
      </c>
      <c r="L431" s="1" t="s">
        <v>1845</v>
      </c>
      <c r="M431" s="4" t="str">
        <f t="shared" si="1"/>
        <v>Outstanding</v>
      </c>
      <c r="N431" s="13" t="s">
        <v>21</v>
      </c>
    </row>
    <row r="432" spans="1:14" ht="60" customHeight="1" x14ac:dyDescent="0.35">
      <c r="A432" s="11" t="s">
        <v>1846</v>
      </c>
      <c r="B432" s="1" t="s">
        <v>1847</v>
      </c>
      <c r="C432" s="2" t="s">
        <v>16</v>
      </c>
      <c r="D432" s="3" t="s">
        <v>1235</v>
      </c>
      <c r="E432" s="4" t="s">
        <v>18</v>
      </c>
      <c r="F432" s="4" t="s">
        <v>19</v>
      </c>
      <c r="G432" s="4" t="s">
        <v>20</v>
      </c>
      <c r="H432" s="4" t="s">
        <v>21</v>
      </c>
      <c r="I432" s="5" t="s">
        <v>21</v>
      </c>
      <c r="J432" s="1" t="s">
        <v>1848</v>
      </c>
      <c r="K432" s="1" t="s">
        <v>1840</v>
      </c>
      <c r="L432" s="1" t="s">
        <v>1849</v>
      </c>
      <c r="M432" s="4" t="str">
        <f t="shared" si="1"/>
        <v>Outstanding</v>
      </c>
      <c r="N432" s="13" t="s">
        <v>21</v>
      </c>
    </row>
    <row r="433" spans="1:14" ht="60" customHeight="1" x14ac:dyDescent="0.35">
      <c r="A433" s="11" t="s">
        <v>1850</v>
      </c>
      <c r="B433" s="1" t="s">
        <v>1851</v>
      </c>
      <c r="C433" s="2" t="s">
        <v>16</v>
      </c>
      <c r="D433" s="3" t="s">
        <v>1235</v>
      </c>
      <c r="E433" s="4" t="s">
        <v>18</v>
      </c>
      <c r="F433" s="4" t="s">
        <v>19</v>
      </c>
      <c r="G433" s="4" t="s">
        <v>20</v>
      </c>
      <c r="H433" s="4" t="s">
        <v>21</v>
      </c>
      <c r="I433" s="5" t="s">
        <v>21</v>
      </c>
      <c r="J433" s="1" t="s">
        <v>1852</v>
      </c>
      <c r="K433" s="1" t="s">
        <v>1853</v>
      </c>
      <c r="L433" s="1" t="s">
        <v>1854</v>
      </c>
      <c r="M433" s="4" t="str">
        <f t="shared" si="1"/>
        <v>Outstanding</v>
      </c>
      <c r="N433" s="13" t="s">
        <v>21</v>
      </c>
    </row>
    <row r="434" spans="1:14" ht="60" customHeight="1" x14ac:dyDescent="0.35">
      <c r="A434" s="11" t="s">
        <v>1855</v>
      </c>
      <c r="B434" s="1" t="s">
        <v>1856</v>
      </c>
      <c r="C434" s="2" t="s">
        <v>16</v>
      </c>
      <c r="D434" s="3" t="s">
        <v>1235</v>
      </c>
      <c r="E434" s="4" t="s">
        <v>18</v>
      </c>
      <c r="F434" s="4" t="s">
        <v>19</v>
      </c>
      <c r="G434" s="4" t="s">
        <v>20</v>
      </c>
      <c r="H434" s="4" t="s">
        <v>21</v>
      </c>
      <c r="I434" s="5" t="s">
        <v>21</v>
      </c>
      <c r="J434" s="1" t="s">
        <v>1857</v>
      </c>
      <c r="K434" s="1" t="s">
        <v>1858</v>
      </c>
      <c r="L434" s="1" t="s">
        <v>1859</v>
      </c>
      <c r="M434" s="4" t="str">
        <f t="shared" si="1"/>
        <v>Outstanding</v>
      </c>
      <c r="N434" s="13" t="s">
        <v>21</v>
      </c>
    </row>
    <row r="435" spans="1:14" ht="60" customHeight="1" x14ac:dyDescent="0.35">
      <c r="A435" s="11" t="s">
        <v>1860</v>
      </c>
      <c r="B435" s="1" t="s">
        <v>1861</v>
      </c>
      <c r="C435" s="2" t="s">
        <v>16</v>
      </c>
      <c r="D435" s="3" t="s">
        <v>1235</v>
      </c>
      <c r="E435" s="4" t="s">
        <v>18</v>
      </c>
      <c r="F435" s="4" t="s">
        <v>19</v>
      </c>
      <c r="G435" s="4" t="s">
        <v>20</v>
      </c>
      <c r="H435" s="4" t="s">
        <v>21</v>
      </c>
      <c r="I435" s="5" t="s">
        <v>21</v>
      </c>
      <c r="J435" s="1" t="s">
        <v>1862</v>
      </c>
      <c r="K435" s="1" t="s">
        <v>1863</v>
      </c>
      <c r="L435" s="1" t="s">
        <v>1864</v>
      </c>
      <c r="M435" s="4" t="str">
        <f t="shared" si="1"/>
        <v>Outstanding</v>
      </c>
      <c r="N435" s="13" t="s">
        <v>21</v>
      </c>
    </row>
    <row r="436" spans="1:14" ht="60" customHeight="1" x14ac:dyDescent="0.35">
      <c r="A436" s="11" t="s">
        <v>1865</v>
      </c>
      <c r="B436" s="1" t="s">
        <v>1866</v>
      </c>
      <c r="C436" s="2" t="s">
        <v>16</v>
      </c>
      <c r="D436" s="3" t="s">
        <v>1235</v>
      </c>
      <c r="E436" s="4" t="s">
        <v>18</v>
      </c>
      <c r="F436" s="4" t="s">
        <v>19</v>
      </c>
      <c r="G436" s="4" t="s">
        <v>20</v>
      </c>
      <c r="H436" s="4" t="s">
        <v>21</v>
      </c>
      <c r="I436" s="5" t="s">
        <v>21</v>
      </c>
      <c r="J436" s="1" t="s">
        <v>1867</v>
      </c>
      <c r="K436" s="1" t="s">
        <v>1868</v>
      </c>
      <c r="L436" s="1" t="s">
        <v>1869</v>
      </c>
      <c r="M436" s="4" t="str">
        <f t="shared" si="1"/>
        <v>Outstanding</v>
      </c>
      <c r="N436" s="13" t="s">
        <v>21</v>
      </c>
    </row>
    <row r="437" spans="1:14" ht="60" customHeight="1" x14ac:dyDescent="0.35">
      <c r="A437" s="11" t="s">
        <v>1870</v>
      </c>
      <c r="B437" s="1" t="s">
        <v>1871</v>
      </c>
      <c r="C437" s="2" t="s">
        <v>16</v>
      </c>
      <c r="D437" s="3" t="s">
        <v>1235</v>
      </c>
      <c r="E437" s="4" t="s">
        <v>18</v>
      </c>
      <c r="F437" s="4" t="s">
        <v>19</v>
      </c>
      <c r="G437" s="4" t="s">
        <v>20</v>
      </c>
      <c r="H437" s="4" t="s">
        <v>21</v>
      </c>
      <c r="I437" s="5" t="s">
        <v>21</v>
      </c>
      <c r="J437" s="1" t="s">
        <v>1872</v>
      </c>
      <c r="K437" s="1" t="s">
        <v>1868</v>
      </c>
      <c r="L437" s="1" t="s">
        <v>1873</v>
      </c>
      <c r="M437" s="4" t="str">
        <f t="shared" si="1"/>
        <v>Outstanding</v>
      </c>
      <c r="N437" s="13" t="s">
        <v>21</v>
      </c>
    </row>
    <row r="438" spans="1:14" ht="60" customHeight="1" x14ac:dyDescent="0.35">
      <c r="A438" s="11" t="s">
        <v>1874</v>
      </c>
      <c r="B438" s="1" t="s">
        <v>1875</v>
      </c>
      <c r="C438" s="2" t="s">
        <v>16</v>
      </c>
      <c r="D438" s="3" t="s">
        <v>1235</v>
      </c>
      <c r="E438" s="4" t="s">
        <v>18</v>
      </c>
      <c r="F438" s="4" t="s">
        <v>19</v>
      </c>
      <c r="G438" s="4" t="s">
        <v>20</v>
      </c>
      <c r="H438" s="4" t="s">
        <v>21</v>
      </c>
      <c r="I438" s="5" t="s">
        <v>21</v>
      </c>
      <c r="J438" s="1" t="s">
        <v>1876</v>
      </c>
      <c r="K438" s="1" t="s">
        <v>1877</v>
      </c>
      <c r="L438" s="1" t="s">
        <v>1878</v>
      </c>
      <c r="M438" s="4" t="str">
        <f t="shared" si="1"/>
        <v>Outstanding</v>
      </c>
      <c r="N438" s="13" t="s">
        <v>21</v>
      </c>
    </row>
    <row r="439" spans="1:14" ht="60" customHeight="1" x14ac:dyDescent="0.35">
      <c r="A439" s="11" t="s">
        <v>1879</v>
      </c>
      <c r="B439" s="1" t="s">
        <v>1880</v>
      </c>
      <c r="C439" s="2" t="s">
        <v>16</v>
      </c>
      <c r="D439" s="3" t="s">
        <v>1235</v>
      </c>
      <c r="E439" s="4" t="s">
        <v>18</v>
      </c>
      <c r="F439" s="4" t="s">
        <v>19</v>
      </c>
      <c r="G439" s="4" t="s">
        <v>20</v>
      </c>
      <c r="H439" s="4" t="s">
        <v>21</v>
      </c>
      <c r="I439" s="5" t="s">
        <v>21</v>
      </c>
      <c r="J439" s="1" t="s">
        <v>1881</v>
      </c>
      <c r="K439" s="1" t="s">
        <v>1882</v>
      </c>
      <c r="L439" s="1" t="s">
        <v>1883</v>
      </c>
      <c r="M439" s="4" t="str">
        <f t="shared" si="1"/>
        <v>Outstanding</v>
      </c>
      <c r="N439" s="13" t="s">
        <v>21</v>
      </c>
    </row>
    <row r="440" spans="1:14" ht="60" customHeight="1" x14ac:dyDescent="0.35">
      <c r="A440" s="11" t="s">
        <v>1884</v>
      </c>
      <c r="B440" s="1" t="s">
        <v>1885</v>
      </c>
      <c r="C440" s="2" t="s">
        <v>16</v>
      </c>
      <c r="D440" s="3" t="s">
        <v>1235</v>
      </c>
      <c r="E440" s="4" t="s">
        <v>18</v>
      </c>
      <c r="F440" s="4" t="s">
        <v>19</v>
      </c>
      <c r="G440" s="4" t="s">
        <v>20</v>
      </c>
      <c r="H440" s="4" t="s">
        <v>21</v>
      </c>
      <c r="I440" s="5" t="s">
        <v>21</v>
      </c>
      <c r="J440" s="1" t="s">
        <v>1886</v>
      </c>
      <c r="K440" s="1" t="s">
        <v>1882</v>
      </c>
      <c r="L440" s="1" t="s">
        <v>1887</v>
      </c>
      <c r="M440" s="4" t="str">
        <f t="shared" si="1"/>
        <v>Outstanding</v>
      </c>
      <c r="N440" s="13" t="s">
        <v>21</v>
      </c>
    </row>
    <row r="441" spans="1:14" ht="60" customHeight="1" x14ac:dyDescent="0.35">
      <c r="A441" s="11" t="s">
        <v>1888</v>
      </c>
      <c r="B441" s="1" t="s">
        <v>1889</v>
      </c>
      <c r="C441" s="2" t="s">
        <v>16</v>
      </c>
      <c r="D441" s="3" t="s">
        <v>1235</v>
      </c>
      <c r="E441" s="4" t="s">
        <v>18</v>
      </c>
      <c r="F441" s="4" t="s">
        <v>19</v>
      </c>
      <c r="G441" s="4" t="s">
        <v>20</v>
      </c>
      <c r="H441" s="4" t="s">
        <v>21</v>
      </c>
      <c r="I441" s="5" t="s">
        <v>21</v>
      </c>
      <c r="J441" s="1" t="s">
        <v>1890</v>
      </c>
      <c r="K441" s="1" t="s">
        <v>1882</v>
      </c>
      <c r="L441" s="1" t="s">
        <v>1891</v>
      </c>
      <c r="M441" s="4" t="str">
        <f t="shared" si="1"/>
        <v>Outstanding</v>
      </c>
      <c r="N441" s="13" t="s">
        <v>21</v>
      </c>
    </row>
    <row r="442" spans="1:14" ht="60" customHeight="1" x14ac:dyDescent="0.35">
      <c r="A442" s="11" t="s">
        <v>1892</v>
      </c>
      <c r="B442" s="1" t="s">
        <v>1893</v>
      </c>
      <c r="C442" s="2" t="s">
        <v>16</v>
      </c>
      <c r="D442" s="3" t="s">
        <v>1235</v>
      </c>
      <c r="E442" s="4" t="s">
        <v>18</v>
      </c>
      <c r="F442" s="4" t="s">
        <v>19</v>
      </c>
      <c r="G442" s="4" t="s">
        <v>20</v>
      </c>
      <c r="H442" s="4" t="s">
        <v>21</v>
      </c>
      <c r="I442" s="5" t="s">
        <v>21</v>
      </c>
      <c r="J442" s="1" t="s">
        <v>1881</v>
      </c>
      <c r="K442" s="1" t="s">
        <v>1894</v>
      </c>
      <c r="L442" s="1" t="s">
        <v>1883</v>
      </c>
      <c r="M442" s="4" t="str">
        <f t="shared" si="1"/>
        <v>Outstanding</v>
      </c>
      <c r="N442" s="13" t="s">
        <v>21</v>
      </c>
    </row>
    <row r="443" spans="1:14" ht="60" customHeight="1" x14ac:dyDescent="0.35">
      <c r="A443" s="11" t="s">
        <v>1895</v>
      </c>
      <c r="B443" s="1" t="s">
        <v>1896</v>
      </c>
      <c r="C443" s="2" t="s">
        <v>16</v>
      </c>
      <c r="D443" s="3" t="s">
        <v>1235</v>
      </c>
      <c r="E443" s="4" t="s">
        <v>18</v>
      </c>
      <c r="F443" s="4" t="s">
        <v>19</v>
      </c>
      <c r="G443" s="4" t="s">
        <v>20</v>
      </c>
      <c r="H443" s="4" t="s">
        <v>21</v>
      </c>
      <c r="I443" s="5" t="s">
        <v>21</v>
      </c>
      <c r="J443" s="1" t="s">
        <v>1886</v>
      </c>
      <c r="K443" s="1" t="s">
        <v>1894</v>
      </c>
      <c r="L443" s="1" t="s">
        <v>1897</v>
      </c>
      <c r="M443" s="4" t="str">
        <f t="shared" si="1"/>
        <v>Outstanding</v>
      </c>
      <c r="N443" s="13" t="s">
        <v>21</v>
      </c>
    </row>
    <row r="444" spans="1:14" ht="60" customHeight="1" x14ac:dyDescent="0.35">
      <c r="A444" s="11" t="s">
        <v>1898</v>
      </c>
      <c r="B444" s="1" t="s">
        <v>1899</v>
      </c>
      <c r="C444" s="2" t="s">
        <v>16</v>
      </c>
      <c r="D444" s="3" t="s">
        <v>1235</v>
      </c>
      <c r="E444" s="4" t="s">
        <v>18</v>
      </c>
      <c r="F444" s="4" t="s">
        <v>19</v>
      </c>
      <c r="G444" s="4" t="s">
        <v>20</v>
      </c>
      <c r="H444" s="4" t="s">
        <v>21</v>
      </c>
      <c r="I444" s="5" t="s">
        <v>21</v>
      </c>
      <c r="J444" s="1" t="s">
        <v>1900</v>
      </c>
      <c r="K444" s="1" t="s">
        <v>1894</v>
      </c>
      <c r="L444" s="1" t="s">
        <v>1901</v>
      </c>
      <c r="M444" s="4" t="str">
        <f t="shared" si="1"/>
        <v>Outstanding</v>
      </c>
      <c r="N444" s="13" t="s">
        <v>21</v>
      </c>
    </row>
    <row r="445" spans="1:14" ht="60" customHeight="1" x14ac:dyDescent="0.35">
      <c r="A445" s="11" t="s">
        <v>1902</v>
      </c>
      <c r="B445" s="1" t="s">
        <v>1903</v>
      </c>
      <c r="C445" s="2" t="s">
        <v>16</v>
      </c>
      <c r="D445" s="3" t="s">
        <v>1235</v>
      </c>
      <c r="E445" s="4" t="s">
        <v>18</v>
      </c>
      <c r="F445" s="4" t="s">
        <v>19</v>
      </c>
      <c r="G445" s="4" t="s">
        <v>20</v>
      </c>
      <c r="H445" s="4" t="s">
        <v>21</v>
      </c>
      <c r="I445" s="5" t="s">
        <v>21</v>
      </c>
      <c r="J445" s="1" t="s">
        <v>1904</v>
      </c>
      <c r="K445" s="1" t="s">
        <v>1905</v>
      </c>
      <c r="L445" s="1" t="s">
        <v>1906</v>
      </c>
      <c r="M445" s="4" t="str">
        <f t="shared" si="1"/>
        <v>Outstanding</v>
      </c>
      <c r="N445" s="13" t="s">
        <v>21</v>
      </c>
    </row>
    <row r="446" spans="1:14" ht="60" customHeight="1" x14ac:dyDescent="0.35">
      <c r="A446" s="11" t="s">
        <v>1907</v>
      </c>
      <c r="B446" s="1" t="s">
        <v>1908</v>
      </c>
      <c r="C446" s="2" t="s">
        <v>16</v>
      </c>
      <c r="D446" s="3" t="s">
        <v>1235</v>
      </c>
      <c r="E446" s="4" t="s">
        <v>18</v>
      </c>
      <c r="F446" s="4" t="s">
        <v>19</v>
      </c>
      <c r="G446" s="4" t="s">
        <v>20</v>
      </c>
      <c r="H446" s="4" t="s">
        <v>21</v>
      </c>
      <c r="I446" s="5" t="s">
        <v>21</v>
      </c>
      <c r="J446" s="1" t="s">
        <v>1909</v>
      </c>
      <c r="K446" s="1" t="s">
        <v>1905</v>
      </c>
      <c r="L446" s="1" t="s">
        <v>1910</v>
      </c>
      <c r="M446" s="4" t="str">
        <f t="shared" si="1"/>
        <v>Outstanding</v>
      </c>
      <c r="N446" s="13" t="s">
        <v>21</v>
      </c>
    </row>
    <row r="447" spans="1:14" ht="60" customHeight="1" x14ac:dyDescent="0.35">
      <c r="A447" s="11" t="s">
        <v>1911</v>
      </c>
      <c r="B447" s="1" t="s">
        <v>1912</v>
      </c>
      <c r="C447" s="2" t="s">
        <v>16</v>
      </c>
      <c r="D447" s="3" t="s">
        <v>1235</v>
      </c>
      <c r="E447" s="4" t="s">
        <v>18</v>
      </c>
      <c r="F447" s="4" t="s">
        <v>19</v>
      </c>
      <c r="G447" s="4" t="s">
        <v>20</v>
      </c>
      <c r="H447" s="4" t="s">
        <v>21</v>
      </c>
      <c r="I447" s="5" t="s">
        <v>21</v>
      </c>
      <c r="J447" s="1" t="s">
        <v>1913</v>
      </c>
      <c r="K447" s="1" t="s">
        <v>1905</v>
      </c>
      <c r="L447" s="1" t="s">
        <v>1914</v>
      </c>
      <c r="M447" s="4" t="str">
        <f t="shared" si="1"/>
        <v>Outstanding</v>
      </c>
      <c r="N447" s="13" t="s">
        <v>21</v>
      </c>
    </row>
    <row r="448" spans="1:14" ht="60" customHeight="1" x14ac:dyDescent="0.35">
      <c r="A448" s="11" t="s">
        <v>1915</v>
      </c>
      <c r="B448" s="1" t="s">
        <v>1916</v>
      </c>
      <c r="C448" s="2" t="s">
        <v>16</v>
      </c>
      <c r="D448" s="3" t="s">
        <v>1235</v>
      </c>
      <c r="E448" s="4" t="s">
        <v>18</v>
      </c>
      <c r="F448" s="4" t="s">
        <v>19</v>
      </c>
      <c r="G448" s="4" t="s">
        <v>20</v>
      </c>
      <c r="H448" s="4" t="s">
        <v>21</v>
      </c>
      <c r="I448" s="5" t="s">
        <v>21</v>
      </c>
      <c r="J448" s="1" t="s">
        <v>1917</v>
      </c>
      <c r="K448" s="1" t="s">
        <v>1918</v>
      </c>
      <c r="L448" s="1" t="s">
        <v>1919</v>
      </c>
      <c r="M448" s="4" t="str">
        <f t="shared" si="1"/>
        <v>Outstanding</v>
      </c>
      <c r="N448" s="13" t="s">
        <v>21</v>
      </c>
    </row>
    <row r="449" spans="1:14" ht="60" customHeight="1" x14ac:dyDescent="0.35">
      <c r="A449" s="11" t="s">
        <v>1920</v>
      </c>
      <c r="B449" s="1" t="s">
        <v>1921</v>
      </c>
      <c r="C449" s="2" t="s">
        <v>16</v>
      </c>
      <c r="D449" s="3" t="s">
        <v>1235</v>
      </c>
      <c r="E449" s="4" t="s">
        <v>18</v>
      </c>
      <c r="F449" s="4" t="s">
        <v>19</v>
      </c>
      <c r="G449" s="4" t="s">
        <v>20</v>
      </c>
      <c r="H449" s="4" t="s">
        <v>21</v>
      </c>
      <c r="I449" s="5" t="s">
        <v>21</v>
      </c>
      <c r="J449" s="1" t="s">
        <v>1922</v>
      </c>
      <c r="K449" s="1" t="s">
        <v>1918</v>
      </c>
      <c r="L449" s="1" t="s">
        <v>1923</v>
      </c>
      <c r="M449" s="4" t="str">
        <f t="shared" si="1"/>
        <v>Outstanding</v>
      </c>
      <c r="N449" s="13" t="s">
        <v>21</v>
      </c>
    </row>
    <row r="450" spans="1:14" ht="60" customHeight="1" x14ac:dyDescent="0.35">
      <c r="A450" s="11" t="s">
        <v>1924</v>
      </c>
      <c r="B450" s="1" t="s">
        <v>1925</v>
      </c>
      <c r="C450" s="2" t="s">
        <v>16</v>
      </c>
      <c r="D450" s="3" t="s">
        <v>1235</v>
      </c>
      <c r="E450" s="4" t="s">
        <v>18</v>
      </c>
      <c r="F450" s="4" t="s">
        <v>19</v>
      </c>
      <c r="G450" s="4" t="s">
        <v>20</v>
      </c>
      <c r="H450" s="4" t="s">
        <v>21</v>
      </c>
      <c r="I450" s="5" t="s">
        <v>21</v>
      </c>
      <c r="J450" s="1" t="s">
        <v>1926</v>
      </c>
      <c r="K450" s="1" t="s">
        <v>1918</v>
      </c>
      <c r="L450" s="1" t="s">
        <v>1927</v>
      </c>
      <c r="M450" s="4" t="str">
        <f t="shared" si="1"/>
        <v>Outstanding</v>
      </c>
      <c r="N450" s="13" t="s">
        <v>21</v>
      </c>
    </row>
    <row r="451" spans="1:14" ht="60" customHeight="1" x14ac:dyDescent="0.35">
      <c r="A451" s="11" t="s">
        <v>1928</v>
      </c>
      <c r="B451" s="1" t="s">
        <v>1929</v>
      </c>
      <c r="C451" s="2" t="s">
        <v>163</v>
      </c>
      <c r="D451" s="3" t="s">
        <v>1235</v>
      </c>
      <c r="E451" s="4" t="s">
        <v>18</v>
      </c>
      <c r="F451" s="4" t="s">
        <v>19</v>
      </c>
      <c r="G451" s="4" t="s">
        <v>20</v>
      </c>
      <c r="H451" s="4" t="s">
        <v>21</v>
      </c>
      <c r="I451" s="5" t="s">
        <v>21</v>
      </c>
      <c r="J451" s="1" t="s">
        <v>1930</v>
      </c>
      <c r="K451" s="1" t="s">
        <v>1931</v>
      </c>
      <c r="L451" s="1" t="s">
        <v>1932</v>
      </c>
      <c r="M451" s="4" t="str">
        <f t="shared" si="1"/>
        <v>Outstanding</v>
      </c>
      <c r="N451" s="13" t="s">
        <v>21</v>
      </c>
    </row>
    <row r="452" spans="1:14" ht="60" customHeight="1" x14ac:dyDescent="0.35">
      <c r="A452" s="11" t="s">
        <v>1933</v>
      </c>
      <c r="B452" s="1" t="s">
        <v>1934</v>
      </c>
      <c r="C452" s="2" t="s">
        <v>163</v>
      </c>
      <c r="D452" s="3" t="s">
        <v>1235</v>
      </c>
      <c r="E452" s="4" t="s">
        <v>18</v>
      </c>
      <c r="F452" s="4" t="s">
        <v>19</v>
      </c>
      <c r="G452" s="4" t="s">
        <v>20</v>
      </c>
      <c r="H452" s="4" t="s">
        <v>21</v>
      </c>
      <c r="I452" s="5" t="s">
        <v>21</v>
      </c>
      <c r="J452" s="1" t="s">
        <v>1935</v>
      </c>
      <c r="K452" s="1" t="s">
        <v>1931</v>
      </c>
      <c r="L452" s="1" t="s">
        <v>1936</v>
      </c>
      <c r="M452" s="4" t="str">
        <f t="shared" si="1"/>
        <v>Outstanding</v>
      </c>
      <c r="N452" s="13" t="s">
        <v>21</v>
      </c>
    </row>
    <row r="453" spans="1:14" ht="60" customHeight="1" x14ac:dyDescent="0.35">
      <c r="A453" s="11" t="s">
        <v>1937</v>
      </c>
      <c r="B453" s="1" t="s">
        <v>1938</v>
      </c>
      <c r="C453" s="2" t="s">
        <v>163</v>
      </c>
      <c r="D453" s="3" t="s">
        <v>1235</v>
      </c>
      <c r="E453" s="4" t="s">
        <v>18</v>
      </c>
      <c r="F453" s="4" t="s">
        <v>19</v>
      </c>
      <c r="G453" s="4" t="s">
        <v>20</v>
      </c>
      <c r="H453" s="4" t="s">
        <v>21</v>
      </c>
      <c r="I453" s="5" t="s">
        <v>21</v>
      </c>
      <c r="J453" s="1" t="s">
        <v>1939</v>
      </c>
      <c r="K453" s="1" t="s">
        <v>1931</v>
      </c>
      <c r="L453" s="1" t="s">
        <v>1940</v>
      </c>
      <c r="M453" s="4" t="str">
        <f t="shared" si="1"/>
        <v>Outstanding</v>
      </c>
      <c r="N453" s="13" t="s">
        <v>21</v>
      </c>
    </row>
    <row r="454" spans="1:14" ht="60" customHeight="1" x14ac:dyDescent="0.35">
      <c r="A454" s="11" t="s">
        <v>1941</v>
      </c>
      <c r="B454" s="1" t="s">
        <v>1942</v>
      </c>
      <c r="C454" s="2" t="s">
        <v>16</v>
      </c>
      <c r="D454" s="3" t="s">
        <v>1235</v>
      </c>
      <c r="E454" s="4" t="s">
        <v>18</v>
      </c>
      <c r="F454" s="4" t="s">
        <v>19</v>
      </c>
      <c r="G454" s="4" t="s">
        <v>20</v>
      </c>
      <c r="H454" s="4" t="s">
        <v>21</v>
      </c>
      <c r="I454" s="5" t="s">
        <v>21</v>
      </c>
      <c r="J454" s="1" t="s">
        <v>1943</v>
      </c>
      <c r="K454" s="1" t="s">
        <v>1944</v>
      </c>
      <c r="L454" s="1" t="s">
        <v>1945</v>
      </c>
      <c r="M454" s="4" t="str">
        <f t="shared" si="1"/>
        <v>Outstanding</v>
      </c>
      <c r="N454" s="13" t="s">
        <v>21</v>
      </c>
    </row>
    <row r="455" spans="1:14" ht="60" customHeight="1" x14ac:dyDescent="0.35">
      <c r="A455" s="11" t="s">
        <v>1946</v>
      </c>
      <c r="B455" s="1" t="s">
        <v>1947</v>
      </c>
      <c r="C455" s="2" t="s">
        <v>16</v>
      </c>
      <c r="D455" s="3" t="s">
        <v>1235</v>
      </c>
      <c r="E455" s="4" t="s">
        <v>18</v>
      </c>
      <c r="F455" s="4" t="s">
        <v>19</v>
      </c>
      <c r="G455" s="4" t="s">
        <v>20</v>
      </c>
      <c r="H455" s="4" t="s">
        <v>21</v>
      </c>
      <c r="I455" s="5" t="s">
        <v>21</v>
      </c>
      <c r="J455" s="1" t="s">
        <v>1948</v>
      </c>
      <c r="K455" s="1" t="s">
        <v>1944</v>
      </c>
      <c r="L455" s="1" t="s">
        <v>1949</v>
      </c>
      <c r="M455" s="4" t="str">
        <f t="shared" si="1"/>
        <v>Outstanding</v>
      </c>
      <c r="N455" s="13" t="s">
        <v>21</v>
      </c>
    </row>
    <row r="456" spans="1:14" ht="60" customHeight="1" x14ac:dyDescent="0.35">
      <c r="A456" s="11" t="s">
        <v>1950</v>
      </c>
      <c r="B456" s="1" t="s">
        <v>1951</v>
      </c>
      <c r="C456" s="2" t="s">
        <v>16</v>
      </c>
      <c r="D456" s="3" t="s">
        <v>1235</v>
      </c>
      <c r="E456" s="4" t="s">
        <v>18</v>
      </c>
      <c r="F456" s="4" t="s">
        <v>19</v>
      </c>
      <c r="G456" s="4" t="s">
        <v>20</v>
      </c>
      <c r="H456" s="4" t="s">
        <v>21</v>
      </c>
      <c r="I456" s="5" t="s">
        <v>21</v>
      </c>
      <c r="J456" s="1" t="s">
        <v>1952</v>
      </c>
      <c r="K456" s="1" t="s">
        <v>1944</v>
      </c>
      <c r="L456" s="1" t="s">
        <v>1953</v>
      </c>
      <c r="M456" s="4" t="str">
        <f t="shared" si="1"/>
        <v>Outstanding</v>
      </c>
      <c r="N456" s="13" t="s">
        <v>21</v>
      </c>
    </row>
    <row r="457" spans="1:14" ht="60" customHeight="1" x14ac:dyDescent="0.35">
      <c r="A457" s="11" t="s">
        <v>1954</v>
      </c>
      <c r="B457" s="1" t="s">
        <v>1955</v>
      </c>
      <c r="C457" s="2" t="s">
        <v>16</v>
      </c>
      <c r="D457" s="3" t="s">
        <v>1235</v>
      </c>
      <c r="E457" s="4" t="s">
        <v>18</v>
      </c>
      <c r="F457" s="4" t="s">
        <v>19</v>
      </c>
      <c r="G457" s="4" t="s">
        <v>20</v>
      </c>
      <c r="H457" s="4" t="s">
        <v>21</v>
      </c>
      <c r="I457" s="5" t="s">
        <v>21</v>
      </c>
      <c r="J457" s="1" t="s">
        <v>1930</v>
      </c>
      <c r="K457" s="1" t="s">
        <v>1956</v>
      </c>
      <c r="L457" s="1" t="s">
        <v>1932</v>
      </c>
      <c r="M457" s="4" t="str">
        <f t="shared" si="1"/>
        <v>Outstanding</v>
      </c>
      <c r="N457" s="13" t="s">
        <v>21</v>
      </c>
    </row>
    <row r="458" spans="1:14" ht="60" customHeight="1" x14ac:dyDescent="0.35">
      <c r="A458" s="11" t="s">
        <v>1957</v>
      </c>
      <c r="B458" s="1" t="s">
        <v>1958</v>
      </c>
      <c r="C458" s="2" t="s">
        <v>16</v>
      </c>
      <c r="D458" s="3" t="s">
        <v>1235</v>
      </c>
      <c r="E458" s="4" t="s">
        <v>18</v>
      </c>
      <c r="F458" s="4" t="s">
        <v>19</v>
      </c>
      <c r="G458" s="4" t="s">
        <v>20</v>
      </c>
      <c r="H458" s="4" t="s">
        <v>21</v>
      </c>
      <c r="I458" s="5" t="s">
        <v>21</v>
      </c>
      <c r="J458" s="1" t="s">
        <v>1935</v>
      </c>
      <c r="K458" s="1" t="s">
        <v>1956</v>
      </c>
      <c r="L458" s="1" t="s">
        <v>1936</v>
      </c>
      <c r="M458" s="4" t="str">
        <f t="shared" si="1"/>
        <v>Outstanding</v>
      </c>
      <c r="N458" s="13" t="s">
        <v>21</v>
      </c>
    </row>
    <row r="459" spans="1:14" ht="60" customHeight="1" x14ac:dyDescent="0.35">
      <c r="A459" s="11" t="s">
        <v>1959</v>
      </c>
      <c r="B459" s="1" t="s">
        <v>1960</v>
      </c>
      <c r="C459" s="2" t="s">
        <v>16</v>
      </c>
      <c r="D459" s="3" t="s">
        <v>1235</v>
      </c>
      <c r="E459" s="4" t="s">
        <v>18</v>
      </c>
      <c r="F459" s="4" t="s">
        <v>19</v>
      </c>
      <c r="G459" s="4" t="s">
        <v>20</v>
      </c>
      <c r="H459" s="4" t="s">
        <v>21</v>
      </c>
      <c r="I459" s="5" t="s">
        <v>21</v>
      </c>
      <c r="J459" s="1" t="s">
        <v>1939</v>
      </c>
      <c r="K459" s="1" t="s">
        <v>1961</v>
      </c>
      <c r="L459" s="1" t="s">
        <v>1940</v>
      </c>
      <c r="M459" s="4" t="str">
        <f t="shared" si="1"/>
        <v>Outstanding</v>
      </c>
      <c r="N459" s="13" t="s">
        <v>21</v>
      </c>
    </row>
    <row r="460" spans="1:14" ht="60" customHeight="1" x14ac:dyDescent="0.35">
      <c r="A460" s="11" t="s">
        <v>1962</v>
      </c>
      <c r="B460" s="1" t="s">
        <v>1963</v>
      </c>
      <c r="C460" s="2" t="s">
        <v>16</v>
      </c>
      <c r="D460" s="3" t="s">
        <v>1235</v>
      </c>
      <c r="E460" s="4" t="s">
        <v>18</v>
      </c>
      <c r="F460" s="4" t="s">
        <v>19</v>
      </c>
      <c r="G460" s="4" t="s">
        <v>20</v>
      </c>
      <c r="H460" s="4" t="s">
        <v>21</v>
      </c>
      <c r="I460" s="5" t="s">
        <v>21</v>
      </c>
      <c r="J460" s="1" t="s">
        <v>1964</v>
      </c>
      <c r="K460" s="1" t="s">
        <v>1965</v>
      </c>
      <c r="L460" s="1" t="s">
        <v>227</v>
      </c>
      <c r="M460" s="4" t="str">
        <f t="shared" si="1"/>
        <v>Outstanding</v>
      </c>
      <c r="N460" s="13" t="s">
        <v>21</v>
      </c>
    </row>
    <row r="461" spans="1:14" ht="60" customHeight="1" x14ac:dyDescent="0.35">
      <c r="A461" s="12" t="s">
        <v>1966</v>
      </c>
      <c r="B461" s="6" t="s">
        <v>1967</v>
      </c>
      <c r="C461" s="7" t="s">
        <v>16</v>
      </c>
      <c r="D461" s="8" t="s">
        <v>1235</v>
      </c>
      <c r="E461" s="9" t="s">
        <v>18</v>
      </c>
      <c r="F461" s="9" t="s">
        <v>19</v>
      </c>
      <c r="G461" s="9" t="s">
        <v>20</v>
      </c>
      <c r="H461" s="9" t="s">
        <v>21</v>
      </c>
      <c r="I461" s="10" t="s">
        <v>21</v>
      </c>
      <c r="J461" s="6" t="s">
        <v>1968</v>
      </c>
      <c r="K461" s="6" t="s">
        <v>1969</v>
      </c>
      <c r="L461" s="6" t="s">
        <v>1970</v>
      </c>
      <c r="M461" s="9" t="str">
        <f t="shared" si="1"/>
        <v>Outstanding</v>
      </c>
      <c r="N461" s="14" t="s">
        <v>21</v>
      </c>
    </row>
    <row r="465" spans="1:4" ht="32" customHeight="1" x14ac:dyDescent="0.35">
      <c r="A465" s="291" t="s">
        <v>1971</v>
      </c>
      <c r="B465" s="291"/>
      <c r="C465" s="291"/>
      <c r="D465" s="291"/>
    </row>
  </sheetData>
  <mergeCells count="1">
    <mergeCell ref="A465:D465"/>
  </mergeCells>
  <conditionalFormatting sqref="C2:C461">
    <cfRule type="expression" dxfId="73" priority="14">
      <formula>LEFT($C2,7)="CAT III"</formula>
    </cfRule>
    <cfRule type="expression" dxfId="72" priority="15">
      <formula>LEFT($C2,6)="CAT II"</formula>
    </cfRule>
    <cfRule type="expression" dxfId="71" priority="16">
      <formula>LEFT($C2,5)="CAT I"</formula>
    </cfRule>
  </conditionalFormatting>
  <conditionalFormatting sqref="E2:E461">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F2:F461">
    <cfRule type="cellIs" dxfId="66" priority="5" operator="equal">
      <formula>"Low"</formula>
    </cfRule>
    <cfRule type="cellIs" dxfId="65" priority="6" operator="equal">
      <formula>"Medium"</formula>
    </cfRule>
    <cfRule type="cellIs" dxfId="64" priority="7" operator="equal">
      <formula>"High"</formula>
    </cfRule>
  </conditionalFormatting>
  <conditionalFormatting sqref="H2:H461">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E2:E461" xr:uid="{00000000-0002-0000-0200-000000000000}">
      <formula1>"Must,Should,Could,Won't,Unassigned"</formula1>
    </dataValidation>
    <dataValidation type="list" showErrorMessage="1" errorTitle="Invalid Value" error="Please select a value from the list: Low, Medium, High, Unassessed." sqref="F2:F461" xr:uid="{00000000-0002-0000-0200-000001000000}">
      <formula1>"Low,Medium,High,Unassessed"</formula1>
    </dataValidation>
    <dataValidation type="list" showErrorMessage="1" errorTitle="Invalid Value" error="Please select a value from the list: Phase1, Phase2, Phase3, Phase4, Phase5, Pending." sqref="G2:G461"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H2:H461" xr:uid="{00000000-0002-0000-0200-000003000000}">
      <formula1>"Implemented,Testing,Failed,Compensated,Risk Accepted,N/A"</formula1>
    </dataValidation>
  </dataValidations>
  <hyperlinks>
    <hyperlink ref="A465"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8" t="s">
        <v>2126</v>
      </c>
      <c r="C2" s="308" t="s">
        <v>2126</v>
      </c>
      <c r="D2" s="308" t="s">
        <v>2126</v>
      </c>
      <c r="E2" s="308" t="s">
        <v>2126</v>
      </c>
      <c r="F2" s="308" t="s">
        <v>2126</v>
      </c>
      <c r="G2" s="308" t="s">
        <v>2126</v>
      </c>
      <c r="H2" s="312" t="s">
        <v>2127</v>
      </c>
      <c r="I2" s="312" t="s">
        <v>2127</v>
      </c>
      <c r="J2" s="312" t="s">
        <v>2127</v>
      </c>
      <c r="K2" s="312" t="s">
        <v>2127</v>
      </c>
      <c r="L2" s="312" t="s">
        <v>2127</v>
      </c>
      <c r="M2" s="311" t="s">
        <v>2128</v>
      </c>
      <c r="N2" s="311" t="s">
        <v>2128</v>
      </c>
      <c r="O2" s="313" t="s">
        <v>2129</v>
      </c>
      <c r="P2" s="313" t="s">
        <v>2129</v>
      </c>
      <c r="Q2" s="309" t="s">
        <v>12</v>
      </c>
      <c r="R2" s="309" t="s">
        <v>12</v>
      </c>
      <c r="S2" s="309" t="s">
        <v>12</v>
      </c>
      <c r="T2" s="310" t="s">
        <v>2130</v>
      </c>
    </row>
    <row r="3" spans="2:20" ht="35" customHeight="1" x14ac:dyDescent="0.35">
      <c r="B3" s="73" t="s">
        <v>2131</v>
      </c>
      <c r="C3" s="73" t="s">
        <v>2132</v>
      </c>
      <c r="D3" s="73" t="s">
        <v>2133</v>
      </c>
      <c r="E3" s="73" t="s">
        <v>2134</v>
      </c>
      <c r="F3" s="73" t="s">
        <v>2135</v>
      </c>
      <c r="G3" s="73" t="s">
        <v>10</v>
      </c>
      <c r="H3" s="74" t="s">
        <v>2136</v>
      </c>
      <c r="I3" s="74" t="s">
        <v>2137</v>
      </c>
      <c r="J3" s="74" t="s">
        <v>2138</v>
      </c>
      <c r="K3" s="74" t="s">
        <v>2139</v>
      </c>
      <c r="L3" s="74" t="s">
        <v>2070</v>
      </c>
      <c r="M3" s="75" t="s">
        <v>2140</v>
      </c>
      <c r="N3" s="75" t="s">
        <v>2141</v>
      </c>
      <c r="O3" s="76" t="s">
        <v>2142</v>
      </c>
      <c r="P3" s="76" t="s">
        <v>2143</v>
      </c>
      <c r="Q3" s="77" t="s">
        <v>12</v>
      </c>
      <c r="R3" s="77" t="s">
        <v>2144</v>
      </c>
      <c r="S3" s="77" t="s">
        <v>2145</v>
      </c>
      <c r="T3" s="78" t="s">
        <v>2146</v>
      </c>
    </row>
    <row r="4" spans="2:20" ht="60" customHeight="1" x14ac:dyDescent="0.35">
      <c r="B4" s="79" t="s">
        <v>2147</v>
      </c>
      <c r="C4" s="79" t="s">
        <v>2148</v>
      </c>
      <c r="D4" s="79" t="s">
        <v>2149</v>
      </c>
      <c r="E4" s="79" t="s">
        <v>2150</v>
      </c>
      <c r="F4" s="79" t="s">
        <v>2151</v>
      </c>
      <c r="G4" s="79" t="s">
        <v>2152</v>
      </c>
      <c r="H4" s="79" t="s">
        <v>2153</v>
      </c>
      <c r="I4" s="79" t="s">
        <v>2154</v>
      </c>
      <c r="J4" s="79" t="s">
        <v>2155</v>
      </c>
      <c r="K4" s="79" t="s">
        <v>2156</v>
      </c>
      <c r="L4" s="79" t="s">
        <v>2157</v>
      </c>
      <c r="M4" s="79" t="s">
        <v>2158</v>
      </c>
      <c r="N4" s="79" t="s">
        <v>2159</v>
      </c>
      <c r="O4" s="79" t="s">
        <v>2160</v>
      </c>
      <c r="P4" s="79" t="s">
        <v>2161</v>
      </c>
      <c r="Q4" s="79" t="s">
        <v>2162</v>
      </c>
      <c r="R4" s="79" t="s">
        <v>2163</v>
      </c>
      <c r="S4" s="79" t="s">
        <v>2164</v>
      </c>
      <c r="T4" s="79" t="s">
        <v>2165</v>
      </c>
    </row>
    <row r="5" spans="2:20" ht="60" customHeight="1" x14ac:dyDescent="0.35">
      <c r="B5" s="41" t="s">
        <v>2166</v>
      </c>
      <c r="C5" s="80"/>
      <c r="D5" s="81"/>
      <c r="E5" s="81" t="s">
        <v>21</v>
      </c>
      <c r="F5" s="81" t="str">
        <f>IF(E5&lt;&gt;"", IFERROR(VLOOKUP(E5, Dashboard!$B48:$F53, 5, FALSE), ""), "")</f>
        <v/>
      </c>
      <c r="G5" s="82"/>
      <c r="H5" s="69"/>
      <c r="I5" s="69"/>
      <c r="J5" s="82"/>
      <c r="K5" s="82"/>
      <c r="L5" s="43"/>
      <c r="M5" s="43"/>
      <c r="N5" s="82"/>
      <c r="O5" s="82"/>
      <c r="P5" s="43"/>
      <c r="Q5" s="43" t="s">
        <v>21</v>
      </c>
      <c r="R5" s="82"/>
      <c r="S5" s="69"/>
      <c r="T5" s="82"/>
    </row>
    <row r="6" spans="2:20" ht="60" customHeight="1" x14ac:dyDescent="0.35">
      <c r="B6" s="41" t="s">
        <v>2167</v>
      </c>
      <c r="C6" s="80"/>
      <c r="D6" s="81"/>
      <c r="E6" s="81" t="s">
        <v>21</v>
      </c>
      <c r="F6" s="81" t="str">
        <f>IF(E6&lt;&gt;"", IFERROR(VLOOKUP(E6, Dashboard!$B48:$F53, 5, FALSE), ""), "")</f>
        <v/>
      </c>
      <c r="G6" s="82"/>
      <c r="H6" s="69"/>
      <c r="I6" s="69"/>
      <c r="J6" s="82"/>
      <c r="K6" s="82"/>
      <c r="L6" s="43"/>
      <c r="M6" s="43"/>
      <c r="N6" s="82"/>
      <c r="O6" s="82"/>
      <c r="P6" s="43"/>
      <c r="Q6" s="43" t="s">
        <v>21</v>
      </c>
      <c r="R6" s="82"/>
      <c r="S6" s="69"/>
      <c r="T6" s="82"/>
    </row>
    <row r="7" spans="2:20" ht="60" customHeight="1" x14ac:dyDescent="0.35">
      <c r="B7" s="41" t="s">
        <v>2168</v>
      </c>
      <c r="C7" s="80"/>
      <c r="D7" s="81"/>
      <c r="E7" s="81" t="s">
        <v>21</v>
      </c>
      <c r="F7" s="81" t="str">
        <f>IF(E7&lt;&gt;"", IFERROR(VLOOKUP(E7, Dashboard!$B48:$F53, 5, FALSE), ""), "")</f>
        <v/>
      </c>
      <c r="G7" s="82"/>
      <c r="H7" s="69"/>
      <c r="I7" s="69"/>
      <c r="J7" s="82"/>
      <c r="K7" s="82"/>
      <c r="L7" s="43"/>
      <c r="M7" s="43"/>
      <c r="N7" s="82"/>
      <c r="O7" s="82"/>
      <c r="P7" s="43"/>
      <c r="Q7" s="43" t="s">
        <v>21</v>
      </c>
      <c r="R7" s="82"/>
      <c r="S7" s="69"/>
      <c r="T7" s="82"/>
    </row>
    <row r="8" spans="2:20" ht="60" customHeight="1" x14ac:dyDescent="0.35">
      <c r="B8" s="41" t="s">
        <v>2169</v>
      </c>
      <c r="C8" s="80"/>
      <c r="D8" s="81"/>
      <c r="E8" s="81" t="s">
        <v>21</v>
      </c>
      <c r="F8" s="81" t="str">
        <f>IF(E8&lt;&gt;"", IFERROR(VLOOKUP(E8, Dashboard!$B48:$F53, 5, FALSE), ""), "")</f>
        <v/>
      </c>
      <c r="G8" s="82"/>
      <c r="H8" s="69"/>
      <c r="I8" s="69"/>
      <c r="J8" s="82"/>
      <c r="K8" s="82"/>
      <c r="L8" s="43"/>
      <c r="M8" s="43"/>
      <c r="N8" s="82"/>
      <c r="O8" s="82"/>
      <c r="P8" s="43"/>
      <c r="Q8" s="43" t="s">
        <v>21</v>
      </c>
      <c r="R8" s="82"/>
      <c r="S8" s="69"/>
      <c r="T8" s="82"/>
    </row>
    <row r="9" spans="2:20" ht="60" customHeight="1" x14ac:dyDescent="0.35">
      <c r="B9" s="41" t="s">
        <v>2170</v>
      </c>
      <c r="C9" s="80"/>
      <c r="D9" s="81"/>
      <c r="E9" s="81" t="s">
        <v>21</v>
      </c>
      <c r="F9" s="81" t="str">
        <f>IF(E9&lt;&gt;"", IFERROR(VLOOKUP(E9, Dashboard!$B48:$F53, 5, FALSE), ""), "")</f>
        <v/>
      </c>
      <c r="G9" s="82"/>
      <c r="H9" s="69"/>
      <c r="I9" s="69"/>
      <c r="J9" s="82"/>
      <c r="K9" s="82"/>
      <c r="L9" s="43"/>
      <c r="M9" s="43"/>
      <c r="N9" s="82"/>
      <c r="O9" s="82"/>
      <c r="P9" s="43"/>
      <c r="Q9" s="43" t="s">
        <v>21</v>
      </c>
      <c r="R9" s="82"/>
      <c r="S9" s="69"/>
      <c r="T9" s="82"/>
    </row>
    <row r="10" spans="2:20" ht="60" customHeight="1" x14ac:dyDescent="0.35">
      <c r="B10" s="41" t="s">
        <v>2171</v>
      </c>
      <c r="C10" s="80"/>
      <c r="D10" s="81"/>
      <c r="E10" s="81" t="s">
        <v>21</v>
      </c>
      <c r="F10" s="81" t="str">
        <f>IF(E10&lt;&gt;"", IFERROR(VLOOKUP(E10, Dashboard!$B48:$F53, 5, FALSE), ""), "")</f>
        <v/>
      </c>
      <c r="G10" s="82"/>
      <c r="H10" s="69"/>
      <c r="I10" s="69"/>
      <c r="J10" s="82"/>
      <c r="K10" s="82"/>
      <c r="L10" s="43"/>
      <c r="M10" s="43"/>
      <c r="N10" s="82"/>
      <c r="O10" s="82"/>
      <c r="P10" s="43"/>
      <c r="Q10" s="43" t="s">
        <v>21</v>
      </c>
      <c r="R10" s="82"/>
      <c r="S10" s="69"/>
      <c r="T10" s="82"/>
    </row>
    <row r="11" spans="2:20" ht="60" customHeight="1" x14ac:dyDescent="0.35">
      <c r="B11" s="41" t="s">
        <v>2172</v>
      </c>
      <c r="C11" s="80"/>
      <c r="D11" s="81"/>
      <c r="E11" s="81" t="s">
        <v>21</v>
      </c>
      <c r="F11" s="81" t="str">
        <f>IF(E11&lt;&gt;"", IFERROR(VLOOKUP(E11, Dashboard!$B48:$F53, 5, FALSE), ""), "")</f>
        <v/>
      </c>
      <c r="G11" s="82"/>
      <c r="H11" s="69"/>
      <c r="I11" s="69"/>
      <c r="J11" s="82"/>
      <c r="K11" s="82"/>
      <c r="L11" s="43"/>
      <c r="M11" s="43"/>
      <c r="N11" s="82"/>
      <c r="O11" s="82"/>
      <c r="P11" s="43"/>
      <c r="Q11" s="43" t="s">
        <v>21</v>
      </c>
      <c r="R11" s="82"/>
      <c r="S11" s="69"/>
      <c r="T11" s="82"/>
    </row>
    <row r="12" spans="2:20" ht="60" customHeight="1" x14ac:dyDescent="0.35">
      <c r="B12" s="41" t="s">
        <v>2173</v>
      </c>
      <c r="C12" s="80"/>
      <c r="D12" s="81"/>
      <c r="E12" s="81" t="s">
        <v>21</v>
      </c>
      <c r="F12" s="81" t="str">
        <f>IF(E12&lt;&gt;"", IFERROR(VLOOKUP(E12, Dashboard!$B48:$F53, 5, FALSE), ""), "")</f>
        <v/>
      </c>
      <c r="G12" s="82"/>
      <c r="H12" s="69"/>
      <c r="I12" s="69"/>
      <c r="J12" s="82"/>
      <c r="K12" s="82"/>
      <c r="L12" s="43"/>
      <c r="M12" s="43"/>
      <c r="N12" s="82"/>
      <c r="O12" s="82"/>
      <c r="P12" s="43"/>
      <c r="Q12" s="43" t="s">
        <v>21</v>
      </c>
      <c r="R12" s="82"/>
      <c r="S12" s="69"/>
      <c r="T12" s="82"/>
    </row>
    <row r="13" spans="2:20" ht="60" customHeight="1" x14ac:dyDescent="0.35">
      <c r="B13" s="41" t="s">
        <v>2174</v>
      </c>
      <c r="C13" s="80"/>
      <c r="D13" s="81"/>
      <c r="E13" s="81" t="s">
        <v>21</v>
      </c>
      <c r="F13" s="81" t="str">
        <f>IF(E13&lt;&gt;"", IFERROR(VLOOKUP(E13, Dashboard!$B48:$F53, 5, FALSE), ""), "")</f>
        <v/>
      </c>
      <c r="G13" s="82"/>
      <c r="H13" s="69"/>
      <c r="I13" s="69"/>
      <c r="J13" s="82"/>
      <c r="K13" s="82"/>
      <c r="L13" s="43"/>
      <c r="M13" s="43"/>
      <c r="N13" s="82"/>
      <c r="O13" s="82"/>
      <c r="P13" s="43"/>
      <c r="Q13" s="43" t="s">
        <v>21</v>
      </c>
      <c r="R13" s="82"/>
      <c r="S13" s="69"/>
      <c r="T13" s="82"/>
    </row>
    <row r="14" spans="2:20" ht="60" customHeight="1" x14ac:dyDescent="0.35">
      <c r="B14" s="41" t="s">
        <v>2175</v>
      </c>
      <c r="C14" s="80"/>
      <c r="D14" s="81"/>
      <c r="E14" s="81" t="s">
        <v>21</v>
      </c>
      <c r="F14" s="81" t="str">
        <f>IF(E14&lt;&gt;"", IFERROR(VLOOKUP(E14, Dashboard!$B48:$F53, 5, FALSE), ""), "")</f>
        <v/>
      </c>
      <c r="G14" s="82"/>
      <c r="H14" s="69"/>
      <c r="I14" s="69"/>
      <c r="J14" s="82"/>
      <c r="K14" s="82"/>
      <c r="L14" s="43"/>
      <c r="M14" s="43"/>
      <c r="N14" s="82"/>
      <c r="O14" s="82"/>
      <c r="P14" s="43"/>
      <c r="Q14" s="43" t="s">
        <v>21</v>
      </c>
      <c r="R14" s="82"/>
      <c r="S14" s="69"/>
      <c r="T14" s="82"/>
    </row>
    <row r="15" spans="2:20" ht="60" customHeight="1" x14ac:dyDescent="0.35">
      <c r="B15" s="41" t="s">
        <v>2176</v>
      </c>
      <c r="C15" s="80"/>
      <c r="D15" s="81"/>
      <c r="E15" s="81" t="s">
        <v>21</v>
      </c>
      <c r="F15" s="81" t="str">
        <f>IF(E15&lt;&gt;"", IFERROR(VLOOKUP(E15, Dashboard!$B48:$F53, 5, FALSE), ""), "")</f>
        <v/>
      </c>
      <c r="G15" s="82"/>
      <c r="H15" s="69"/>
      <c r="I15" s="69"/>
      <c r="J15" s="82"/>
      <c r="K15" s="82"/>
      <c r="L15" s="43"/>
      <c r="M15" s="43"/>
      <c r="N15" s="82"/>
      <c r="O15" s="82"/>
      <c r="P15" s="43"/>
      <c r="Q15" s="43" t="s">
        <v>21</v>
      </c>
      <c r="R15" s="82"/>
      <c r="S15" s="69"/>
      <c r="T15" s="82"/>
    </row>
    <row r="16" spans="2:20" ht="60" customHeight="1" x14ac:dyDescent="0.35">
      <c r="B16" s="41" t="s">
        <v>2177</v>
      </c>
      <c r="C16" s="80"/>
      <c r="D16" s="81"/>
      <c r="E16" s="81" t="s">
        <v>21</v>
      </c>
      <c r="F16" s="81" t="str">
        <f>IF(E16&lt;&gt;"", IFERROR(VLOOKUP(E16, Dashboard!$B48:$F53, 5, FALSE), ""), "")</f>
        <v/>
      </c>
      <c r="G16" s="82"/>
      <c r="H16" s="69"/>
      <c r="I16" s="69"/>
      <c r="J16" s="82"/>
      <c r="K16" s="82"/>
      <c r="L16" s="43"/>
      <c r="M16" s="43"/>
      <c r="N16" s="82"/>
      <c r="O16" s="82"/>
      <c r="P16" s="43"/>
      <c r="Q16" s="43" t="s">
        <v>21</v>
      </c>
      <c r="R16" s="82"/>
      <c r="S16" s="69"/>
      <c r="T16" s="82"/>
    </row>
    <row r="17" spans="2:20" ht="60" customHeight="1" x14ac:dyDescent="0.35">
      <c r="B17" s="41" t="s">
        <v>2178</v>
      </c>
      <c r="C17" s="80"/>
      <c r="D17" s="81"/>
      <c r="E17" s="81" t="s">
        <v>21</v>
      </c>
      <c r="F17" s="81" t="str">
        <f>IF(E17&lt;&gt;"", IFERROR(VLOOKUP(E17, Dashboard!$B48:$F53, 5, FALSE), ""), "")</f>
        <v/>
      </c>
      <c r="G17" s="82"/>
      <c r="H17" s="69"/>
      <c r="I17" s="69"/>
      <c r="J17" s="82"/>
      <c r="K17" s="82"/>
      <c r="L17" s="43"/>
      <c r="M17" s="43"/>
      <c r="N17" s="82"/>
      <c r="O17" s="82"/>
      <c r="P17" s="43"/>
      <c r="Q17" s="43" t="s">
        <v>21</v>
      </c>
      <c r="R17" s="82"/>
      <c r="S17" s="69"/>
      <c r="T17" s="82"/>
    </row>
    <row r="18" spans="2:20" ht="60" customHeight="1" x14ac:dyDescent="0.35">
      <c r="B18" s="41" t="s">
        <v>2179</v>
      </c>
      <c r="C18" s="80"/>
      <c r="D18" s="81"/>
      <c r="E18" s="81" t="s">
        <v>21</v>
      </c>
      <c r="F18" s="81" t="str">
        <f>IF(E18&lt;&gt;"", IFERROR(VLOOKUP(E18, Dashboard!$B48:$F53, 5, FALSE), ""), "")</f>
        <v/>
      </c>
      <c r="G18" s="82"/>
      <c r="H18" s="69"/>
      <c r="I18" s="69"/>
      <c r="J18" s="82"/>
      <c r="K18" s="82"/>
      <c r="L18" s="43"/>
      <c r="M18" s="43"/>
      <c r="N18" s="82"/>
      <c r="O18" s="82"/>
      <c r="P18" s="43"/>
      <c r="Q18" s="43" t="s">
        <v>21</v>
      </c>
      <c r="R18" s="82"/>
      <c r="S18" s="69"/>
      <c r="T18" s="82"/>
    </row>
    <row r="19" spans="2:20" ht="60" customHeight="1" x14ac:dyDescent="0.35">
      <c r="B19" s="41" t="s">
        <v>2180</v>
      </c>
      <c r="C19" s="80"/>
      <c r="D19" s="81"/>
      <c r="E19" s="81" t="s">
        <v>21</v>
      </c>
      <c r="F19" s="81" t="str">
        <f>IF(E19&lt;&gt;"", IFERROR(VLOOKUP(E19, Dashboard!$B48:$F53, 5, FALSE), ""), "")</f>
        <v/>
      </c>
      <c r="G19" s="82"/>
      <c r="H19" s="69"/>
      <c r="I19" s="69"/>
      <c r="J19" s="82"/>
      <c r="K19" s="82"/>
      <c r="L19" s="43"/>
      <c r="M19" s="43"/>
      <c r="N19" s="82"/>
      <c r="O19" s="82"/>
      <c r="P19" s="43"/>
      <c r="Q19" s="43" t="s">
        <v>21</v>
      </c>
      <c r="R19" s="82"/>
      <c r="S19" s="69"/>
      <c r="T19" s="82"/>
    </row>
    <row r="20" spans="2:20" ht="60" customHeight="1" x14ac:dyDescent="0.35">
      <c r="B20" s="41" t="s">
        <v>2181</v>
      </c>
      <c r="C20" s="80"/>
      <c r="D20" s="81"/>
      <c r="E20" s="81" t="s">
        <v>21</v>
      </c>
      <c r="F20" s="81" t="str">
        <f>IF(E20&lt;&gt;"", IFERROR(VLOOKUP(E20, Dashboard!$B48:$F53, 5, FALSE), ""), "")</f>
        <v/>
      </c>
      <c r="G20" s="82"/>
      <c r="H20" s="69"/>
      <c r="I20" s="69"/>
      <c r="J20" s="82"/>
      <c r="K20" s="82"/>
      <c r="L20" s="43"/>
      <c r="M20" s="43"/>
      <c r="N20" s="82"/>
      <c r="O20" s="82"/>
      <c r="P20" s="43"/>
      <c r="Q20" s="43" t="s">
        <v>21</v>
      </c>
      <c r="R20" s="82"/>
      <c r="S20" s="69"/>
      <c r="T20" s="82"/>
    </row>
    <row r="21" spans="2:20" ht="60" customHeight="1" x14ac:dyDescent="0.35">
      <c r="B21" s="41" t="s">
        <v>2182</v>
      </c>
      <c r="C21" s="80"/>
      <c r="D21" s="81"/>
      <c r="E21" s="81" t="s">
        <v>21</v>
      </c>
      <c r="F21" s="81" t="str">
        <f>IF(E21&lt;&gt;"", IFERROR(VLOOKUP(E21, Dashboard!$B48:$F53, 5, FALSE), ""), "")</f>
        <v/>
      </c>
      <c r="G21" s="82"/>
      <c r="H21" s="69"/>
      <c r="I21" s="69"/>
      <c r="J21" s="82"/>
      <c r="K21" s="82"/>
      <c r="L21" s="43"/>
      <c r="M21" s="43"/>
      <c r="N21" s="82"/>
      <c r="O21" s="82"/>
      <c r="P21" s="43"/>
      <c r="Q21" s="43" t="s">
        <v>21</v>
      </c>
      <c r="R21" s="82"/>
      <c r="S21" s="69"/>
      <c r="T21" s="82"/>
    </row>
    <row r="22" spans="2:20" ht="60" customHeight="1" x14ac:dyDescent="0.35">
      <c r="B22" s="41" t="s">
        <v>2183</v>
      </c>
      <c r="C22" s="80"/>
      <c r="D22" s="81"/>
      <c r="E22" s="81" t="s">
        <v>21</v>
      </c>
      <c r="F22" s="81" t="str">
        <f>IF(E22&lt;&gt;"", IFERROR(VLOOKUP(E22, Dashboard!$B48:$F53, 5, FALSE), ""), "")</f>
        <v/>
      </c>
      <c r="G22" s="82"/>
      <c r="H22" s="69"/>
      <c r="I22" s="69"/>
      <c r="J22" s="82"/>
      <c r="K22" s="82"/>
      <c r="L22" s="43"/>
      <c r="M22" s="43"/>
      <c r="N22" s="82"/>
      <c r="O22" s="82"/>
      <c r="P22" s="43"/>
      <c r="Q22" s="43" t="s">
        <v>21</v>
      </c>
      <c r="R22" s="82"/>
      <c r="S22" s="69"/>
      <c r="T22" s="82"/>
    </row>
    <row r="23" spans="2:20" ht="60" customHeight="1" x14ac:dyDescent="0.35">
      <c r="B23" s="41" t="s">
        <v>2184</v>
      </c>
      <c r="C23" s="80"/>
      <c r="D23" s="81"/>
      <c r="E23" s="81" t="s">
        <v>21</v>
      </c>
      <c r="F23" s="81" t="str">
        <f>IF(E23&lt;&gt;"", IFERROR(VLOOKUP(E23, Dashboard!$B48:$F53, 5, FALSE), ""), "")</f>
        <v/>
      </c>
      <c r="G23" s="82"/>
      <c r="H23" s="69"/>
      <c r="I23" s="69"/>
      <c r="J23" s="82"/>
      <c r="K23" s="82"/>
      <c r="L23" s="43"/>
      <c r="M23" s="43"/>
      <c r="N23" s="82"/>
      <c r="O23" s="82"/>
      <c r="P23" s="43"/>
      <c r="Q23" s="43" t="s">
        <v>21</v>
      </c>
      <c r="R23" s="82"/>
      <c r="S23" s="69"/>
      <c r="T23" s="82"/>
    </row>
    <row r="24" spans="2:20" ht="60" customHeight="1" x14ac:dyDescent="0.35">
      <c r="B24" s="41" t="s">
        <v>2185</v>
      </c>
      <c r="C24" s="80"/>
      <c r="D24" s="81"/>
      <c r="E24" s="81" t="s">
        <v>21</v>
      </c>
      <c r="F24" s="81" t="str">
        <f>IF(E24&lt;&gt;"", IFERROR(VLOOKUP(E24, Dashboard!$B48:$F53, 5, FALSE), ""), "")</f>
        <v/>
      </c>
      <c r="G24" s="82"/>
      <c r="H24" s="69"/>
      <c r="I24" s="69"/>
      <c r="J24" s="82"/>
      <c r="K24" s="82"/>
      <c r="L24" s="43"/>
      <c r="M24" s="43"/>
      <c r="N24" s="82"/>
      <c r="O24" s="82"/>
      <c r="P24" s="43"/>
      <c r="Q24" s="43" t="s">
        <v>21</v>
      </c>
      <c r="R24" s="82"/>
      <c r="S24" s="69"/>
      <c r="T24" s="82"/>
    </row>
    <row r="25" spans="2:20" ht="60" customHeight="1" x14ac:dyDescent="0.35">
      <c r="B25" s="41" t="s">
        <v>2186</v>
      </c>
      <c r="C25" s="80"/>
      <c r="D25" s="81"/>
      <c r="E25" s="81" t="s">
        <v>21</v>
      </c>
      <c r="F25" s="81" t="str">
        <f>IF(E25&lt;&gt;"", IFERROR(VLOOKUP(E25, Dashboard!$B48:$F53, 5, FALSE), ""), "")</f>
        <v/>
      </c>
      <c r="G25" s="82"/>
      <c r="H25" s="69"/>
      <c r="I25" s="69"/>
      <c r="J25" s="82"/>
      <c r="K25" s="82"/>
      <c r="L25" s="43"/>
      <c r="M25" s="43"/>
      <c r="N25" s="82"/>
      <c r="O25" s="82"/>
      <c r="P25" s="43"/>
      <c r="Q25" s="43" t="s">
        <v>21</v>
      </c>
      <c r="R25" s="82"/>
      <c r="S25" s="69"/>
      <c r="T25" s="82"/>
    </row>
    <row r="26" spans="2:20" ht="60" customHeight="1" x14ac:dyDescent="0.35">
      <c r="B26" s="41" t="s">
        <v>2187</v>
      </c>
      <c r="C26" s="80"/>
      <c r="D26" s="81"/>
      <c r="E26" s="81" t="s">
        <v>21</v>
      </c>
      <c r="F26" s="81" t="str">
        <f>IF(E26&lt;&gt;"", IFERROR(VLOOKUP(E26, Dashboard!$B48:$F53, 5, FALSE), ""), "")</f>
        <v/>
      </c>
      <c r="G26" s="82"/>
      <c r="H26" s="69"/>
      <c r="I26" s="69"/>
      <c r="J26" s="82"/>
      <c r="K26" s="82"/>
      <c r="L26" s="43"/>
      <c r="M26" s="43"/>
      <c r="N26" s="82"/>
      <c r="O26" s="82"/>
      <c r="P26" s="43"/>
      <c r="Q26" s="43" t="s">
        <v>21</v>
      </c>
      <c r="R26" s="82"/>
      <c r="S26" s="69"/>
      <c r="T26" s="82"/>
    </row>
    <row r="27" spans="2:20" ht="60" customHeight="1" x14ac:dyDescent="0.35">
      <c r="B27" s="41" t="s">
        <v>2188</v>
      </c>
      <c r="C27" s="80"/>
      <c r="D27" s="81"/>
      <c r="E27" s="81" t="s">
        <v>21</v>
      </c>
      <c r="F27" s="81" t="str">
        <f>IF(E27&lt;&gt;"", IFERROR(VLOOKUP(E27, Dashboard!$B48:$F53, 5, FALSE), ""), "")</f>
        <v/>
      </c>
      <c r="G27" s="82"/>
      <c r="H27" s="69"/>
      <c r="I27" s="69"/>
      <c r="J27" s="82"/>
      <c r="K27" s="82"/>
      <c r="L27" s="43"/>
      <c r="M27" s="43"/>
      <c r="N27" s="82"/>
      <c r="O27" s="82"/>
      <c r="P27" s="43"/>
      <c r="Q27" s="43" t="s">
        <v>21</v>
      </c>
      <c r="R27" s="82"/>
      <c r="S27" s="69"/>
      <c r="T27" s="82"/>
    </row>
    <row r="28" spans="2:20" ht="60" customHeight="1" x14ac:dyDescent="0.35">
      <c r="B28" s="41" t="s">
        <v>2189</v>
      </c>
      <c r="C28" s="80"/>
      <c r="D28" s="81"/>
      <c r="E28" s="81" t="s">
        <v>21</v>
      </c>
      <c r="F28" s="81" t="str">
        <f>IF(E28&lt;&gt;"", IFERROR(VLOOKUP(E28, Dashboard!$B48:$F53, 5, FALSE), ""), "")</f>
        <v/>
      </c>
      <c r="G28" s="82"/>
      <c r="H28" s="69"/>
      <c r="I28" s="69"/>
      <c r="J28" s="82"/>
      <c r="K28" s="82"/>
      <c r="L28" s="43"/>
      <c r="M28" s="43"/>
      <c r="N28" s="82"/>
      <c r="O28" s="82"/>
      <c r="P28" s="43"/>
      <c r="Q28" s="43" t="s">
        <v>21</v>
      </c>
      <c r="R28" s="82"/>
      <c r="S28" s="69"/>
      <c r="T28" s="82"/>
    </row>
    <row r="29" spans="2:20" ht="60" customHeight="1" x14ac:dyDescent="0.35">
      <c r="B29" s="41" t="s">
        <v>2190</v>
      </c>
      <c r="C29" s="80"/>
      <c r="D29" s="81"/>
      <c r="E29" s="81" t="s">
        <v>21</v>
      </c>
      <c r="F29" s="81" t="str">
        <f>IF(E29&lt;&gt;"", IFERROR(VLOOKUP(E29, Dashboard!$B48:$F53, 5, FALSE), ""), "")</f>
        <v/>
      </c>
      <c r="G29" s="82"/>
      <c r="H29" s="69"/>
      <c r="I29" s="69"/>
      <c r="J29" s="82"/>
      <c r="K29" s="82"/>
      <c r="L29" s="43"/>
      <c r="M29" s="43"/>
      <c r="N29" s="82"/>
      <c r="O29" s="82"/>
      <c r="P29" s="43"/>
      <c r="Q29" s="43" t="s">
        <v>21</v>
      </c>
      <c r="R29" s="82"/>
      <c r="S29" s="69"/>
      <c r="T29" s="82"/>
    </row>
    <row r="30" spans="2:20" ht="60" customHeight="1" x14ac:dyDescent="0.35">
      <c r="B30" s="41" t="s">
        <v>2191</v>
      </c>
      <c r="C30" s="80"/>
      <c r="D30" s="81"/>
      <c r="E30" s="81" t="s">
        <v>21</v>
      </c>
      <c r="F30" s="81" t="str">
        <f>IF(E30&lt;&gt;"", IFERROR(VLOOKUP(E30, Dashboard!$B48:$F53, 5, FALSE), ""), "")</f>
        <v/>
      </c>
      <c r="G30" s="82"/>
      <c r="H30" s="69"/>
      <c r="I30" s="69"/>
      <c r="J30" s="82"/>
      <c r="K30" s="82"/>
      <c r="L30" s="43"/>
      <c r="M30" s="43"/>
      <c r="N30" s="82"/>
      <c r="O30" s="82"/>
      <c r="P30" s="43"/>
      <c r="Q30" s="43" t="s">
        <v>21</v>
      </c>
      <c r="R30" s="82"/>
      <c r="S30" s="69"/>
      <c r="T30" s="82"/>
    </row>
    <row r="31" spans="2:20" ht="60" customHeight="1" x14ac:dyDescent="0.35">
      <c r="B31" s="41" t="s">
        <v>2192</v>
      </c>
      <c r="C31" s="80"/>
      <c r="D31" s="81"/>
      <c r="E31" s="81" t="s">
        <v>21</v>
      </c>
      <c r="F31" s="81" t="str">
        <f>IF(E31&lt;&gt;"", IFERROR(VLOOKUP(E31, Dashboard!$B48:$F53, 5, FALSE), ""), "")</f>
        <v/>
      </c>
      <c r="G31" s="82"/>
      <c r="H31" s="69"/>
      <c r="I31" s="69"/>
      <c r="J31" s="82"/>
      <c r="K31" s="82"/>
      <c r="L31" s="43"/>
      <c r="M31" s="43"/>
      <c r="N31" s="82"/>
      <c r="O31" s="82"/>
      <c r="P31" s="43"/>
      <c r="Q31" s="43" t="s">
        <v>21</v>
      </c>
      <c r="R31" s="82"/>
      <c r="S31" s="69"/>
      <c r="T31" s="82"/>
    </row>
    <row r="32" spans="2:20" ht="60" customHeight="1" x14ac:dyDescent="0.35">
      <c r="B32" s="41" t="s">
        <v>2193</v>
      </c>
      <c r="C32" s="80"/>
      <c r="D32" s="81"/>
      <c r="E32" s="81" t="s">
        <v>21</v>
      </c>
      <c r="F32" s="81" t="str">
        <f>IF(E32&lt;&gt;"", IFERROR(VLOOKUP(E32, Dashboard!$B48:$F53, 5, FALSE), ""), "")</f>
        <v/>
      </c>
      <c r="G32" s="82"/>
      <c r="H32" s="69"/>
      <c r="I32" s="69"/>
      <c r="J32" s="82"/>
      <c r="K32" s="82"/>
      <c r="L32" s="43"/>
      <c r="M32" s="43"/>
      <c r="N32" s="82"/>
      <c r="O32" s="82"/>
      <c r="P32" s="43"/>
      <c r="Q32" s="43" t="s">
        <v>21</v>
      </c>
      <c r="R32" s="82"/>
      <c r="S32" s="69"/>
      <c r="T32" s="82"/>
    </row>
    <row r="33" spans="2:20" ht="60" customHeight="1" x14ac:dyDescent="0.35">
      <c r="B33" s="41" t="s">
        <v>2194</v>
      </c>
      <c r="C33" s="80"/>
      <c r="D33" s="81"/>
      <c r="E33" s="81" t="s">
        <v>21</v>
      </c>
      <c r="F33" s="81" t="str">
        <f>IF(E33&lt;&gt;"", IFERROR(VLOOKUP(E33, Dashboard!$B48:$F53, 5, FALSE), ""), "")</f>
        <v/>
      </c>
      <c r="G33" s="82"/>
      <c r="H33" s="69"/>
      <c r="I33" s="69"/>
      <c r="J33" s="82"/>
      <c r="K33" s="82"/>
      <c r="L33" s="43"/>
      <c r="M33" s="43"/>
      <c r="N33" s="82"/>
      <c r="O33" s="82"/>
      <c r="P33" s="43"/>
      <c r="Q33" s="43" t="s">
        <v>21</v>
      </c>
      <c r="R33" s="82"/>
      <c r="S33" s="69"/>
      <c r="T33" s="82"/>
    </row>
    <row r="34" spans="2:20" ht="60" customHeight="1" x14ac:dyDescent="0.35">
      <c r="B34" s="41" t="s">
        <v>2195</v>
      </c>
      <c r="C34" s="80"/>
      <c r="D34" s="81"/>
      <c r="E34" s="81" t="s">
        <v>21</v>
      </c>
      <c r="F34" s="81" t="str">
        <f>IF(E34&lt;&gt;"", IFERROR(VLOOKUP(E34, Dashboard!$B48:$F53, 5, FALSE), ""), "")</f>
        <v/>
      </c>
      <c r="G34" s="82"/>
      <c r="H34" s="69"/>
      <c r="I34" s="69"/>
      <c r="J34" s="82"/>
      <c r="K34" s="82"/>
      <c r="L34" s="43"/>
      <c r="M34" s="43"/>
      <c r="N34" s="82"/>
      <c r="O34" s="82"/>
      <c r="P34" s="43"/>
      <c r="Q34" s="43" t="s">
        <v>21</v>
      </c>
      <c r="R34" s="82"/>
      <c r="S34" s="69"/>
      <c r="T34" s="82"/>
    </row>
    <row r="35" spans="2:20" ht="60" customHeight="1" x14ac:dyDescent="0.35">
      <c r="B35" s="41" t="s">
        <v>2196</v>
      </c>
      <c r="C35" s="80"/>
      <c r="D35" s="81"/>
      <c r="E35" s="81" t="s">
        <v>21</v>
      </c>
      <c r="F35" s="81" t="str">
        <f>IF(E35&lt;&gt;"", IFERROR(VLOOKUP(E35, Dashboard!$B48:$F53, 5, FALSE), ""), "")</f>
        <v/>
      </c>
      <c r="G35" s="82"/>
      <c r="H35" s="69"/>
      <c r="I35" s="69"/>
      <c r="J35" s="82"/>
      <c r="K35" s="82"/>
      <c r="L35" s="43"/>
      <c r="M35" s="43"/>
      <c r="N35" s="82"/>
      <c r="O35" s="82"/>
      <c r="P35" s="43"/>
      <c r="Q35" s="43" t="s">
        <v>21</v>
      </c>
      <c r="R35" s="82"/>
      <c r="S35" s="69"/>
      <c r="T35" s="82"/>
    </row>
    <row r="36" spans="2:20" ht="60" customHeight="1" x14ac:dyDescent="0.35">
      <c r="B36" s="41" t="s">
        <v>2197</v>
      </c>
      <c r="C36" s="80"/>
      <c r="D36" s="81"/>
      <c r="E36" s="81" t="s">
        <v>21</v>
      </c>
      <c r="F36" s="81" t="str">
        <f>IF(E36&lt;&gt;"", IFERROR(VLOOKUP(E36, Dashboard!$B48:$F53, 5, FALSE), ""), "")</f>
        <v/>
      </c>
      <c r="G36" s="82"/>
      <c r="H36" s="69"/>
      <c r="I36" s="69"/>
      <c r="J36" s="82"/>
      <c r="K36" s="82"/>
      <c r="L36" s="43"/>
      <c r="M36" s="43"/>
      <c r="N36" s="82"/>
      <c r="O36" s="82"/>
      <c r="P36" s="43"/>
      <c r="Q36" s="43" t="s">
        <v>21</v>
      </c>
      <c r="R36" s="82"/>
      <c r="S36" s="69"/>
      <c r="T36" s="82"/>
    </row>
    <row r="37" spans="2:20" ht="60" customHeight="1" x14ac:dyDescent="0.35">
      <c r="B37" s="41" t="s">
        <v>2198</v>
      </c>
      <c r="C37" s="80"/>
      <c r="D37" s="81"/>
      <c r="E37" s="81" t="s">
        <v>21</v>
      </c>
      <c r="F37" s="81" t="str">
        <f>IF(E37&lt;&gt;"", IFERROR(VLOOKUP(E37, Dashboard!$B48:$F53, 5, FALSE), ""), "")</f>
        <v/>
      </c>
      <c r="G37" s="82"/>
      <c r="H37" s="69"/>
      <c r="I37" s="69"/>
      <c r="J37" s="82"/>
      <c r="K37" s="82"/>
      <c r="L37" s="43"/>
      <c r="M37" s="43"/>
      <c r="N37" s="82"/>
      <c r="O37" s="82"/>
      <c r="P37" s="43"/>
      <c r="Q37" s="43" t="s">
        <v>21</v>
      </c>
      <c r="R37" s="82"/>
      <c r="S37" s="69"/>
      <c r="T37" s="82"/>
    </row>
    <row r="38" spans="2:20" ht="60" customHeight="1" x14ac:dyDescent="0.35">
      <c r="B38" s="41" t="s">
        <v>2199</v>
      </c>
      <c r="C38" s="80"/>
      <c r="D38" s="81"/>
      <c r="E38" s="81" t="s">
        <v>21</v>
      </c>
      <c r="F38" s="81" t="str">
        <f>IF(E38&lt;&gt;"", IFERROR(VLOOKUP(E38, Dashboard!$B48:$F53, 5, FALSE), ""), "")</f>
        <v/>
      </c>
      <c r="G38" s="82"/>
      <c r="H38" s="69"/>
      <c r="I38" s="69"/>
      <c r="J38" s="82"/>
      <c r="K38" s="82"/>
      <c r="L38" s="43"/>
      <c r="M38" s="43"/>
      <c r="N38" s="82"/>
      <c r="O38" s="82"/>
      <c r="P38" s="43"/>
      <c r="Q38" s="43" t="s">
        <v>21</v>
      </c>
      <c r="R38" s="82"/>
      <c r="S38" s="69"/>
      <c r="T38" s="82"/>
    </row>
    <row r="39" spans="2:20" ht="60" customHeight="1" x14ac:dyDescent="0.35">
      <c r="B39" s="41" t="s">
        <v>2200</v>
      </c>
      <c r="C39" s="80"/>
      <c r="D39" s="81"/>
      <c r="E39" s="81" t="s">
        <v>21</v>
      </c>
      <c r="F39" s="81" t="str">
        <f>IF(E39&lt;&gt;"", IFERROR(VLOOKUP(E39, Dashboard!$B48:$F53, 5, FALSE), ""), "")</f>
        <v/>
      </c>
      <c r="G39" s="82"/>
      <c r="H39" s="69"/>
      <c r="I39" s="69"/>
      <c r="J39" s="82"/>
      <c r="K39" s="82"/>
      <c r="L39" s="43"/>
      <c r="M39" s="43"/>
      <c r="N39" s="82"/>
      <c r="O39" s="82"/>
      <c r="P39" s="43"/>
      <c r="Q39" s="43" t="s">
        <v>21</v>
      </c>
      <c r="R39" s="82"/>
      <c r="S39" s="69"/>
      <c r="T39" s="82"/>
    </row>
    <row r="40" spans="2:20" ht="60" customHeight="1" x14ac:dyDescent="0.35">
      <c r="B40" s="41" t="s">
        <v>2201</v>
      </c>
      <c r="C40" s="80"/>
      <c r="D40" s="81"/>
      <c r="E40" s="81" t="s">
        <v>21</v>
      </c>
      <c r="F40" s="81" t="str">
        <f>IF(E40&lt;&gt;"", IFERROR(VLOOKUP(E40, Dashboard!$B48:$F53, 5, FALSE), ""), "")</f>
        <v/>
      </c>
      <c r="G40" s="82"/>
      <c r="H40" s="69"/>
      <c r="I40" s="69"/>
      <c r="J40" s="82"/>
      <c r="K40" s="82"/>
      <c r="L40" s="43"/>
      <c r="M40" s="43"/>
      <c r="N40" s="82"/>
      <c r="O40" s="82"/>
      <c r="P40" s="43"/>
      <c r="Q40" s="43" t="s">
        <v>21</v>
      </c>
      <c r="R40" s="82"/>
      <c r="S40" s="69"/>
      <c r="T40" s="82"/>
    </row>
    <row r="41" spans="2:20" ht="60" customHeight="1" x14ac:dyDescent="0.35">
      <c r="B41" s="41" t="s">
        <v>2202</v>
      </c>
      <c r="C41" s="80"/>
      <c r="D41" s="81"/>
      <c r="E41" s="81" t="s">
        <v>21</v>
      </c>
      <c r="F41" s="81" t="str">
        <f>IF(E41&lt;&gt;"", IFERROR(VLOOKUP(E41, Dashboard!$B48:$F53, 5, FALSE), ""), "")</f>
        <v/>
      </c>
      <c r="G41" s="82"/>
      <c r="H41" s="69"/>
      <c r="I41" s="69"/>
      <c r="J41" s="82"/>
      <c r="K41" s="82"/>
      <c r="L41" s="43"/>
      <c r="M41" s="43"/>
      <c r="N41" s="82"/>
      <c r="O41" s="82"/>
      <c r="P41" s="43"/>
      <c r="Q41" s="43" t="s">
        <v>21</v>
      </c>
      <c r="R41" s="82"/>
      <c r="S41" s="69"/>
      <c r="T41" s="82"/>
    </row>
    <row r="42" spans="2:20" ht="60" customHeight="1" x14ac:dyDescent="0.35">
      <c r="B42" s="41" t="s">
        <v>2203</v>
      </c>
      <c r="C42" s="80"/>
      <c r="D42" s="81"/>
      <c r="E42" s="81" t="s">
        <v>21</v>
      </c>
      <c r="F42" s="81" t="str">
        <f>IF(E42&lt;&gt;"", IFERROR(VLOOKUP(E42, Dashboard!$B48:$F53, 5, FALSE), ""), "")</f>
        <v/>
      </c>
      <c r="G42" s="82"/>
      <c r="H42" s="69"/>
      <c r="I42" s="69"/>
      <c r="J42" s="82"/>
      <c r="K42" s="82"/>
      <c r="L42" s="43"/>
      <c r="M42" s="43"/>
      <c r="N42" s="82"/>
      <c r="O42" s="82"/>
      <c r="P42" s="43"/>
      <c r="Q42" s="43" t="s">
        <v>21</v>
      </c>
      <c r="R42" s="82"/>
      <c r="S42" s="69"/>
      <c r="T42" s="82"/>
    </row>
    <row r="43" spans="2:20" ht="60" customHeight="1" x14ac:dyDescent="0.35">
      <c r="B43" s="41" t="s">
        <v>2204</v>
      </c>
      <c r="C43" s="80"/>
      <c r="D43" s="81"/>
      <c r="E43" s="81" t="s">
        <v>21</v>
      </c>
      <c r="F43" s="81" t="str">
        <f>IF(E43&lt;&gt;"", IFERROR(VLOOKUP(E43, Dashboard!$B48:$F53, 5, FALSE), ""), "")</f>
        <v/>
      </c>
      <c r="G43" s="82"/>
      <c r="H43" s="69"/>
      <c r="I43" s="69"/>
      <c r="J43" s="82"/>
      <c r="K43" s="82"/>
      <c r="L43" s="43"/>
      <c r="M43" s="43"/>
      <c r="N43" s="82"/>
      <c r="O43" s="82"/>
      <c r="P43" s="43"/>
      <c r="Q43" s="43" t="s">
        <v>21</v>
      </c>
      <c r="R43" s="82"/>
      <c r="S43" s="69"/>
      <c r="T43" s="82"/>
    </row>
    <row r="44" spans="2:20" ht="60" customHeight="1" x14ac:dyDescent="0.35">
      <c r="B44" s="41" t="s">
        <v>2205</v>
      </c>
      <c r="C44" s="80"/>
      <c r="D44" s="81"/>
      <c r="E44" s="81" t="s">
        <v>21</v>
      </c>
      <c r="F44" s="81" t="str">
        <f>IF(E44&lt;&gt;"", IFERROR(VLOOKUP(E44, Dashboard!$B48:$F53, 5, FALSE), ""), "")</f>
        <v/>
      </c>
      <c r="G44" s="82"/>
      <c r="H44" s="69"/>
      <c r="I44" s="69"/>
      <c r="J44" s="82"/>
      <c r="K44" s="82"/>
      <c r="L44" s="43"/>
      <c r="M44" s="43"/>
      <c r="N44" s="82"/>
      <c r="O44" s="82"/>
      <c r="P44" s="43"/>
      <c r="Q44" s="43" t="s">
        <v>21</v>
      </c>
      <c r="R44" s="82"/>
      <c r="S44" s="69"/>
      <c r="T44" s="82"/>
    </row>
    <row r="45" spans="2:20" ht="60" customHeight="1" x14ac:dyDescent="0.35">
      <c r="B45" s="41" t="s">
        <v>2206</v>
      </c>
      <c r="C45" s="80"/>
      <c r="D45" s="81"/>
      <c r="E45" s="81" t="s">
        <v>21</v>
      </c>
      <c r="F45" s="81" t="str">
        <f>IF(E45&lt;&gt;"", IFERROR(VLOOKUP(E45, Dashboard!$B48:$F53, 5, FALSE), ""), "")</f>
        <v/>
      </c>
      <c r="G45" s="82"/>
      <c r="H45" s="69"/>
      <c r="I45" s="69"/>
      <c r="J45" s="82"/>
      <c r="K45" s="82"/>
      <c r="L45" s="43"/>
      <c r="M45" s="43"/>
      <c r="N45" s="82"/>
      <c r="O45" s="82"/>
      <c r="P45" s="43"/>
      <c r="Q45" s="43" t="s">
        <v>21</v>
      </c>
      <c r="R45" s="82"/>
      <c r="S45" s="69"/>
      <c r="T45" s="82"/>
    </row>
    <row r="46" spans="2:20" ht="60" customHeight="1" x14ac:dyDescent="0.35">
      <c r="B46" s="41" t="s">
        <v>2207</v>
      </c>
      <c r="C46" s="80"/>
      <c r="D46" s="81"/>
      <c r="E46" s="81" t="s">
        <v>21</v>
      </c>
      <c r="F46" s="81" t="str">
        <f>IF(E46&lt;&gt;"", IFERROR(VLOOKUP(E46, Dashboard!$B48:$F53, 5, FALSE), ""), "")</f>
        <v/>
      </c>
      <c r="G46" s="82"/>
      <c r="H46" s="69"/>
      <c r="I46" s="69"/>
      <c r="J46" s="82"/>
      <c r="K46" s="82"/>
      <c r="L46" s="43"/>
      <c r="M46" s="43"/>
      <c r="N46" s="82"/>
      <c r="O46" s="82"/>
      <c r="P46" s="43"/>
      <c r="Q46" s="43" t="s">
        <v>21</v>
      </c>
      <c r="R46" s="82"/>
      <c r="S46" s="69"/>
      <c r="T46" s="82"/>
    </row>
    <row r="47" spans="2:20" ht="60" customHeight="1" x14ac:dyDescent="0.35">
      <c r="B47" s="41" t="s">
        <v>2208</v>
      </c>
      <c r="C47" s="80"/>
      <c r="D47" s="81"/>
      <c r="E47" s="81" t="s">
        <v>21</v>
      </c>
      <c r="F47" s="81" t="str">
        <f>IF(E47&lt;&gt;"", IFERROR(VLOOKUP(E47, Dashboard!$B48:$F53, 5, FALSE), ""), "")</f>
        <v/>
      </c>
      <c r="G47" s="82"/>
      <c r="H47" s="69"/>
      <c r="I47" s="69"/>
      <c r="J47" s="82"/>
      <c r="K47" s="82"/>
      <c r="L47" s="43"/>
      <c r="M47" s="43"/>
      <c r="N47" s="82"/>
      <c r="O47" s="82"/>
      <c r="P47" s="43"/>
      <c r="Q47" s="43" t="s">
        <v>21</v>
      </c>
      <c r="R47" s="82"/>
      <c r="S47" s="69"/>
      <c r="T47" s="82"/>
    </row>
    <row r="48" spans="2:20" ht="60" customHeight="1" x14ac:dyDescent="0.35">
      <c r="B48" s="41" t="s">
        <v>2209</v>
      </c>
      <c r="C48" s="80"/>
      <c r="D48" s="81"/>
      <c r="E48" s="81" t="s">
        <v>21</v>
      </c>
      <c r="F48" s="81" t="str">
        <f>IF(E48&lt;&gt;"", IFERROR(VLOOKUP(E48, Dashboard!$B48:$F53, 5, FALSE), ""), "")</f>
        <v/>
      </c>
      <c r="G48" s="82"/>
      <c r="H48" s="69"/>
      <c r="I48" s="69"/>
      <c r="J48" s="82"/>
      <c r="K48" s="82"/>
      <c r="L48" s="43"/>
      <c r="M48" s="43"/>
      <c r="N48" s="82"/>
      <c r="O48" s="82"/>
      <c r="P48" s="43"/>
      <c r="Q48" s="43" t="s">
        <v>21</v>
      </c>
      <c r="R48" s="82"/>
      <c r="S48" s="69"/>
      <c r="T48" s="82"/>
    </row>
    <row r="49" spans="2:20" ht="60" customHeight="1" x14ac:dyDescent="0.35">
      <c r="B49" s="41" t="s">
        <v>2210</v>
      </c>
      <c r="C49" s="80"/>
      <c r="D49" s="81"/>
      <c r="E49" s="81" t="s">
        <v>21</v>
      </c>
      <c r="F49" s="81" t="str">
        <f>IF(E49&lt;&gt;"", IFERROR(VLOOKUP(E49, Dashboard!$B48:$F53, 5, FALSE), ""), "")</f>
        <v/>
      </c>
      <c r="G49" s="82"/>
      <c r="H49" s="69"/>
      <c r="I49" s="69"/>
      <c r="J49" s="82"/>
      <c r="K49" s="82"/>
      <c r="L49" s="43"/>
      <c r="M49" s="43"/>
      <c r="N49" s="82"/>
      <c r="O49" s="82"/>
      <c r="P49" s="43"/>
      <c r="Q49" s="43" t="s">
        <v>21</v>
      </c>
      <c r="R49" s="82"/>
      <c r="S49" s="69"/>
      <c r="T49" s="82"/>
    </row>
    <row r="50" spans="2:20" ht="60" customHeight="1" x14ac:dyDescent="0.35">
      <c r="B50" s="41" t="s">
        <v>2211</v>
      </c>
      <c r="C50" s="80"/>
      <c r="D50" s="81"/>
      <c r="E50" s="81" t="s">
        <v>21</v>
      </c>
      <c r="F50" s="81" t="str">
        <f>IF(E50&lt;&gt;"", IFERROR(VLOOKUP(E50, Dashboard!$B48:$F53, 5, FALSE), ""), "")</f>
        <v/>
      </c>
      <c r="G50" s="82"/>
      <c r="H50" s="69"/>
      <c r="I50" s="69"/>
      <c r="J50" s="82"/>
      <c r="K50" s="82"/>
      <c r="L50" s="43"/>
      <c r="M50" s="43"/>
      <c r="N50" s="82"/>
      <c r="O50" s="82"/>
      <c r="P50" s="43"/>
      <c r="Q50" s="43" t="s">
        <v>21</v>
      </c>
      <c r="R50" s="82"/>
      <c r="S50" s="69"/>
      <c r="T50" s="82"/>
    </row>
    <row r="51" spans="2:20" ht="60" customHeight="1" x14ac:dyDescent="0.35">
      <c r="B51" s="41" t="s">
        <v>2212</v>
      </c>
      <c r="C51" s="80"/>
      <c r="D51" s="81"/>
      <c r="E51" s="81" t="s">
        <v>21</v>
      </c>
      <c r="F51" s="81" t="str">
        <f>IF(E51&lt;&gt;"", IFERROR(VLOOKUP(E51, Dashboard!$B48:$F53, 5, FALSE), ""), "")</f>
        <v/>
      </c>
      <c r="G51" s="82"/>
      <c r="H51" s="69"/>
      <c r="I51" s="69"/>
      <c r="J51" s="82"/>
      <c r="K51" s="82"/>
      <c r="L51" s="43"/>
      <c r="M51" s="43"/>
      <c r="N51" s="82"/>
      <c r="O51" s="82"/>
      <c r="P51" s="43"/>
      <c r="Q51" s="43" t="s">
        <v>21</v>
      </c>
      <c r="R51" s="82"/>
      <c r="S51" s="69"/>
      <c r="T51" s="82"/>
    </row>
    <row r="52" spans="2:20" ht="60" customHeight="1" x14ac:dyDescent="0.35">
      <c r="B52" s="41" t="s">
        <v>2213</v>
      </c>
      <c r="C52" s="80"/>
      <c r="D52" s="81"/>
      <c r="E52" s="81" t="s">
        <v>21</v>
      </c>
      <c r="F52" s="81" t="str">
        <f>IF(E52&lt;&gt;"", IFERROR(VLOOKUP(E52, Dashboard!$B48:$F53, 5, FALSE), ""), "")</f>
        <v/>
      </c>
      <c r="G52" s="82"/>
      <c r="H52" s="69"/>
      <c r="I52" s="69"/>
      <c r="J52" s="82"/>
      <c r="K52" s="82"/>
      <c r="L52" s="43"/>
      <c r="M52" s="43"/>
      <c r="N52" s="82"/>
      <c r="O52" s="82"/>
      <c r="P52" s="43"/>
      <c r="Q52" s="43" t="s">
        <v>21</v>
      </c>
      <c r="R52" s="82"/>
      <c r="S52" s="69"/>
      <c r="T52" s="82"/>
    </row>
    <row r="53" spans="2:20" ht="60" customHeight="1" x14ac:dyDescent="0.35">
      <c r="B53" s="41" t="s">
        <v>2214</v>
      </c>
      <c r="C53" s="80"/>
      <c r="D53" s="81"/>
      <c r="E53" s="81" t="s">
        <v>21</v>
      </c>
      <c r="F53" s="81" t="str">
        <f>IF(E53&lt;&gt;"", IFERROR(VLOOKUP(E53, Dashboard!$B48:$F53, 5, FALSE), ""), "")</f>
        <v/>
      </c>
      <c r="G53" s="82"/>
      <c r="H53" s="69"/>
      <c r="I53" s="69"/>
      <c r="J53" s="82"/>
      <c r="K53" s="82"/>
      <c r="L53" s="43"/>
      <c r="M53" s="43"/>
      <c r="N53" s="82"/>
      <c r="O53" s="82"/>
      <c r="P53" s="43"/>
      <c r="Q53" s="43" t="s">
        <v>21</v>
      </c>
      <c r="R53" s="82"/>
      <c r="S53" s="69"/>
      <c r="T53" s="82"/>
    </row>
    <row r="54" spans="2:20" ht="60" customHeight="1" x14ac:dyDescent="0.35">
      <c r="B54" s="41" t="s">
        <v>2215</v>
      </c>
      <c r="C54" s="80"/>
      <c r="D54" s="81"/>
      <c r="E54" s="81" t="s">
        <v>21</v>
      </c>
      <c r="F54" s="81" t="str">
        <f>IF(E54&lt;&gt;"", IFERROR(VLOOKUP(E54, Dashboard!$B48:$F53, 5, FALSE), ""), "")</f>
        <v/>
      </c>
      <c r="G54" s="82"/>
      <c r="H54" s="69"/>
      <c r="I54" s="69"/>
      <c r="J54" s="82"/>
      <c r="K54" s="82"/>
      <c r="L54" s="43"/>
      <c r="M54" s="43"/>
      <c r="N54" s="82"/>
      <c r="O54" s="82"/>
      <c r="P54" s="43"/>
      <c r="Q54" s="43" t="s">
        <v>21</v>
      </c>
      <c r="R54" s="82"/>
      <c r="S54" s="69"/>
      <c r="T54" s="82"/>
    </row>
    <row r="55" spans="2:20" x14ac:dyDescent="0.35">
      <c r="B55" s="41"/>
      <c r="C55" s="80"/>
      <c r="D55" s="81"/>
      <c r="E55" s="81"/>
      <c r="F55" s="81"/>
      <c r="G55" s="82"/>
      <c r="H55" s="69"/>
      <c r="I55" s="69"/>
      <c r="J55" s="82"/>
      <c r="K55" s="82"/>
      <c r="L55" s="43"/>
      <c r="M55" s="43"/>
      <c r="N55" s="82"/>
      <c r="O55" s="82"/>
      <c r="P55" s="43"/>
      <c r="Q55" s="43"/>
      <c r="R55" s="82"/>
      <c r="S55" s="69"/>
      <c r="T55" s="82"/>
    </row>
    <row r="56" spans="2:20" x14ac:dyDescent="0.35">
      <c r="B56" s="41"/>
      <c r="C56" s="80"/>
      <c r="D56" s="81"/>
      <c r="E56" s="81"/>
      <c r="F56" s="81"/>
      <c r="G56" s="82"/>
      <c r="H56" s="69"/>
      <c r="I56" s="69"/>
      <c r="J56" s="82"/>
      <c r="K56" s="82"/>
      <c r="L56" s="43"/>
      <c r="M56" s="43"/>
      <c r="N56" s="82"/>
      <c r="O56" s="82"/>
      <c r="P56" s="43"/>
      <c r="Q56" s="43"/>
      <c r="R56" s="82"/>
      <c r="S56" s="69"/>
      <c r="T56" s="82"/>
    </row>
    <row r="57" spans="2:20" x14ac:dyDescent="0.35">
      <c r="B57" s="41"/>
      <c r="C57" s="80"/>
      <c r="D57" s="81"/>
      <c r="E57" s="81"/>
      <c r="F57" s="81"/>
      <c r="G57" s="82"/>
      <c r="H57" s="69"/>
      <c r="I57" s="69"/>
      <c r="J57" s="82"/>
      <c r="K57" s="82"/>
      <c r="L57" s="43"/>
      <c r="M57" s="43"/>
      <c r="N57" s="82"/>
      <c r="O57" s="82"/>
      <c r="P57" s="43"/>
      <c r="Q57" s="43"/>
      <c r="R57" s="82"/>
      <c r="S57" s="69"/>
      <c r="T57" s="82"/>
    </row>
    <row r="58" spans="2:20" ht="32" customHeight="1" x14ac:dyDescent="0.35">
      <c r="B58" s="291" t="s">
        <v>1971</v>
      </c>
      <c r="C58" s="291"/>
      <c r="D58" s="291"/>
      <c r="E58" s="291"/>
      <c r="F58" s="291"/>
      <c r="G58" s="291"/>
      <c r="H58" s="69"/>
      <c r="I58" s="69"/>
      <c r="J58" s="82"/>
      <c r="K58" s="82"/>
      <c r="L58" s="43"/>
      <c r="M58" s="43"/>
      <c r="N58" s="82"/>
      <c r="O58" s="82"/>
      <c r="P58" s="43"/>
      <c r="Q58" s="43"/>
      <c r="R58" s="82"/>
      <c r="S58" s="69"/>
      <c r="T58" s="82"/>
    </row>
    <row r="59" spans="2:20" x14ac:dyDescent="0.35">
      <c r="B59" s="41"/>
      <c r="C59" s="80"/>
      <c r="D59" s="81"/>
      <c r="E59" s="81"/>
      <c r="F59" s="81"/>
      <c r="G59" s="82"/>
      <c r="H59" s="69"/>
      <c r="I59" s="69"/>
      <c r="J59" s="82"/>
      <c r="K59" s="82"/>
      <c r="L59" s="43"/>
      <c r="M59" s="43"/>
      <c r="N59" s="82"/>
      <c r="O59" s="82"/>
      <c r="P59" s="43"/>
      <c r="Q59" s="43"/>
      <c r="R59" s="82"/>
      <c r="S59" s="69"/>
      <c r="T59" s="82"/>
    </row>
    <row r="60" spans="2:20" x14ac:dyDescent="0.35">
      <c r="B60" s="41"/>
      <c r="C60" s="80"/>
      <c r="D60" s="81"/>
      <c r="E60" s="81"/>
      <c r="F60" s="81"/>
      <c r="G60" s="82"/>
      <c r="H60" s="69"/>
      <c r="I60" s="69"/>
      <c r="J60" s="82"/>
      <c r="K60" s="82"/>
      <c r="L60" s="43"/>
      <c r="M60" s="43"/>
      <c r="N60" s="82"/>
      <c r="O60" s="82"/>
      <c r="P60" s="43"/>
      <c r="Q60" s="43"/>
      <c r="R60" s="82"/>
      <c r="S60" s="69"/>
      <c r="T60" s="82"/>
    </row>
    <row r="61" spans="2:20" x14ac:dyDescent="0.35">
      <c r="B61" s="41"/>
      <c r="C61" s="80"/>
      <c r="D61" s="81"/>
      <c r="E61" s="81"/>
      <c r="F61" s="81"/>
      <c r="G61" s="82"/>
      <c r="H61" s="69"/>
      <c r="I61" s="69"/>
      <c r="J61" s="82"/>
      <c r="K61" s="82"/>
      <c r="L61" s="43"/>
      <c r="M61" s="43"/>
      <c r="N61" s="82"/>
      <c r="O61" s="82"/>
      <c r="P61" s="43"/>
      <c r="Q61" s="43"/>
      <c r="R61" s="82"/>
      <c r="S61" s="69"/>
      <c r="T61" s="82"/>
    </row>
    <row r="62" spans="2:20" x14ac:dyDescent="0.35">
      <c r="B62" s="41"/>
      <c r="C62" s="80"/>
      <c r="D62" s="81"/>
      <c r="E62" s="81"/>
      <c r="F62" s="81"/>
      <c r="G62" s="82"/>
      <c r="H62" s="69"/>
      <c r="I62" s="69"/>
      <c r="J62" s="82"/>
      <c r="K62" s="82"/>
      <c r="L62" s="43"/>
      <c r="M62" s="43"/>
      <c r="N62" s="82"/>
      <c r="O62" s="82"/>
      <c r="P62" s="43"/>
      <c r="Q62" s="43"/>
      <c r="R62" s="82"/>
      <c r="S62" s="69"/>
      <c r="T62" s="82"/>
    </row>
    <row r="63" spans="2:20" x14ac:dyDescent="0.35">
      <c r="B63" s="41"/>
      <c r="C63" s="80"/>
      <c r="D63" s="81"/>
      <c r="E63" s="81"/>
      <c r="F63" s="81"/>
      <c r="G63" s="82"/>
      <c r="H63" s="69"/>
      <c r="I63" s="69"/>
      <c r="J63" s="82"/>
      <c r="K63" s="82"/>
      <c r="L63" s="43"/>
      <c r="M63" s="43"/>
      <c r="N63" s="82"/>
      <c r="O63" s="82"/>
      <c r="P63" s="43"/>
      <c r="Q63" s="43"/>
      <c r="R63" s="82"/>
      <c r="S63" s="69"/>
      <c r="T63" s="82"/>
    </row>
    <row r="64" spans="2:20" x14ac:dyDescent="0.35">
      <c r="B64" s="41"/>
      <c r="C64" s="80"/>
      <c r="D64" s="81"/>
      <c r="E64" s="81"/>
      <c r="F64" s="81"/>
      <c r="G64" s="82"/>
      <c r="H64" s="69"/>
      <c r="I64" s="69"/>
      <c r="J64" s="82"/>
      <c r="K64" s="82"/>
      <c r="L64" s="43"/>
      <c r="M64" s="43"/>
      <c r="N64" s="82"/>
      <c r="O64" s="82"/>
      <c r="P64" s="43"/>
      <c r="Q64" s="43"/>
      <c r="R64" s="82"/>
      <c r="S64" s="69"/>
      <c r="T64" s="82"/>
    </row>
    <row r="65" spans="2:20" x14ac:dyDescent="0.35">
      <c r="B65" s="41"/>
      <c r="C65" s="80"/>
      <c r="D65" s="81"/>
      <c r="E65" s="81"/>
      <c r="F65" s="81"/>
      <c r="G65" s="82"/>
      <c r="H65" s="69"/>
      <c r="I65" s="69"/>
      <c r="J65" s="82"/>
      <c r="K65" s="82"/>
      <c r="L65" s="43"/>
      <c r="M65" s="43"/>
      <c r="N65" s="82"/>
      <c r="O65" s="82"/>
      <c r="P65" s="43"/>
      <c r="Q65" s="43"/>
      <c r="R65" s="82"/>
      <c r="S65" s="69"/>
      <c r="T65" s="82"/>
    </row>
    <row r="66" spans="2:20" x14ac:dyDescent="0.35">
      <c r="B66" s="41"/>
      <c r="C66" s="80"/>
      <c r="D66" s="81"/>
      <c r="E66" s="81"/>
      <c r="F66" s="81"/>
      <c r="G66" s="82"/>
      <c r="H66" s="69"/>
      <c r="I66" s="69"/>
      <c r="J66" s="82"/>
      <c r="K66" s="82"/>
      <c r="L66" s="43"/>
      <c r="M66" s="43"/>
      <c r="N66" s="82"/>
      <c r="O66" s="82"/>
      <c r="P66" s="43"/>
      <c r="Q66" s="43"/>
      <c r="R66" s="82"/>
      <c r="S66" s="69"/>
      <c r="T66" s="82"/>
    </row>
    <row r="67" spans="2:20" x14ac:dyDescent="0.35">
      <c r="B67" s="41"/>
      <c r="C67" s="80"/>
      <c r="D67" s="81"/>
      <c r="E67" s="81"/>
      <c r="F67" s="81"/>
      <c r="G67" s="82"/>
      <c r="H67" s="69"/>
      <c r="I67" s="69"/>
      <c r="J67" s="82"/>
      <c r="K67" s="82"/>
      <c r="L67" s="43"/>
      <c r="M67" s="43"/>
      <c r="N67" s="82"/>
      <c r="O67" s="82"/>
      <c r="P67" s="43"/>
      <c r="Q67" s="43"/>
      <c r="R67" s="82"/>
      <c r="S67" s="69"/>
      <c r="T67" s="82"/>
    </row>
    <row r="68" spans="2:20" x14ac:dyDescent="0.35">
      <c r="B68" s="41"/>
      <c r="C68" s="80"/>
      <c r="D68" s="81"/>
      <c r="E68" s="81"/>
      <c r="F68" s="81"/>
      <c r="G68" s="82"/>
      <c r="H68" s="69"/>
      <c r="I68" s="69"/>
      <c r="J68" s="82"/>
      <c r="K68" s="82"/>
      <c r="L68" s="43"/>
      <c r="M68" s="43"/>
      <c r="N68" s="82"/>
      <c r="O68" s="82"/>
      <c r="P68" s="43"/>
      <c r="Q68" s="43"/>
      <c r="R68" s="82"/>
      <c r="S68" s="69"/>
      <c r="T68" s="82"/>
    </row>
    <row r="69" spans="2:20" x14ac:dyDescent="0.35">
      <c r="B69" s="41"/>
      <c r="C69" s="80"/>
      <c r="D69" s="81"/>
      <c r="E69" s="81"/>
      <c r="F69" s="81"/>
      <c r="G69" s="82"/>
      <c r="H69" s="69"/>
      <c r="I69" s="69"/>
      <c r="J69" s="82"/>
      <c r="K69" s="82"/>
      <c r="L69" s="43"/>
      <c r="M69" s="43"/>
      <c r="N69" s="82"/>
      <c r="O69" s="82"/>
      <c r="P69" s="43"/>
      <c r="Q69" s="43"/>
      <c r="R69" s="82"/>
      <c r="S69" s="69"/>
      <c r="T69" s="82"/>
    </row>
    <row r="70" spans="2:20" x14ac:dyDescent="0.35">
      <c r="B70" s="41"/>
      <c r="C70" s="80"/>
      <c r="D70" s="81"/>
      <c r="E70" s="81"/>
      <c r="F70" s="81"/>
      <c r="G70" s="82"/>
      <c r="H70" s="69"/>
      <c r="I70" s="69"/>
      <c r="J70" s="82"/>
      <c r="K70" s="82"/>
      <c r="L70" s="43"/>
      <c r="M70" s="43"/>
      <c r="N70" s="82"/>
      <c r="O70" s="82"/>
      <c r="P70" s="43"/>
      <c r="Q70" s="43"/>
      <c r="R70" s="82"/>
      <c r="S70" s="69"/>
      <c r="T70" s="82"/>
    </row>
    <row r="71" spans="2:20" x14ac:dyDescent="0.35">
      <c r="B71" s="41"/>
      <c r="C71" s="80"/>
      <c r="D71" s="81"/>
      <c r="E71" s="81"/>
      <c r="F71" s="81"/>
      <c r="G71" s="82"/>
      <c r="H71" s="69"/>
      <c r="I71" s="69"/>
      <c r="J71" s="82"/>
      <c r="K71" s="82"/>
      <c r="L71" s="43"/>
      <c r="M71" s="43"/>
      <c r="N71" s="82"/>
      <c r="O71" s="82"/>
      <c r="P71" s="43"/>
      <c r="Q71" s="43"/>
      <c r="R71" s="82"/>
      <c r="S71" s="69"/>
      <c r="T71" s="82"/>
    </row>
    <row r="72" spans="2:20" x14ac:dyDescent="0.35">
      <c r="B72" s="41"/>
      <c r="C72" s="80"/>
      <c r="D72" s="81"/>
      <c r="E72" s="81"/>
      <c r="F72" s="81"/>
      <c r="G72" s="82"/>
      <c r="H72" s="69"/>
      <c r="I72" s="69"/>
      <c r="J72" s="82"/>
      <c r="K72" s="82"/>
      <c r="L72" s="43"/>
      <c r="M72" s="43"/>
      <c r="N72" s="82"/>
      <c r="O72" s="82"/>
      <c r="P72" s="43"/>
      <c r="Q72" s="43"/>
      <c r="R72" s="82"/>
      <c r="S72" s="69"/>
      <c r="T72" s="82"/>
    </row>
    <row r="73" spans="2:20" x14ac:dyDescent="0.35">
      <c r="B73" s="41"/>
      <c r="C73" s="80"/>
      <c r="D73" s="81"/>
      <c r="E73" s="81"/>
      <c r="F73" s="81"/>
      <c r="G73" s="82"/>
      <c r="H73" s="69"/>
      <c r="I73" s="69"/>
      <c r="J73" s="82"/>
      <c r="K73" s="82"/>
      <c r="L73" s="43"/>
      <c r="M73" s="43"/>
      <c r="N73" s="82"/>
      <c r="O73" s="82"/>
      <c r="P73" s="43"/>
      <c r="Q73" s="43"/>
      <c r="R73" s="82"/>
      <c r="S73" s="69"/>
      <c r="T73" s="82"/>
    </row>
    <row r="74" spans="2:20" x14ac:dyDescent="0.35">
      <c r="B74" s="41"/>
      <c r="C74" s="80"/>
      <c r="D74" s="81"/>
      <c r="E74" s="81"/>
      <c r="F74" s="81"/>
      <c r="G74" s="82"/>
      <c r="H74" s="69"/>
      <c r="I74" s="69"/>
      <c r="J74" s="82"/>
      <c r="K74" s="82"/>
      <c r="L74" s="43"/>
      <c r="M74" s="43"/>
      <c r="N74" s="82"/>
      <c r="O74" s="82"/>
      <c r="P74" s="43"/>
      <c r="Q74" s="43"/>
      <c r="R74" s="82"/>
      <c r="S74" s="69"/>
      <c r="T74" s="82"/>
    </row>
    <row r="75" spans="2:20" x14ac:dyDescent="0.35">
      <c r="B75" s="41"/>
      <c r="C75" s="80"/>
      <c r="D75" s="81"/>
      <c r="E75" s="81"/>
      <c r="F75" s="81"/>
      <c r="G75" s="82"/>
      <c r="H75" s="69"/>
      <c r="I75" s="69"/>
      <c r="J75" s="82"/>
      <c r="K75" s="82"/>
      <c r="L75" s="43"/>
      <c r="M75" s="43"/>
      <c r="N75" s="82"/>
      <c r="O75" s="82"/>
      <c r="P75" s="43"/>
      <c r="Q75" s="43"/>
      <c r="R75" s="82"/>
      <c r="S75" s="69"/>
      <c r="T75" s="82"/>
    </row>
    <row r="76" spans="2:20" x14ac:dyDescent="0.35">
      <c r="B76" s="41"/>
      <c r="C76" s="80"/>
      <c r="D76" s="81"/>
      <c r="E76" s="81"/>
      <c r="F76" s="81"/>
      <c r="G76" s="82"/>
      <c r="H76" s="69"/>
      <c r="I76" s="69"/>
      <c r="J76" s="82"/>
      <c r="K76" s="82"/>
      <c r="L76" s="43"/>
      <c r="M76" s="43"/>
      <c r="N76" s="82"/>
      <c r="O76" s="82"/>
      <c r="P76" s="43"/>
      <c r="Q76" s="43"/>
      <c r="R76" s="82"/>
      <c r="S76" s="69"/>
      <c r="T76" s="82"/>
    </row>
    <row r="77" spans="2:20" x14ac:dyDescent="0.35">
      <c r="B77" s="41"/>
      <c r="C77" s="80"/>
      <c r="D77" s="81"/>
      <c r="E77" s="81"/>
      <c r="F77" s="81"/>
      <c r="G77" s="82"/>
      <c r="H77" s="69"/>
      <c r="I77" s="69"/>
      <c r="J77" s="82"/>
      <c r="K77" s="82"/>
      <c r="L77" s="43"/>
      <c r="M77" s="43"/>
      <c r="N77" s="82"/>
      <c r="O77" s="82"/>
      <c r="P77" s="43"/>
      <c r="Q77" s="43"/>
      <c r="R77" s="82"/>
      <c r="S77" s="69"/>
      <c r="T77" s="82"/>
    </row>
    <row r="78" spans="2:20" x14ac:dyDescent="0.35">
      <c r="B78" s="41"/>
      <c r="C78" s="80"/>
      <c r="D78" s="81"/>
      <c r="E78" s="81"/>
      <c r="F78" s="81"/>
      <c r="G78" s="82"/>
      <c r="H78" s="69"/>
      <c r="I78" s="69"/>
      <c r="J78" s="82"/>
      <c r="K78" s="82"/>
      <c r="L78" s="43"/>
      <c r="M78" s="43"/>
      <c r="N78" s="82"/>
      <c r="O78" s="82"/>
      <c r="P78" s="43"/>
      <c r="Q78" s="43"/>
      <c r="R78" s="82"/>
      <c r="S78" s="69"/>
      <c r="T78" s="82"/>
    </row>
    <row r="79" spans="2:20" x14ac:dyDescent="0.35">
      <c r="B79" s="41"/>
      <c r="C79" s="80"/>
      <c r="D79" s="81"/>
      <c r="E79" s="81"/>
      <c r="F79" s="81"/>
      <c r="G79" s="82"/>
      <c r="H79" s="69"/>
      <c r="I79" s="69"/>
      <c r="J79" s="82"/>
      <c r="K79" s="82"/>
      <c r="L79" s="43"/>
      <c r="M79" s="43"/>
      <c r="N79" s="82"/>
      <c r="O79" s="82"/>
      <c r="P79" s="43"/>
      <c r="Q79" s="43"/>
      <c r="R79" s="82"/>
      <c r="S79" s="69"/>
      <c r="T79" s="82"/>
    </row>
    <row r="80" spans="2:20" x14ac:dyDescent="0.35">
      <c r="B80" s="41"/>
      <c r="C80" s="80"/>
      <c r="D80" s="81"/>
      <c r="E80" s="81"/>
      <c r="F80" s="81"/>
      <c r="G80" s="82"/>
      <c r="H80" s="69"/>
      <c r="I80" s="69"/>
      <c r="J80" s="82"/>
      <c r="K80" s="82"/>
      <c r="L80" s="43"/>
      <c r="M80" s="43"/>
      <c r="N80" s="82"/>
      <c r="O80" s="82"/>
      <c r="P80" s="43"/>
      <c r="Q80" s="43"/>
      <c r="R80" s="82"/>
      <c r="S80" s="69"/>
      <c r="T80" s="82"/>
    </row>
    <row r="81" spans="2:20" x14ac:dyDescent="0.35">
      <c r="B81" s="41"/>
      <c r="C81" s="80"/>
      <c r="D81" s="81"/>
      <c r="E81" s="81"/>
      <c r="F81" s="81"/>
      <c r="G81" s="82"/>
      <c r="H81" s="69"/>
      <c r="I81" s="69"/>
      <c r="J81" s="82"/>
      <c r="K81" s="82"/>
      <c r="L81" s="43"/>
      <c r="M81" s="43"/>
      <c r="N81" s="82"/>
      <c r="O81" s="82"/>
      <c r="P81" s="43"/>
      <c r="Q81" s="43"/>
      <c r="R81" s="82"/>
      <c r="S81" s="69"/>
      <c r="T81" s="82"/>
    </row>
    <row r="82" spans="2:20" x14ac:dyDescent="0.35">
      <c r="B82" s="41"/>
      <c r="C82" s="80"/>
      <c r="D82" s="81"/>
      <c r="E82" s="81"/>
      <c r="F82" s="81"/>
      <c r="G82" s="82"/>
      <c r="H82" s="69"/>
      <c r="I82" s="69"/>
      <c r="J82" s="82"/>
      <c r="K82" s="82"/>
      <c r="L82" s="43"/>
      <c r="M82" s="43"/>
      <c r="N82" s="82"/>
      <c r="O82" s="82"/>
      <c r="P82" s="43"/>
      <c r="Q82" s="43"/>
      <c r="R82" s="82"/>
      <c r="S82" s="69"/>
      <c r="T82" s="82"/>
    </row>
    <row r="83" spans="2:20" x14ac:dyDescent="0.35">
      <c r="B83" s="41"/>
      <c r="C83" s="80"/>
      <c r="D83" s="81"/>
      <c r="E83" s="81"/>
      <c r="F83" s="81"/>
      <c r="G83" s="82"/>
      <c r="H83" s="69"/>
      <c r="I83" s="69"/>
      <c r="J83" s="82"/>
      <c r="K83" s="82"/>
      <c r="L83" s="43"/>
      <c r="M83" s="43"/>
      <c r="N83" s="82"/>
      <c r="O83" s="82"/>
      <c r="P83" s="43"/>
      <c r="Q83" s="43"/>
      <c r="R83" s="82"/>
      <c r="S83" s="69"/>
      <c r="T83" s="82"/>
    </row>
    <row r="84" spans="2:20" x14ac:dyDescent="0.35">
      <c r="B84" s="41"/>
      <c r="C84" s="80"/>
      <c r="D84" s="81"/>
      <c r="E84" s="81"/>
      <c r="F84" s="81"/>
      <c r="G84" s="82"/>
      <c r="H84" s="69"/>
      <c r="I84" s="69"/>
      <c r="J84" s="82"/>
      <c r="K84" s="82"/>
      <c r="L84" s="43"/>
      <c r="M84" s="43"/>
      <c r="N84" s="82"/>
      <c r="O84" s="82"/>
      <c r="P84" s="43"/>
      <c r="Q84" s="43"/>
      <c r="R84" s="82"/>
      <c r="S84" s="69"/>
      <c r="T84" s="82"/>
    </row>
    <row r="85" spans="2:20" x14ac:dyDescent="0.35">
      <c r="B85" s="41"/>
      <c r="C85" s="80"/>
      <c r="D85" s="81"/>
      <c r="E85" s="81"/>
      <c r="F85" s="81"/>
      <c r="G85" s="82"/>
      <c r="H85" s="69"/>
      <c r="I85" s="69"/>
      <c r="J85" s="82"/>
      <c r="K85" s="82"/>
      <c r="L85" s="43"/>
      <c r="M85" s="43"/>
      <c r="N85" s="82"/>
      <c r="O85" s="82"/>
      <c r="P85" s="43"/>
      <c r="Q85" s="43"/>
      <c r="R85" s="82"/>
      <c r="S85" s="69"/>
      <c r="T85" s="82"/>
    </row>
    <row r="86" spans="2:20" x14ac:dyDescent="0.35">
      <c r="B86" s="41"/>
      <c r="C86" s="80"/>
      <c r="D86" s="81"/>
      <c r="E86" s="81"/>
      <c r="F86" s="81"/>
      <c r="G86" s="82"/>
      <c r="H86" s="69"/>
      <c r="I86" s="69"/>
      <c r="J86" s="82"/>
      <c r="K86" s="82"/>
      <c r="L86" s="43"/>
      <c r="M86" s="43"/>
      <c r="N86" s="82"/>
      <c r="O86" s="82"/>
      <c r="P86" s="43"/>
      <c r="Q86" s="43"/>
      <c r="R86" s="82"/>
      <c r="S86" s="69"/>
      <c r="T86" s="82"/>
    </row>
    <row r="87" spans="2:20" x14ac:dyDescent="0.35">
      <c r="B87" s="41"/>
      <c r="C87" s="80"/>
      <c r="D87" s="81"/>
      <c r="E87" s="81"/>
      <c r="F87" s="81"/>
      <c r="G87" s="82"/>
      <c r="H87" s="69"/>
      <c r="I87" s="69"/>
      <c r="J87" s="82"/>
      <c r="K87" s="82"/>
      <c r="L87" s="43"/>
      <c r="M87" s="43"/>
      <c r="N87" s="82"/>
      <c r="O87" s="82"/>
      <c r="P87" s="43"/>
      <c r="Q87" s="43"/>
      <c r="R87" s="82"/>
      <c r="S87" s="69"/>
      <c r="T87" s="82"/>
    </row>
    <row r="88" spans="2:20" x14ac:dyDescent="0.35">
      <c r="B88" s="41"/>
      <c r="C88" s="80"/>
      <c r="D88" s="81"/>
      <c r="E88" s="81"/>
      <c r="F88" s="81"/>
      <c r="G88" s="82"/>
      <c r="H88" s="69"/>
      <c r="I88" s="69"/>
      <c r="J88" s="82"/>
      <c r="K88" s="82"/>
      <c r="L88" s="43"/>
      <c r="M88" s="43"/>
      <c r="N88" s="82"/>
      <c r="O88" s="82"/>
      <c r="P88" s="43"/>
      <c r="Q88" s="43"/>
      <c r="R88" s="82"/>
      <c r="S88" s="69"/>
      <c r="T88" s="82"/>
    </row>
    <row r="89" spans="2:20" x14ac:dyDescent="0.35">
      <c r="B89" s="41"/>
      <c r="C89" s="80"/>
      <c r="D89" s="81"/>
      <c r="E89" s="81"/>
      <c r="F89" s="81"/>
      <c r="G89" s="82"/>
      <c r="H89" s="69"/>
      <c r="I89" s="69"/>
      <c r="J89" s="82"/>
      <c r="K89" s="82"/>
      <c r="L89" s="43"/>
      <c r="M89" s="43"/>
      <c r="N89" s="82"/>
      <c r="O89" s="82"/>
      <c r="P89" s="43"/>
      <c r="Q89" s="43"/>
      <c r="R89" s="82"/>
      <c r="S89" s="69"/>
      <c r="T89" s="82"/>
    </row>
    <row r="90" spans="2:20" x14ac:dyDescent="0.35">
      <c r="B90" s="41"/>
      <c r="C90" s="80"/>
      <c r="D90" s="81"/>
      <c r="E90" s="81"/>
      <c r="F90" s="81"/>
      <c r="G90" s="82"/>
      <c r="H90" s="69"/>
      <c r="I90" s="69"/>
      <c r="J90" s="82"/>
      <c r="K90" s="82"/>
      <c r="L90" s="43"/>
      <c r="M90" s="43"/>
      <c r="N90" s="82"/>
      <c r="O90" s="82"/>
      <c r="P90" s="43"/>
      <c r="Q90" s="43"/>
      <c r="R90" s="82"/>
      <c r="S90" s="69"/>
      <c r="T90" s="82"/>
    </row>
    <row r="91" spans="2:20" x14ac:dyDescent="0.35">
      <c r="B91" s="41"/>
      <c r="C91" s="80"/>
      <c r="D91" s="81"/>
      <c r="E91" s="81"/>
      <c r="F91" s="81"/>
      <c r="G91" s="82"/>
      <c r="H91" s="69"/>
      <c r="I91" s="69"/>
      <c r="J91" s="82"/>
      <c r="K91" s="82"/>
      <c r="L91" s="43"/>
      <c r="M91" s="43"/>
      <c r="N91" s="82"/>
      <c r="O91" s="82"/>
      <c r="P91" s="43"/>
      <c r="Q91" s="43"/>
      <c r="R91" s="82"/>
      <c r="S91" s="69"/>
      <c r="T91" s="82"/>
    </row>
    <row r="92" spans="2:20" x14ac:dyDescent="0.35">
      <c r="B92" s="41"/>
      <c r="C92" s="80"/>
      <c r="D92" s="81"/>
      <c r="E92" s="81"/>
      <c r="F92" s="81"/>
      <c r="G92" s="82"/>
      <c r="H92" s="69"/>
      <c r="I92" s="69"/>
      <c r="J92" s="82"/>
      <c r="K92" s="82"/>
      <c r="L92" s="43"/>
      <c r="M92" s="43"/>
      <c r="N92" s="82"/>
      <c r="O92" s="82"/>
      <c r="P92" s="43"/>
      <c r="Q92" s="43"/>
      <c r="R92" s="82"/>
      <c r="S92" s="69"/>
      <c r="T92" s="82"/>
    </row>
    <row r="93" spans="2:20" x14ac:dyDescent="0.35">
      <c r="B93" s="41"/>
      <c r="C93" s="80"/>
      <c r="D93" s="81"/>
      <c r="E93" s="81"/>
      <c r="F93" s="81"/>
      <c r="G93" s="82"/>
      <c r="H93" s="69"/>
      <c r="I93" s="69"/>
      <c r="J93" s="82"/>
      <c r="K93" s="82"/>
      <c r="L93" s="43"/>
      <c r="M93" s="43"/>
      <c r="N93" s="82"/>
      <c r="O93" s="82"/>
      <c r="P93" s="43"/>
      <c r="Q93" s="43"/>
      <c r="R93" s="82"/>
      <c r="S93" s="69"/>
      <c r="T93" s="82"/>
    </row>
    <row r="94" spans="2:20" x14ac:dyDescent="0.35">
      <c r="B94" s="41"/>
      <c r="C94" s="80"/>
      <c r="D94" s="81"/>
      <c r="E94" s="81"/>
      <c r="F94" s="81"/>
      <c r="G94" s="82"/>
      <c r="H94" s="69"/>
      <c r="I94" s="69"/>
      <c r="J94" s="82"/>
      <c r="K94" s="82"/>
      <c r="L94" s="43"/>
      <c r="M94" s="43"/>
      <c r="N94" s="82"/>
      <c r="O94" s="82"/>
      <c r="P94" s="43"/>
      <c r="Q94" s="43"/>
      <c r="R94" s="82"/>
      <c r="S94" s="69"/>
      <c r="T94" s="82"/>
    </row>
    <row r="95" spans="2:20" x14ac:dyDescent="0.35">
      <c r="B95" s="41"/>
      <c r="C95" s="80"/>
      <c r="D95" s="81"/>
      <c r="E95" s="81"/>
      <c r="F95" s="81"/>
      <c r="G95" s="82"/>
      <c r="H95" s="69"/>
      <c r="I95" s="69"/>
      <c r="J95" s="82"/>
      <c r="K95" s="82"/>
      <c r="L95" s="43"/>
      <c r="M95" s="43"/>
      <c r="N95" s="82"/>
      <c r="O95" s="82"/>
      <c r="P95" s="43"/>
      <c r="Q95" s="43"/>
      <c r="R95" s="82"/>
      <c r="S95" s="69"/>
      <c r="T95" s="82"/>
    </row>
    <row r="96" spans="2:20" x14ac:dyDescent="0.35">
      <c r="B96" s="41"/>
      <c r="C96" s="80"/>
      <c r="D96" s="81"/>
      <c r="E96" s="81"/>
      <c r="F96" s="81"/>
      <c r="G96" s="82"/>
      <c r="H96" s="69"/>
      <c r="I96" s="69"/>
      <c r="J96" s="82"/>
      <c r="K96" s="82"/>
      <c r="L96" s="43"/>
      <c r="M96" s="43"/>
      <c r="N96" s="82"/>
      <c r="O96" s="82"/>
      <c r="P96" s="43"/>
      <c r="Q96" s="43"/>
      <c r="R96" s="82"/>
      <c r="S96" s="69"/>
      <c r="T96" s="82"/>
    </row>
    <row r="97" spans="2:20" x14ac:dyDescent="0.35">
      <c r="B97" s="41"/>
      <c r="C97" s="80"/>
      <c r="D97" s="81"/>
      <c r="E97" s="81"/>
      <c r="F97" s="81"/>
      <c r="G97" s="82"/>
      <c r="H97" s="69"/>
      <c r="I97" s="69"/>
      <c r="J97" s="82"/>
      <c r="K97" s="82"/>
      <c r="L97" s="43"/>
      <c r="M97" s="43"/>
      <c r="N97" s="82"/>
      <c r="O97" s="82"/>
      <c r="P97" s="43"/>
      <c r="Q97" s="43"/>
      <c r="R97" s="82"/>
      <c r="S97" s="69"/>
      <c r="T97" s="82"/>
    </row>
    <row r="98" spans="2:20" x14ac:dyDescent="0.35">
      <c r="B98" s="41"/>
      <c r="C98" s="80"/>
      <c r="D98" s="81"/>
      <c r="E98" s="81"/>
      <c r="F98" s="81"/>
      <c r="G98" s="82"/>
      <c r="H98" s="69"/>
      <c r="I98" s="69"/>
      <c r="J98" s="82"/>
      <c r="K98" s="82"/>
      <c r="L98" s="43"/>
      <c r="M98" s="43"/>
      <c r="N98" s="82"/>
      <c r="O98" s="82"/>
      <c r="P98" s="43"/>
      <c r="Q98" s="43"/>
      <c r="R98" s="82"/>
      <c r="S98" s="69"/>
      <c r="T98" s="82"/>
    </row>
    <row r="99" spans="2:20" x14ac:dyDescent="0.35">
      <c r="B99" s="41"/>
      <c r="C99" s="80"/>
      <c r="D99" s="81"/>
      <c r="E99" s="81"/>
      <c r="F99" s="81"/>
      <c r="G99" s="82"/>
      <c r="H99" s="69"/>
      <c r="I99" s="69"/>
      <c r="J99" s="82"/>
      <c r="K99" s="82"/>
      <c r="L99" s="43"/>
      <c r="M99" s="43"/>
      <c r="N99" s="82"/>
      <c r="O99" s="82"/>
      <c r="P99" s="43"/>
      <c r="Q99" s="43"/>
      <c r="R99" s="82"/>
      <c r="S99" s="69"/>
      <c r="T99" s="82"/>
    </row>
    <row r="100" spans="2:20" x14ac:dyDescent="0.35">
      <c r="B100" s="41"/>
      <c r="C100" s="80"/>
      <c r="D100" s="81"/>
      <c r="E100" s="81"/>
      <c r="F100" s="81"/>
      <c r="G100" s="82"/>
      <c r="H100" s="69"/>
      <c r="I100" s="69"/>
      <c r="J100" s="82"/>
      <c r="K100" s="82"/>
      <c r="L100" s="43"/>
      <c r="M100" s="43"/>
      <c r="N100" s="82"/>
      <c r="O100" s="82"/>
      <c r="P100" s="43"/>
      <c r="Q100" s="43"/>
      <c r="R100" s="82"/>
      <c r="S100" s="69"/>
      <c r="T100" s="82"/>
    </row>
    <row r="101" spans="2:20" x14ac:dyDescent="0.35">
      <c r="B101" s="41"/>
      <c r="C101" s="80"/>
      <c r="D101" s="81"/>
      <c r="E101" s="81"/>
      <c r="F101" s="81"/>
      <c r="G101" s="82"/>
      <c r="H101" s="69"/>
      <c r="I101" s="69"/>
      <c r="J101" s="82"/>
      <c r="K101" s="82"/>
      <c r="L101" s="43"/>
      <c r="M101" s="43"/>
      <c r="N101" s="82"/>
      <c r="O101" s="82"/>
      <c r="P101" s="43"/>
      <c r="Q101" s="43"/>
      <c r="R101" s="82"/>
      <c r="S101" s="69"/>
      <c r="T101" s="82"/>
    </row>
    <row r="102" spans="2:20" x14ac:dyDescent="0.35">
      <c r="B102" s="41"/>
      <c r="C102" s="80"/>
      <c r="D102" s="81"/>
      <c r="E102" s="81"/>
      <c r="F102" s="81"/>
      <c r="G102" s="82"/>
      <c r="H102" s="69"/>
      <c r="I102" s="69"/>
      <c r="J102" s="82"/>
      <c r="K102" s="82"/>
      <c r="L102" s="43"/>
      <c r="M102" s="43"/>
      <c r="N102" s="82"/>
      <c r="O102" s="82"/>
      <c r="P102" s="43"/>
      <c r="Q102" s="43"/>
      <c r="R102" s="82"/>
      <c r="S102" s="69"/>
      <c r="T102" s="82"/>
    </row>
    <row r="103" spans="2:20" x14ac:dyDescent="0.35">
      <c r="B103" s="41"/>
      <c r="C103" s="80"/>
      <c r="D103" s="81"/>
      <c r="E103" s="81"/>
      <c r="F103" s="81"/>
      <c r="G103" s="82"/>
      <c r="H103" s="69"/>
      <c r="I103" s="69"/>
      <c r="J103" s="82"/>
      <c r="K103" s="82"/>
      <c r="L103" s="43"/>
      <c r="M103" s="43"/>
      <c r="N103" s="82"/>
      <c r="O103" s="82"/>
      <c r="P103" s="43"/>
      <c r="Q103" s="43"/>
      <c r="R103" s="82"/>
      <c r="S103" s="69"/>
      <c r="T103" s="82"/>
    </row>
    <row r="104" spans="2:20" x14ac:dyDescent="0.35">
      <c r="B104" s="41"/>
      <c r="C104" s="80"/>
      <c r="D104" s="81"/>
      <c r="E104" s="81"/>
      <c r="F104" s="81"/>
      <c r="G104" s="82"/>
      <c r="H104" s="69"/>
      <c r="I104" s="69"/>
      <c r="J104" s="82"/>
      <c r="K104" s="82"/>
      <c r="L104" s="43"/>
      <c r="M104" s="43"/>
      <c r="N104" s="82"/>
      <c r="O104" s="82"/>
      <c r="P104" s="43"/>
      <c r="Q104" s="43"/>
      <c r="R104" s="82"/>
      <c r="S104" s="69"/>
      <c r="T104" s="82"/>
    </row>
    <row r="105" spans="2:20" x14ac:dyDescent="0.35">
      <c r="B105" s="41"/>
      <c r="C105" s="80"/>
      <c r="D105" s="81"/>
      <c r="E105" s="81"/>
      <c r="F105" s="81"/>
      <c r="G105" s="82"/>
      <c r="H105" s="69"/>
      <c r="I105" s="69"/>
      <c r="J105" s="82"/>
      <c r="K105" s="82"/>
      <c r="L105" s="43"/>
      <c r="M105" s="43"/>
      <c r="N105" s="82"/>
      <c r="O105" s="82"/>
      <c r="P105" s="43"/>
      <c r="Q105" s="43"/>
      <c r="R105" s="82"/>
      <c r="S105" s="69"/>
      <c r="T105" s="82"/>
    </row>
    <row r="106" spans="2:20" x14ac:dyDescent="0.35">
      <c r="B106" s="41"/>
      <c r="C106" s="80"/>
      <c r="D106" s="81"/>
      <c r="E106" s="81"/>
      <c r="F106" s="81"/>
      <c r="G106" s="82"/>
      <c r="H106" s="69"/>
      <c r="I106" s="69"/>
      <c r="J106" s="82"/>
      <c r="K106" s="82"/>
      <c r="L106" s="43"/>
      <c r="M106" s="43"/>
      <c r="N106" s="82"/>
      <c r="O106" s="82"/>
      <c r="P106" s="43"/>
      <c r="Q106" s="43"/>
      <c r="R106" s="82"/>
      <c r="S106" s="69"/>
      <c r="T106" s="82"/>
    </row>
    <row r="107" spans="2:20" x14ac:dyDescent="0.35">
      <c r="B107" s="41"/>
      <c r="C107" s="80"/>
      <c r="D107" s="81"/>
      <c r="E107" s="81"/>
      <c r="F107" s="81"/>
      <c r="G107" s="82"/>
      <c r="H107" s="69"/>
      <c r="I107" s="69"/>
      <c r="J107" s="82"/>
      <c r="K107" s="82"/>
      <c r="L107" s="43"/>
      <c r="M107" s="43"/>
      <c r="N107" s="82"/>
      <c r="O107" s="82"/>
      <c r="P107" s="43"/>
      <c r="Q107" s="43"/>
      <c r="R107" s="82"/>
      <c r="S107" s="69"/>
      <c r="T107" s="82"/>
    </row>
    <row r="108" spans="2:20" x14ac:dyDescent="0.35">
      <c r="B108" s="41"/>
      <c r="C108" s="80"/>
      <c r="D108" s="81"/>
      <c r="E108" s="81"/>
      <c r="F108" s="81"/>
      <c r="G108" s="82"/>
      <c r="H108" s="69"/>
      <c r="I108" s="69"/>
      <c r="J108" s="82"/>
      <c r="K108" s="82"/>
      <c r="L108" s="43"/>
      <c r="M108" s="43"/>
      <c r="N108" s="82"/>
      <c r="O108" s="82"/>
      <c r="P108" s="43"/>
      <c r="Q108" s="43"/>
      <c r="R108" s="82"/>
      <c r="S108" s="69"/>
      <c r="T108" s="82"/>
    </row>
    <row r="109" spans="2:20" x14ac:dyDescent="0.35">
      <c r="B109" s="41"/>
      <c r="C109" s="80"/>
      <c r="D109" s="81"/>
      <c r="E109" s="81"/>
      <c r="F109" s="81"/>
      <c r="G109" s="82"/>
      <c r="H109" s="69"/>
      <c r="I109" s="69"/>
      <c r="J109" s="82"/>
      <c r="K109" s="82"/>
      <c r="L109" s="43"/>
      <c r="M109" s="43"/>
      <c r="N109" s="82"/>
      <c r="O109" s="82"/>
      <c r="P109" s="43"/>
      <c r="Q109" s="43"/>
      <c r="R109" s="82"/>
      <c r="S109" s="69"/>
      <c r="T109" s="82"/>
    </row>
    <row r="110" spans="2:20" x14ac:dyDescent="0.35">
      <c r="B110" s="41"/>
      <c r="C110" s="80"/>
      <c r="D110" s="81"/>
      <c r="E110" s="81"/>
      <c r="F110" s="81"/>
      <c r="G110" s="82"/>
      <c r="H110" s="69"/>
      <c r="I110" s="69"/>
      <c r="J110" s="82"/>
      <c r="K110" s="82"/>
      <c r="L110" s="43"/>
      <c r="M110" s="43"/>
      <c r="N110" s="82"/>
      <c r="O110" s="82"/>
      <c r="P110" s="43"/>
      <c r="Q110" s="43"/>
      <c r="R110" s="82"/>
      <c r="S110" s="69"/>
      <c r="T110" s="82"/>
    </row>
    <row r="111" spans="2:20" x14ac:dyDescent="0.35">
      <c r="B111" s="41"/>
      <c r="C111" s="80"/>
      <c r="D111" s="81"/>
      <c r="E111" s="81"/>
      <c r="F111" s="81"/>
      <c r="G111" s="82"/>
      <c r="H111" s="69"/>
      <c r="I111" s="69"/>
      <c r="J111" s="82"/>
      <c r="K111" s="82"/>
      <c r="L111" s="43"/>
      <c r="M111" s="43"/>
      <c r="N111" s="82"/>
      <c r="O111" s="82"/>
      <c r="P111" s="43"/>
      <c r="Q111" s="43"/>
      <c r="R111" s="82"/>
      <c r="S111" s="69"/>
      <c r="T111" s="82"/>
    </row>
    <row r="112" spans="2:20" x14ac:dyDescent="0.35">
      <c r="B112" s="41"/>
      <c r="C112" s="80"/>
      <c r="D112" s="81"/>
      <c r="E112" s="81"/>
      <c r="F112" s="81"/>
      <c r="G112" s="82"/>
      <c r="H112" s="69"/>
      <c r="I112" s="69"/>
      <c r="J112" s="82"/>
      <c r="K112" s="82"/>
      <c r="L112" s="43"/>
      <c r="M112" s="43"/>
      <c r="N112" s="82"/>
      <c r="O112" s="82"/>
      <c r="P112" s="43"/>
      <c r="Q112" s="43"/>
      <c r="R112" s="82"/>
      <c r="S112" s="69"/>
      <c r="T112" s="82"/>
    </row>
    <row r="113" spans="2:20" x14ac:dyDescent="0.35">
      <c r="B113" s="41"/>
      <c r="C113" s="80"/>
      <c r="D113" s="81"/>
      <c r="E113" s="81"/>
      <c r="F113" s="81"/>
      <c r="G113" s="82"/>
      <c r="H113" s="69"/>
      <c r="I113" s="69"/>
      <c r="J113" s="82"/>
      <c r="K113" s="82"/>
      <c r="L113" s="43"/>
      <c r="M113" s="43"/>
      <c r="N113" s="82"/>
      <c r="O113" s="82"/>
      <c r="P113" s="43"/>
      <c r="Q113" s="43"/>
      <c r="R113" s="82"/>
      <c r="S113" s="69"/>
      <c r="T113" s="82"/>
    </row>
    <row r="114" spans="2:20" x14ac:dyDescent="0.35">
      <c r="B114" s="41"/>
      <c r="C114" s="80"/>
      <c r="D114" s="81"/>
      <c r="E114" s="81"/>
      <c r="F114" s="81"/>
      <c r="G114" s="82"/>
      <c r="H114" s="69"/>
      <c r="I114" s="69"/>
      <c r="J114" s="82"/>
      <c r="K114" s="82"/>
      <c r="L114" s="43"/>
      <c r="M114" s="43"/>
      <c r="N114" s="82"/>
      <c r="O114" s="82"/>
      <c r="P114" s="43"/>
      <c r="Q114" s="43"/>
      <c r="R114" s="82"/>
      <c r="S114" s="69"/>
      <c r="T114" s="82"/>
    </row>
    <row r="115" spans="2:20" x14ac:dyDescent="0.35">
      <c r="B115" s="41"/>
      <c r="C115" s="80"/>
      <c r="D115" s="81"/>
      <c r="E115" s="81"/>
      <c r="F115" s="81"/>
      <c r="G115" s="82"/>
      <c r="H115" s="69"/>
      <c r="I115" s="69"/>
      <c r="J115" s="82"/>
      <c r="K115" s="82"/>
      <c r="L115" s="43"/>
      <c r="M115" s="43"/>
      <c r="N115" s="82"/>
      <c r="O115" s="82"/>
      <c r="P115" s="43"/>
      <c r="Q115" s="43"/>
      <c r="R115" s="82"/>
      <c r="S115" s="69"/>
      <c r="T115" s="82"/>
    </row>
    <row r="116" spans="2:20" x14ac:dyDescent="0.35">
      <c r="B116" s="41"/>
      <c r="C116" s="80"/>
      <c r="D116" s="81"/>
      <c r="E116" s="81"/>
      <c r="F116" s="81"/>
      <c r="G116" s="82"/>
      <c r="H116" s="69"/>
      <c r="I116" s="69"/>
      <c r="J116" s="82"/>
      <c r="K116" s="82"/>
      <c r="L116" s="43"/>
      <c r="M116" s="43"/>
      <c r="N116" s="82"/>
      <c r="O116" s="82"/>
      <c r="P116" s="43"/>
      <c r="Q116" s="43"/>
      <c r="R116" s="82"/>
      <c r="S116" s="69"/>
      <c r="T116" s="82"/>
    </row>
    <row r="117" spans="2:20" x14ac:dyDescent="0.35">
      <c r="B117" s="41"/>
      <c r="C117" s="80"/>
      <c r="D117" s="81"/>
      <c r="E117" s="81"/>
      <c r="F117" s="81"/>
      <c r="G117" s="82"/>
      <c r="H117" s="69"/>
      <c r="I117" s="69"/>
      <c r="J117" s="82"/>
      <c r="K117" s="82"/>
      <c r="L117" s="43"/>
      <c r="M117" s="43"/>
      <c r="N117" s="82"/>
      <c r="O117" s="82"/>
      <c r="P117" s="43"/>
      <c r="Q117" s="43"/>
      <c r="R117" s="82"/>
      <c r="S117" s="69"/>
      <c r="T117" s="82"/>
    </row>
    <row r="118" spans="2:20" x14ac:dyDescent="0.35">
      <c r="B118" s="41"/>
      <c r="C118" s="80"/>
      <c r="D118" s="81"/>
      <c r="E118" s="81"/>
      <c r="F118" s="81"/>
      <c r="G118" s="82"/>
      <c r="H118" s="69"/>
      <c r="I118" s="69"/>
      <c r="J118" s="82"/>
      <c r="K118" s="82"/>
      <c r="L118" s="43"/>
      <c r="M118" s="43"/>
      <c r="N118" s="82"/>
      <c r="O118" s="82"/>
      <c r="P118" s="43"/>
      <c r="Q118" s="43"/>
      <c r="R118" s="82"/>
      <c r="S118" s="69"/>
      <c r="T118" s="82"/>
    </row>
    <row r="119" spans="2:20" x14ac:dyDescent="0.35">
      <c r="B119" s="41"/>
      <c r="C119" s="80"/>
      <c r="D119" s="81"/>
      <c r="E119" s="81"/>
      <c r="F119" s="81"/>
      <c r="G119" s="82"/>
      <c r="H119" s="69"/>
      <c r="I119" s="69"/>
      <c r="J119" s="82"/>
      <c r="K119" s="82"/>
      <c r="L119" s="43"/>
      <c r="M119" s="43"/>
      <c r="N119" s="82"/>
      <c r="O119" s="82"/>
      <c r="P119" s="43"/>
      <c r="Q119" s="43"/>
      <c r="R119" s="82"/>
      <c r="S119" s="69"/>
      <c r="T119" s="82"/>
    </row>
    <row r="120" spans="2:20" x14ac:dyDescent="0.35">
      <c r="B120" s="41"/>
      <c r="C120" s="80"/>
      <c r="D120" s="81"/>
      <c r="E120" s="81"/>
      <c r="F120" s="81"/>
      <c r="G120" s="82"/>
      <c r="H120" s="69"/>
      <c r="I120" s="69"/>
      <c r="J120" s="82"/>
      <c r="K120" s="82"/>
      <c r="L120" s="43"/>
      <c r="M120" s="43"/>
      <c r="N120" s="82"/>
      <c r="O120" s="82"/>
      <c r="P120" s="43"/>
      <c r="Q120" s="43"/>
      <c r="R120" s="82"/>
      <c r="S120" s="69"/>
      <c r="T120" s="82"/>
    </row>
    <row r="121" spans="2:20" x14ac:dyDescent="0.35">
      <c r="B121" s="41"/>
      <c r="C121" s="80"/>
      <c r="D121" s="81"/>
      <c r="E121" s="81"/>
      <c r="F121" s="81"/>
      <c r="G121" s="82"/>
      <c r="H121" s="69"/>
      <c r="I121" s="69"/>
      <c r="J121" s="82"/>
      <c r="K121" s="82"/>
      <c r="L121" s="43"/>
      <c r="M121" s="43"/>
      <c r="N121" s="82"/>
      <c r="O121" s="82"/>
      <c r="P121" s="43"/>
      <c r="Q121" s="43"/>
      <c r="R121" s="82"/>
      <c r="S121" s="69"/>
      <c r="T121" s="82"/>
    </row>
    <row r="122" spans="2:20" x14ac:dyDescent="0.35">
      <c r="B122" s="41"/>
      <c r="C122" s="80"/>
      <c r="D122" s="81"/>
      <c r="E122" s="81"/>
      <c r="F122" s="81"/>
      <c r="G122" s="82"/>
      <c r="H122" s="69"/>
      <c r="I122" s="69"/>
      <c r="J122" s="82"/>
      <c r="K122" s="82"/>
      <c r="L122" s="43"/>
      <c r="M122" s="43"/>
      <c r="N122" s="82"/>
      <c r="O122" s="82"/>
      <c r="P122" s="43"/>
      <c r="Q122" s="43"/>
      <c r="R122" s="82"/>
      <c r="S122" s="69"/>
      <c r="T122" s="82"/>
    </row>
    <row r="123" spans="2:20" x14ac:dyDescent="0.35">
      <c r="B123" s="41"/>
      <c r="C123" s="80"/>
      <c r="D123" s="81"/>
      <c r="E123" s="81"/>
      <c r="F123" s="81"/>
      <c r="G123" s="82"/>
      <c r="H123" s="69"/>
      <c r="I123" s="69"/>
      <c r="J123" s="82"/>
      <c r="K123" s="82"/>
      <c r="L123" s="43"/>
      <c r="M123" s="43"/>
      <c r="N123" s="82"/>
      <c r="O123" s="82"/>
      <c r="P123" s="43"/>
      <c r="Q123" s="43"/>
      <c r="R123" s="82"/>
      <c r="S123" s="69"/>
      <c r="T123" s="82"/>
    </row>
    <row r="124" spans="2:20" x14ac:dyDescent="0.35">
      <c r="B124" s="41"/>
      <c r="C124" s="80"/>
      <c r="D124" s="81"/>
      <c r="E124" s="81"/>
      <c r="F124" s="81"/>
      <c r="G124" s="82"/>
      <c r="H124" s="69"/>
      <c r="I124" s="69"/>
      <c r="J124" s="82"/>
      <c r="K124" s="82"/>
      <c r="L124" s="43"/>
      <c r="M124" s="43"/>
      <c r="N124" s="82"/>
      <c r="O124" s="82"/>
      <c r="P124" s="43"/>
      <c r="Q124" s="43"/>
      <c r="R124" s="82"/>
      <c r="S124" s="69"/>
      <c r="T124" s="82"/>
    </row>
    <row r="125" spans="2:20" x14ac:dyDescent="0.35">
      <c r="B125" s="41"/>
      <c r="C125" s="80"/>
      <c r="D125" s="81"/>
      <c r="E125" s="81"/>
      <c r="F125" s="81"/>
      <c r="G125" s="82"/>
      <c r="H125" s="69"/>
      <c r="I125" s="69"/>
      <c r="J125" s="82"/>
      <c r="K125" s="82"/>
      <c r="L125" s="43"/>
      <c r="M125" s="43"/>
      <c r="N125" s="82"/>
      <c r="O125" s="82"/>
      <c r="P125" s="43"/>
      <c r="Q125" s="43"/>
      <c r="R125" s="82"/>
      <c r="S125" s="69"/>
      <c r="T125" s="82"/>
    </row>
    <row r="126" spans="2:20" x14ac:dyDescent="0.35">
      <c r="B126" s="41"/>
      <c r="C126" s="80"/>
      <c r="D126" s="81"/>
      <c r="E126" s="81"/>
      <c r="F126" s="81"/>
      <c r="G126" s="82"/>
      <c r="H126" s="69"/>
      <c r="I126" s="69"/>
      <c r="J126" s="82"/>
      <c r="K126" s="82"/>
      <c r="L126" s="43"/>
      <c r="M126" s="43"/>
      <c r="N126" s="82"/>
      <c r="O126" s="82"/>
      <c r="P126" s="43"/>
      <c r="Q126" s="43"/>
      <c r="R126" s="82"/>
      <c r="S126" s="69"/>
      <c r="T126" s="82"/>
    </row>
    <row r="127" spans="2:20" x14ac:dyDescent="0.35">
      <c r="B127" s="41"/>
      <c r="C127" s="80"/>
      <c r="D127" s="81"/>
      <c r="E127" s="81"/>
      <c r="F127" s="81"/>
      <c r="G127" s="82"/>
      <c r="H127" s="69"/>
      <c r="I127" s="69"/>
      <c r="J127" s="82"/>
      <c r="K127" s="82"/>
      <c r="L127" s="43"/>
      <c r="M127" s="43"/>
      <c r="N127" s="82"/>
      <c r="O127" s="82"/>
      <c r="P127" s="43"/>
      <c r="Q127" s="43"/>
      <c r="R127" s="82"/>
      <c r="S127" s="69"/>
      <c r="T127" s="82"/>
    </row>
    <row r="128" spans="2:20" x14ac:dyDescent="0.35">
      <c r="B128" s="41"/>
      <c r="C128" s="80"/>
      <c r="D128" s="81"/>
      <c r="E128" s="81"/>
      <c r="F128" s="81"/>
      <c r="G128" s="82"/>
      <c r="H128" s="69"/>
      <c r="I128" s="69"/>
      <c r="J128" s="82"/>
      <c r="K128" s="82"/>
      <c r="L128" s="43"/>
      <c r="M128" s="43"/>
      <c r="N128" s="82"/>
      <c r="O128" s="82"/>
      <c r="P128" s="43"/>
      <c r="Q128" s="43"/>
      <c r="R128" s="82"/>
      <c r="S128" s="69"/>
      <c r="T128" s="82"/>
    </row>
    <row r="129" spans="2:20" x14ac:dyDescent="0.35">
      <c r="B129" s="41"/>
      <c r="C129" s="80"/>
      <c r="D129" s="81"/>
      <c r="E129" s="81"/>
      <c r="F129" s="81"/>
      <c r="G129" s="82"/>
      <c r="H129" s="69"/>
      <c r="I129" s="69"/>
      <c r="J129" s="82"/>
      <c r="K129" s="82"/>
      <c r="L129" s="43"/>
      <c r="M129" s="43"/>
      <c r="N129" s="82"/>
      <c r="O129" s="82"/>
      <c r="P129" s="43"/>
      <c r="Q129" s="43"/>
      <c r="R129" s="82"/>
      <c r="S129" s="69"/>
      <c r="T129" s="82"/>
    </row>
    <row r="130" spans="2:20" x14ac:dyDescent="0.35">
      <c r="B130" s="41"/>
      <c r="C130" s="80"/>
      <c r="D130" s="81"/>
      <c r="E130" s="81"/>
      <c r="F130" s="81"/>
      <c r="G130" s="82"/>
      <c r="H130" s="69"/>
      <c r="I130" s="69"/>
      <c r="J130" s="82"/>
      <c r="K130" s="82"/>
      <c r="L130" s="43"/>
      <c r="M130" s="43"/>
      <c r="N130" s="82"/>
      <c r="O130" s="82"/>
      <c r="P130" s="43"/>
      <c r="Q130" s="43"/>
      <c r="R130" s="82"/>
      <c r="S130" s="69"/>
      <c r="T130" s="82"/>
    </row>
    <row r="131" spans="2:20" x14ac:dyDescent="0.35">
      <c r="B131" s="41"/>
      <c r="C131" s="80"/>
      <c r="D131" s="81"/>
      <c r="E131" s="81"/>
      <c r="F131" s="81"/>
      <c r="G131" s="82"/>
      <c r="H131" s="69"/>
      <c r="I131" s="69"/>
      <c r="J131" s="82"/>
      <c r="K131" s="82"/>
      <c r="L131" s="43"/>
      <c r="M131" s="43"/>
      <c r="N131" s="82"/>
      <c r="O131" s="82"/>
      <c r="P131" s="43"/>
      <c r="Q131" s="43"/>
      <c r="R131" s="82"/>
      <c r="S131" s="69"/>
      <c r="T131" s="82"/>
    </row>
    <row r="132" spans="2:20" x14ac:dyDescent="0.35">
      <c r="B132" s="41"/>
      <c r="C132" s="80"/>
      <c r="D132" s="81"/>
      <c r="E132" s="81"/>
      <c r="F132" s="81"/>
      <c r="G132" s="82"/>
      <c r="H132" s="69"/>
      <c r="I132" s="69"/>
      <c r="J132" s="82"/>
      <c r="K132" s="82"/>
      <c r="L132" s="43"/>
      <c r="M132" s="43"/>
      <c r="N132" s="82"/>
      <c r="O132" s="82"/>
      <c r="P132" s="43"/>
      <c r="Q132" s="43"/>
      <c r="R132" s="82"/>
      <c r="S132" s="69"/>
      <c r="T132" s="82"/>
    </row>
    <row r="133" spans="2:20" x14ac:dyDescent="0.35">
      <c r="B133" s="41"/>
      <c r="C133" s="80"/>
      <c r="D133" s="81"/>
      <c r="E133" s="81"/>
      <c r="F133" s="81"/>
      <c r="G133" s="82"/>
      <c r="H133" s="69"/>
      <c r="I133" s="69"/>
      <c r="J133" s="82"/>
      <c r="K133" s="82"/>
      <c r="L133" s="43"/>
      <c r="M133" s="43"/>
      <c r="N133" s="82"/>
      <c r="O133" s="82"/>
      <c r="P133" s="43"/>
      <c r="Q133" s="43"/>
      <c r="R133" s="82"/>
      <c r="S133" s="69"/>
      <c r="T133" s="82"/>
    </row>
    <row r="134" spans="2:20" x14ac:dyDescent="0.35">
      <c r="B134" s="41"/>
      <c r="C134" s="80"/>
      <c r="D134" s="81"/>
      <c r="E134" s="81"/>
      <c r="F134" s="81"/>
      <c r="G134" s="82"/>
      <c r="H134" s="69"/>
      <c r="I134" s="69"/>
      <c r="J134" s="82"/>
      <c r="K134" s="82"/>
      <c r="L134" s="43"/>
      <c r="M134" s="43"/>
      <c r="N134" s="82"/>
      <c r="O134" s="82"/>
      <c r="P134" s="43"/>
      <c r="Q134" s="43"/>
      <c r="R134" s="82"/>
      <c r="S134" s="69"/>
      <c r="T134" s="82"/>
    </row>
    <row r="135" spans="2:20" x14ac:dyDescent="0.35">
      <c r="B135" s="41"/>
      <c r="C135" s="80"/>
      <c r="D135" s="81"/>
      <c r="E135" s="81"/>
      <c r="F135" s="81"/>
      <c r="G135" s="82"/>
      <c r="H135" s="69"/>
      <c r="I135" s="69"/>
      <c r="J135" s="82"/>
      <c r="K135" s="82"/>
      <c r="L135" s="43"/>
      <c r="M135" s="43"/>
      <c r="N135" s="82"/>
      <c r="O135" s="82"/>
      <c r="P135" s="43"/>
      <c r="Q135" s="43"/>
      <c r="R135" s="82"/>
      <c r="S135" s="69"/>
      <c r="T135" s="82"/>
    </row>
    <row r="136" spans="2:20" x14ac:dyDescent="0.35">
      <c r="B136" s="41"/>
      <c r="C136" s="80"/>
      <c r="D136" s="81"/>
      <c r="E136" s="81"/>
      <c r="F136" s="81"/>
      <c r="G136" s="82"/>
      <c r="H136" s="69"/>
      <c r="I136" s="69"/>
      <c r="J136" s="82"/>
      <c r="K136" s="82"/>
      <c r="L136" s="43"/>
      <c r="M136" s="43"/>
      <c r="N136" s="82"/>
      <c r="O136" s="82"/>
      <c r="P136" s="43"/>
      <c r="Q136" s="43"/>
      <c r="R136" s="82"/>
      <c r="S136" s="69"/>
      <c r="T136" s="82"/>
    </row>
    <row r="137" spans="2:20" x14ac:dyDescent="0.35">
      <c r="B137" s="41"/>
      <c r="C137" s="80"/>
      <c r="D137" s="81"/>
      <c r="E137" s="81"/>
      <c r="F137" s="81"/>
      <c r="G137" s="82"/>
      <c r="H137" s="69"/>
      <c r="I137" s="69"/>
      <c r="J137" s="82"/>
      <c r="K137" s="82"/>
      <c r="L137" s="43"/>
      <c r="M137" s="43"/>
      <c r="N137" s="82"/>
      <c r="O137" s="82"/>
      <c r="P137" s="43"/>
      <c r="Q137" s="43"/>
      <c r="R137" s="82"/>
      <c r="S137" s="69"/>
      <c r="T137" s="82"/>
    </row>
    <row r="138" spans="2:20" x14ac:dyDescent="0.35">
      <c r="B138" s="41"/>
      <c r="C138" s="80"/>
      <c r="D138" s="81"/>
      <c r="E138" s="81"/>
      <c r="F138" s="81"/>
      <c r="G138" s="82"/>
      <c r="H138" s="69"/>
      <c r="I138" s="69"/>
      <c r="J138" s="82"/>
      <c r="K138" s="82"/>
      <c r="L138" s="43"/>
      <c r="M138" s="43"/>
      <c r="N138" s="82"/>
      <c r="O138" s="82"/>
      <c r="P138" s="43"/>
      <c r="Q138" s="43"/>
      <c r="R138" s="82"/>
      <c r="S138" s="69"/>
      <c r="T138" s="82"/>
    </row>
    <row r="139" spans="2:20" x14ac:dyDescent="0.35">
      <c r="B139" s="41"/>
      <c r="C139" s="80"/>
      <c r="D139" s="81"/>
      <c r="E139" s="81"/>
      <c r="F139" s="81"/>
      <c r="G139" s="82"/>
      <c r="H139" s="69"/>
      <c r="I139" s="69"/>
      <c r="J139" s="82"/>
      <c r="K139" s="82"/>
      <c r="L139" s="43"/>
      <c r="M139" s="43"/>
      <c r="N139" s="82"/>
      <c r="O139" s="82"/>
      <c r="P139" s="43"/>
      <c r="Q139" s="43"/>
      <c r="R139" s="82"/>
      <c r="S139" s="69"/>
      <c r="T139" s="82"/>
    </row>
    <row r="140" spans="2:20" x14ac:dyDescent="0.35">
      <c r="B140" s="41"/>
      <c r="C140" s="80"/>
      <c r="D140" s="81"/>
      <c r="E140" s="81"/>
      <c r="F140" s="81"/>
      <c r="G140" s="82"/>
      <c r="H140" s="69"/>
      <c r="I140" s="69"/>
      <c r="J140" s="82"/>
      <c r="K140" s="82"/>
      <c r="L140" s="43"/>
      <c r="M140" s="43"/>
      <c r="N140" s="82"/>
      <c r="O140" s="82"/>
      <c r="P140" s="43"/>
      <c r="Q140" s="43"/>
      <c r="R140" s="82"/>
      <c r="S140" s="69"/>
      <c r="T140" s="82"/>
    </row>
    <row r="141" spans="2:20" x14ac:dyDescent="0.35">
      <c r="B141" s="41"/>
      <c r="C141" s="80"/>
      <c r="D141" s="81"/>
      <c r="E141" s="81"/>
      <c r="F141" s="81"/>
      <c r="G141" s="82"/>
      <c r="H141" s="69"/>
      <c r="I141" s="69"/>
      <c r="J141" s="82"/>
      <c r="K141" s="82"/>
      <c r="L141" s="43"/>
      <c r="M141" s="43"/>
      <c r="N141" s="82"/>
      <c r="O141" s="82"/>
      <c r="P141" s="43"/>
      <c r="Q141" s="43"/>
      <c r="R141" s="82"/>
      <c r="S141" s="69"/>
      <c r="T141" s="82"/>
    </row>
    <row r="142" spans="2:20" x14ac:dyDescent="0.35">
      <c r="B142" s="41"/>
      <c r="C142" s="80"/>
      <c r="D142" s="81"/>
      <c r="E142" s="81"/>
      <c r="F142" s="81"/>
      <c r="G142" s="82"/>
      <c r="H142" s="69"/>
      <c r="I142" s="69"/>
      <c r="J142" s="82"/>
      <c r="K142" s="82"/>
      <c r="L142" s="43"/>
      <c r="M142" s="43"/>
      <c r="N142" s="82"/>
      <c r="O142" s="82"/>
      <c r="P142" s="43"/>
      <c r="Q142" s="43"/>
      <c r="R142" s="82"/>
      <c r="S142" s="69"/>
      <c r="T142" s="82"/>
    </row>
    <row r="143" spans="2:20" x14ac:dyDescent="0.35">
      <c r="B143" s="41"/>
      <c r="C143" s="80"/>
      <c r="D143" s="81"/>
      <c r="E143" s="81"/>
      <c r="F143" s="81"/>
      <c r="G143" s="82"/>
      <c r="H143" s="69"/>
      <c r="I143" s="69"/>
      <c r="J143" s="82"/>
      <c r="K143" s="82"/>
      <c r="L143" s="43"/>
      <c r="M143" s="43"/>
      <c r="N143" s="82"/>
      <c r="O143" s="82"/>
      <c r="P143" s="43"/>
      <c r="Q143" s="43"/>
      <c r="R143" s="82"/>
      <c r="S143" s="69"/>
      <c r="T143" s="82"/>
    </row>
    <row r="144" spans="2:20" x14ac:dyDescent="0.35">
      <c r="B144" s="41"/>
      <c r="C144" s="80"/>
      <c r="D144" s="81"/>
      <c r="E144" s="81"/>
      <c r="F144" s="81"/>
      <c r="G144" s="82"/>
      <c r="H144" s="69"/>
      <c r="I144" s="69"/>
      <c r="J144" s="82"/>
      <c r="K144" s="82"/>
      <c r="L144" s="43"/>
      <c r="M144" s="43"/>
      <c r="N144" s="82"/>
      <c r="O144" s="82"/>
      <c r="P144" s="43"/>
      <c r="Q144" s="43"/>
      <c r="R144" s="82"/>
      <c r="S144" s="69"/>
      <c r="T144" s="82"/>
    </row>
    <row r="145" spans="2:20" x14ac:dyDescent="0.35">
      <c r="B145" s="41"/>
      <c r="C145" s="80"/>
      <c r="D145" s="81"/>
      <c r="E145" s="81"/>
      <c r="F145" s="81"/>
      <c r="G145" s="82"/>
      <c r="H145" s="69"/>
      <c r="I145" s="69"/>
      <c r="J145" s="82"/>
      <c r="K145" s="82"/>
      <c r="L145" s="43"/>
      <c r="M145" s="43"/>
      <c r="N145" s="82"/>
      <c r="O145" s="82"/>
      <c r="P145" s="43"/>
      <c r="Q145" s="43"/>
      <c r="R145" s="82"/>
      <c r="S145" s="69"/>
      <c r="T145" s="82"/>
    </row>
    <row r="146" spans="2:20" x14ac:dyDescent="0.35">
      <c r="B146" s="41"/>
      <c r="C146" s="80"/>
      <c r="D146" s="81"/>
      <c r="E146" s="81"/>
      <c r="F146" s="81"/>
      <c r="G146" s="82"/>
      <c r="H146" s="69"/>
      <c r="I146" s="69"/>
      <c r="J146" s="82"/>
      <c r="K146" s="82"/>
      <c r="L146" s="43"/>
      <c r="M146" s="43"/>
      <c r="N146" s="82"/>
      <c r="O146" s="82"/>
      <c r="P146" s="43"/>
      <c r="Q146" s="43"/>
      <c r="R146" s="82"/>
      <c r="S146" s="69"/>
      <c r="T146" s="82"/>
    </row>
    <row r="147" spans="2:20" x14ac:dyDescent="0.35">
      <c r="B147" s="41"/>
      <c r="C147" s="80"/>
      <c r="D147" s="81"/>
      <c r="E147" s="81"/>
      <c r="F147" s="81"/>
      <c r="G147" s="82"/>
      <c r="H147" s="69"/>
      <c r="I147" s="69"/>
      <c r="J147" s="82"/>
      <c r="K147" s="82"/>
      <c r="L147" s="43"/>
      <c r="M147" s="43"/>
      <c r="N147" s="82"/>
      <c r="O147" s="82"/>
      <c r="P147" s="43"/>
      <c r="Q147" s="43"/>
      <c r="R147" s="82"/>
      <c r="S147" s="69"/>
      <c r="T147" s="82"/>
    </row>
    <row r="148" spans="2:20" x14ac:dyDescent="0.35">
      <c r="B148" s="41"/>
      <c r="C148" s="80"/>
      <c r="D148" s="81"/>
      <c r="E148" s="81"/>
      <c r="F148" s="81"/>
      <c r="G148" s="82"/>
      <c r="H148" s="69"/>
      <c r="I148" s="69"/>
      <c r="J148" s="82"/>
      <c r="K148" s="82"/>
      <c r="L148" s="43"/>
      <c r="M148" s="43"/>
      <c r="N148" s="82"/>
      <c r="O148" s="82"/>
      <c r="P148" s="43"/>
      <c r="Q148" s="43"/>
      <c r="R148" s="82"/>
      <c r="S148" s="69"/>
      <c r="T148" s="82"/>
    </row>
    <row r="149" spans="2:20" x14ac:dyDescent="0.35">
      <c r="B149" s="41"/>
      <c r="C149" s="80"/>
      <c r="D149" s="81"/>
      <c r="E149" s="81"/>
      <c r="F149" s="81"/>
      <c r="G149" s="82"/>
      <c r="H149" s="69"/>
      <c r="I149" s="69"/>
      <c r="J149" s="82"/>
      <c r="K149" s="82"/>
      <c r="L149" s="43"/>
      <c r="M149" s="43"/>
      <c r="N149" s="82"/>
      <c r="O149" s="82"/>
      <c r="P149" s="43"/>
      <c r="Q149" s="43"/>
      <c r="R149" s="82"/>
      <c r="S149" s="69"/>
      <c r="T149" s="82"/>
    </row>
    <row r="150" spans="2:20" x14ac:dyDescent="0.35">
      <c r="B150" s="41"/>
      <c r="C150" s="80"/>
      <c r="D150" s="81"/>
      <c r="E150" s="81"/>
      <c r="F150" s="81"/>
      <c r="G150" s="82"/>
      <c r="H150" s="69"/>
      <c r="I150" s="69"/>
      <c r="J150" s="82"/>
      <c r="K150" s="82"/>
      <c r="L150" s="43"/>
      <c r="M150" s="43"/>
      <c r="N150" s="82"/>
      <c r="O150" s="82"/>
      <c r="P150" s="43"/>
      <c r="Q150" s="43"/>
      <c r="R150" s="82"/>
      <c r="S150" s="69"/>
      <c r="T150" s="82"/>
    </row>
    <row r="151" spans="2:20" x14ac:dyDescent="0.35">
      <c r="B151" s="41"/>
      <c r="C151" s="80"/>
      <c r="D151" s="81"/>
      <c r="E151" s="81"/>
      <c r="F151" s="81"/>
      <c r="G151" s="82"/>
      <c r="H151" s="69"/>
      <c r="I151" s="69"/>
      <c r="J151" s="82"/>
      <c r="K151" s="82"/>
      <c r="L151" s="43"/>
      <c r="M151" s="43"/>
      <c r="N151" s="82"/>
      <c r="O151" s="82"/>
      <c r="P151" s="43"/>
      <c r="Q151" s="43"/>
      <c r="R151" s="82"/>
      <c r="S151" s="69"/>
      <c r="T151" s="82"/>
    </row>
    <row r="152" spans="2:20" x14ac:dyDescent="0.35">
      <c r="B152" s="41"/>
      <c r="C152" s="80"/>
      <c r="D152" s="81"/>
      <c r="E152" s="81"/>
      <c r="F152" s="81"/>
      <c r="G152" s="82"/>
      <c r="H152" s="69"/>
      <c r="I152" s="69"/>
      <c r="J152" s="82"/>
      <c r="K152" s="82"/>
      <c r="L152" s="43"/>
      <c r="M152" s="43"/>
      <c r="N152" s="82"/>
      <c r="O152" s="82"/>
      <c r="P152" s="43"/>
      <c r="Q152" s="43"/>
      <c r="R152" s="82"/>
      <c r="S152" s="69"/>
      <c r="T152" s="82"/>
    </row>
    <row r="153" spans="2:20" x14ac:dyDescent="0.35">
      <c r="B153" s="41"/>
      <c r="C153" s="80"/>
      <c r="D153" s="81"/>
      <c r="E153" s="81"/>
      <c r="F153" s="81"/>
      <c r="G153" s="82"/>
      <c r="H153" s="69"/>
      <c r="I153" s="69"/>
      <c r="J153" s="82"/>
      <c r="K153" s="82"/>
      <c r="L153" s="43"/>
      <c r="M153" s="43"/>
      <c r="N153" s="82"/>
      <c r="O153" s="82"/>
      <c r="P153" s="43"/>
      <c r="Q153" s="43"/>
      <c r="R153" s="82"/>
      <c r="S153" s="69"/>
      <c r="T153" s="82"/>
    </row>
    <row r="154" spans="2:20" x14ac:dyDescent="0.35">
      <c r="B154" s="41"/>
      <c r="C154" s="80"/>
      <c r="D154" s="81"/>
      <c r="E154" s="81"/>
      <c r="F154" s="81"/>
      <c r="G154" s="82"/>
      <c r="H154" s="69"/>
      <c r="I154" s="69"/>
      <c r="J154" s="82"/>
      <c r="K154" s="82"/>
      <c r="L154" s="43"/>
      <c r="M154" s="43"/>
      <c r="N154" s="82"/>
      <c r="O154" s="82"/>
      <c r="P154" s="43"/>
      <c r="Q154" s="43"/>
      <c r="R154" s="82"/>
      <c r="S154" s="69"/>
      <c r="T154" s="82"/>
    </row>
    <row r="155" spans="2:20" x14ac:dyDescent="0.35">
      <c r="B155" s="41"/>
      <c r="C155" s="80"/>
      <c r="D155" s="81"/>
      <c r="E155" s="81"/>
      <c r="F155" s="81"/>
      <c r="G155" s="82"/>
      <c r="H155" s="69"/>
      <c r="I155" s="69"/>
      <c r="J155" s="82"/>
      <c r="K155" s="82"/>
      <c r="L155" s="43"/>
      <c r="M155" s="43"/>
      <c r="N155" s="82"/>
      <c r="O155" s="82"/>
      <c r="P155" s="43"/>
      <c r="Q155" s="43"/>
      <c r="R155" s="82"/>
      <c r="S155" s="69"/>
      <c r="T155" s="82"/>
    </row>
    <row r="156" spans="2:20" x14ac:dyDescent="0.35">
      <c r="B156" s="41"/>
      <c r="C156" s="80"/>
      <c r="D156" s="81"/>
      <c r="E156" s="81"/>
      <c r="F156" s="81"/>
      <c r="G156" s="82"/>
      <c r="H156" s="69"/>
      <c r="I156" s="69"/>
      <c r="J156" s="82"/>
      <c r="K156" s="82"/>
      <c r="L156" s="43"/>
      <c r="M156" s="43"/>
      <c r="N156" s="82"/>
      <c r="O156" s="82"/>
      <c r="P156" s="43"/>
      <c r="Q156" s="43"/>
      <c r="R156" s="82"/>
      <c r="S156" s="69"/>
      <c r="T156" s="82"/>
    </row>
    <row r="157" spans="2:20" x14ac:dyDescent="0.35">
      <c r="B157" s="41"/>
      <c r="C157" s="80"/>
      <c r="D157" s="81"/>
      <c r="E157" s="81"/>
      <c r="F157" s="81"/>
      <c r="G157" s="82"/>
      <c r="H157" s="69"/>
      <c r="I157" s="69"/>
      <c r="J157" s="82"/>
      <c r="K157" s="82"/>
      <c r="L157" s="43"/>
      <c r="M157" s="43"/>
      <c r="N157" s="82"/>
      <c r="O157" s="82"/>
      <c r="P157" s="43"/>
      <c r="Q157" s="43"/>
      <c r="R157" s="82"/>
      <c r="S157" s="69"/>
      <c r="T157" s="82"/>
    </row>
    <row r="158" spans="2:20" x14ac:dyDescent="0.35">
      <c r="B158" s="41"/>
      <c r="C158" s="80"/>
      <c r="D158" s="81"/>
      <c r="E158" s="81"/>
      <c r="F158" s="81"/>
      <c r="G158" s="82"/>
      <c r="H158" s="69"/>
      <c r="I158" s="69"/>
      <c r="J158" s="82"/>
      <c r="K158" s="82"/>
      <c r="L158" s="43"/>
      <c r="M158" s="43"/>
      <c r="N158" s="82"/>
      <c r="O158" s="82"/>
      <c r="P158" s="43"/>
      <c r="Q158" s="43"/>
      <c r="R158" s="82"/>
      <c r="S158" s="69"/>
      <c r="T158" s="82"/>
    </row>
    <row r="159" spans="2:20" x14ac:dyDescent="0.35">
      <c r="B159" s="41"/>
      <c r="C159" s="80"/>
      <c r="D159" s="81"/>
      <c r="E159" s="81"/>
      <c r="F159" s="81"/>
      <c r="G159" s="82"/>
      <c r="H159" s="69"/>
      <c r="I159" s="69"/>
      <c r="J159" s="82"/>
      <c r="K159" s="82"/>
      <c r="L159" s="43"/>
      <c r="M159" s="43"/>
      <c r="N159" s="82"/>
      <c r="O159" s="82"/>
      <c r="P159" s="43"/>
      <c r="Q159" s="43"/>
      <c r="R159" s="82"/>
      <c r="S159" s="69"/>
      <c r="T159" s="82"/>
    </row>
    <row r="160" spans="2:20" x14ac:dyDescent="0.35">
      <c r="B160" s="41"/>
      <c r="C160" s="80"/>
      <c r="D160" s="81"/>
      <c r="E160" s="81"/>
      <c r="F160" s="81"/>
      <c r="G160" s="82"/>
      <c r="H160" s="69"/>
      <c r="I160" s="69"/>
      <c r="J160" s="82"/>
      <c r="K160" s="82"/>
      <c r="L160" s="43"/>
      <c r="M160" s="43"/>
      <c r="N160" s="82"/>
      <c r="O160" s="82"/>
      <c r="P160" s="43"/>
      <c r="Q160" s="43"/>
      <c r="R160" s="82"/>
      <c r="S160" s="69"/>
      <c r="T160" s="82"/>
    </row>
    <row r="161" spans="2:20" x14ac:dyDescent="0.35">
      <c r="B161" s="41"/>
      <c r="C161" s="80"/>
      <c r="D161" s="81"/>
      <c r="E161" s="81"/>
      <c r="F161" s="81"/>
      <c r="G161" s="82"/>
      <c r="H161" s="69"/>
      <c r="I161" s="69"/>
      <c r="J161" s="82"/>
      <c r="K161" s="82"/>
      <c r="L161" s="43"/>
      <c r="M161" s="43"/>
      <c r="N161" s="82"/>
      <c r="O161" s="82"/>
      <c r="P161" s="43"/>
      <c r="Q161" s="43"/>
      <c r="R161" s="82"/>
      <c r="S161" s="69"/>
      <c r="T161" s="82"/>
    </row>
    <row r="162" spans="2:20" x14ac:dyDescent="0.35">
      <c r="B162" s="41"/>
      <c r="C162" s="80"/>
      <c r="D162" s="81"/>
      <c r="E162" s="81"/>
      <c r="F162" s="81"/>
      <c r="G162" s="82"/>
      <c r="H162" s="69"/>
      <c r="I162" s="69"/>
      <c r="J162" s="82"/>
      <c r="K162" s="82"/>
      <c r="L162" s="43"/>
      <c r="M162" s="43"/>
      <c r="N162" s="82"/>
      <c r="O162" s="82"/>
      <c r="P162" s="43"/>
      <c r="Q162" s="43"/>
      <c r="R162" s="82"/>
      <c r="S162" s="69"/>
      <c r="T162" s="82"/>
    </row>
    <row r="163" spans="2:20" x14ac:dyDescent="0.35">
      <c r="B163" s="41"/>
      <c r="C163" s="80"/>
      <c r="D163" s="81"/>
      <c r="E163" s="81"/>
      <c r="F163" s="81"/>
      <c r="G163" s="82"/>
      <c r="H163" s="69"/>
      <c r="I163" s="69"/>
      <c r="J163" s="82"/>
      <c r="K163" s="82"/>
      <c r="L163" s="43"/>
      <c r="M163" s="43"/>
      <c r="N163" s="82"/>
      <c r="O163" s="82"/>
      <c r="P163" s="43"/>
      <c r="Q163" s="43"/>
      <c r="R163" s="82"/>
      <c r="S163" s="69"/>
      <c r="T163" s="82"/>
    </row>
    <row r="164" spans="2:20" x14ac:dyDescent="0.35">
      <c r="B164" s="41"/>
      <c r="C164" s="80"/>
      <c r="D164" s="81"/>
      <c r="E164" s="81"/>
      <c r="F164" s="81"/>
      <c r="G164" s="82"/>
      <c r="H164" s="69"/>
      <c r="I164" s="69"/>
      <c r="J164" s="82"/>
      <c r="K164" s="82"/>
      <c r="L164" s="43"/>
      <c r="M164" s="43"/>
      <c r="N164" s="82"/>
      <c r="O164" s="82"/>
      <c r="P164" s="43"/>
      <c r="Q164" s="43"/>
      <c r="R164" s="82"/>
      <c r="S164" s="69"/>
      <c r="T164" s="82"/>
    </row>
    <row r="165" spans="2:20" x14ac:dyDescent="0.35">
      <c r="B165" s="41"/>
      <c r="C165" s="80"/>
      <c r="D165" s="81"/>
      <c r="E165" s="81"/>
      <c r="F165" s="81"/>
      <c r="G165" s="82"/>
      <c r="H165" s="69"/>
      <c r="I165" s="69"/>
      <c r="J165" s="82"/>
      <c r="K165" s="82"/>
      <c r="L165" s="43"/>
      <c r="M165" s="43"/>
      <c r="N165" s="82"/>
      <c r="O165" s="82"/>
      <c r="P165" s="43"/>
      <c r="Q165" s="43"/>
      <c r="R165" s="82"/>
      <c r="S165" s="69"/>
      <c r="T165" s="82"/>
    </row>
    <row r="166" spans="2:20" x14ac:dyDescent="0.35">
      <c r="B166" s="41"/>
      <c r="C166" s="80"/>
      <c r="D166" s="81"/>
      <c r="E166" s="81"/>
      <c r="F166" s="81"/>
      <c r="G166" s="82"/>
      <c r="H166" s="69"/>
      <c r="I166" s="69"/>
      <c r="J166" s="82"/>
      <c r="K166" s="82"/>
      <c r="L166" s="43"/>
      <c r="M166" s="43"/>
      <c r="N166" s="82"/>
      <c r="O166" s="82"/>
      <c r="P166" s="43"/>
      <c r="Q166" s="43"/>
      <c r="R166" s="82"/>
      <c r="S166" s="69"/>
      <c r="T166" s="82"/>
    </row>
    <row r="167" spans="2:20" x14ac:dyDescent="0.35">
      <c r="B167" s="41"/>
      <c r="C167" s="80"/>
      <c r="D167" s="81"/>
      <c r="E167" s="81"/>
      <c r="F167" s="81"/>
      <c r="G167" s="82"/>
      <c r="H167" s="69"/>
      <c r="I167" s="69"/>
      <c r="J167" s="82"/>
      <c r="K167" s="82"/>
      <c r="L167" s="43"/>
      <c r="M167" s="43"/>
      <c r="N167" s="82"/>
      <c r="O167" s="82"/>
      <c r="P167" s="43"/>
      <c r="Q167" s="43"/>
      <c r="R167" s="82"/>
      <c r="S167" s="69"/>
      <c r="T167" s="82"/>
    </row>
    <row r="168" spans="2:20" x14ac:dyDescent="0.35">
      <c r="B168" s="41"/>
      <c r="C168" s="80"/>
      <c r="D168" s="81"/>
      <c r="E168" s="81"/>
      <c r="F168" s="81"/>
      <c r="G168" s="82"/>
      <c r="H168" s="69"/>
      <c r="I168" s="69"/>
      <c r="J168" s="82"/>
      <c r="K168" s="82"/>
      <c r="L168" s="43"/>
      <c r="M168" s="43"/>
      <c r="N168" s="82"/>
      <c r="O168" s="82"/>
      <c r="P168" s="43"/>
      <c r="Q168" s="43"/>
      <c r="R168" s="82"/>
      <c r="S168" s="69"/>
      <c r="T168" s="82"/>
    </row>
    <row r="169" spans="2:20" x14ac:dyDescent="0.35">
      <c r="B169" s="41"/>
      <c r="C169" s="80"/>
      <c r="D169" s="81"/>
      <c r="E169" s="81"/>
      <c r="F169" s="81"/>
      <c r="G169" s="82"/>
      <c r="H169" s="69"/>
      <c r="I169" s="69"/>
      <c r="J169" s="82"/>
      <c r="K169" s="82"/>
      <c r="L169" s="43"/>
      <c r="M169" s="43"/>
      <c r="N169" s="82"/>
      <c r="O169" s="82"/>
      <c r="P169" s="43"/>
      <c r="Q169" s="43"/>
      <c r="R169" s="82"/>
      <c r="S169" s="69"/>
      <c r="T169" s="82"/>
    </row>
    <row r="170" spans="2:20" x14ac:dyDescent="0.35">
      <c r="B170" s="41"/>
      <c r="C170" s="80"/>
      <c r="D170" s="81"/>
      <c r="E170" s="81"/>
      <c r="F170" s="81"/>
      <c r="G170" s="82"/>
      <c r="H170" s="69"/>
      <c r="I170" s="69"/>
      <c r="J170" s="82"/>
      <c r="K170" s="82"/>
      <c r="L170" s="43"/>
      <c r="M170" s="43"/>
      <c r="N170" s="82"/>
      <c r="O170" s="82"/>
      <c r="P170" s="43"/>
      <c r="Q170" s="43"/>
      <c r="R170" s="82"/>
      <c r="S170" s="69"/>
      <c r="T170" s="82"/>
    </row>
    <row r="171" spans="2:20" x14ac:dyDescent="0.35">
      <c r="B171" s="41"/>
      <c r="C171" s="80"/>
      <c r="D171" s="81"/>
      <c r="E171" s="81"/>
      <c r="F171" s="81"/>
      <c r="G171" s="82"/>
      <c r="H171" s="69"/>
      <c r="I171" s="69"/>
      <c r="J171" s="82"/>
      <c r="K171" s="82"/>
      <c r="L171" s="43"/>
      <c r="M171" s="43"/>
      <c r="N171" s="82"/>
      <c r="O171" s="82"/>
      <c r="P171" s="43"/>
      <c r="Q171" s="43"/>
      <c r="R171" s="82"/>
      <c r="S171" s="69"/>
      <c r="T171" s="82"/>
    </row>
    <row r="172" spans="2:20" x14ac:dyDescent="0.35">
      <c r="B172" s="41"/>
      <c r="C172" s="80"/>
      <c r="D172" s="81"/>
      <c r="E172" s="81"/>
      <c r="F172" s="81"/>
      <c r="G172" s="82"/>
      <c r="H172" s="69"/>
      <c r="I172" s="69"/>
      <c r="J172" s="82"/>
      <c r="K172" s="82"/>
      <c r="L172" s="43"/>
      <c r="M172" s="43"/>
      <c r="N172" s="82"/>
      <c r="O172" s="82"/>
      <c r="P172" s="43"/>
      <c r="Q172" s="43"/>
      <c r="R172" s="82"/>
      <c r="S172" s="69"/>
      <c r="T172" s="82"/>
    </row>
    <row r="173" spans="2:20" x14ac:dyDescent="0.35">
      <c r="B173" s="41"/>
      <c r="C173" s="80"/>
      <c r="D173" s="81"/>
      <c r="E173" s="81"/>
      <c r="F173" s="81"/>
      <c r="G173" s="82"/>
      <c r="H173" s="69"/>
      <c r="I173" s="69"/>
      <c r="J173" s="82"/>
      <c r="K173" s="82"/>
      <c r="L173" s="43"/>
      <c r="M173" s="43"/>
      <c r="N173" s="82"/>
      <c r="O173" s="82"/>
      <c r="P173" s="43"/>
      <c r="Q173" s="43"/>
      <c r="R173" s="82"/>
      <c r="S173" s="69"/>
      <c r="T173" s="82"/>
    </row>
    <row r="174" spans="2:20" x14ac:dyDescent="0.35">
      <c r="B174" s="41"/>
      <c r="C174" s="80"/>
      <c r="D174" s="81"/>
      <c r="E174" s="81"/>
      <c r="F174" s="81"/>
      <c r="G174" s="82"/>
      <c r="H174" s="69"/>
      <c r="I174" s="69"/>
      <c r="J174" s="82"/>
      <c r="K174" s="82"/>
      <c r="L174" s="43"/>
      <c r="M174" s="43"/>
      <c r="N174" s="82"/>
      <c r="O174" s="82"/>
      <c r="P174" s="43"/>
      <c r="Q174" s="43"/>
      <c r="R174" s="82"/>
      <c r="S174" s="69"/>
      <c r="T174" s="82"/>
    </row>
    <row r="175" spans="2:20" x14ac:dyDescent="0.35">
      <c r="B175" s="41"/>
      <c r="C175" s="80"/>
      <c r="D175" s="81"/>
      <c r="E175" s="81"/>
      <c r="F175" s="81"/>
      <c r="G175" s="82"/>
      <c r="H175" s="69"/>
      <c r="I175" s="69"/>
      <c r="J175" s="82"/>
      <c r="K175" s="82"/>
      <c r="L175" s="43"/>
      <c r="M175" s="43"/>
      <c r="N175" s="82"/>
      <c r="O175" s="82"/>
      <c r="P175" s="43"/>
      <c r="Q175" s="43"/>
      <c r="R175" s="82"/>
      <c r="S175" s="69"/>
      <c r="T175" s="82"/>
    </row>
    <row r="176" spans="2:20" x14ac:dyDescent="0.35">
      <c r="B176" s="41"/>
      <c r="C176" s="80"/>
      <c r="D176" s="81"/>
      <c r="E176" s="81"/>
      <c r="F176" s="81"/>
      <c r="G176" s="82"/>
      <c r="H176" s="69"/>
      <c r="I176" s="69"/>
      <c r="J176" s="82"/>
      <c r="K176" s="82"/>
      <c r="L176" s="43"/>
      <c r="M176" s="43"/>
      <c r="N176" s="82"/>
      <c r="O176" s="82"/>
      <c r="P176" s="43"/>
      <c r="Q176" s="43"/>
      <c r="R176" s="82"/>
      <c r="S176" s="69"/>
      <c r="T176" s="82"/>
    </row>
    <row r="177" spans="2:20" x14ac:dyDescent="0.35">
      <c r="B177" s="41"/>
      <c r="C177" s="80"/>
      <c r="D177" s="81"/>
      <c r="E177" s="81"/>
      <c r="F177" s="81"/>
      <c r="G177" s="82"/>
      <c r="H177" s="69"/>
      <c r="I177" s="69"/>
      <c r="J177" s="82"/>
      <c r="K177" s="82"/>
      <c r="L177" s="43"/>
      <c r="M177" s="43"/>
      <c r="N177" s="82"/>
      <c r="O177" s="82"/>
      <c r="P177" s="43"/>
      <c r="Q177" s="43"/>
      <c r="R177" s="82"/>
      <c r="S177" s="69"/>
      <c r="T177" s="82"/>
    </row>
    <row r="178" spans="2:20" x14ac:dyDescent="0.35">
      <c r="B178" s="41"/>
      <c r="C178" s="80"/>
      <c r="D178" s="81"/>
      <c r="E178" s="81"/>
      <c r="F178" s="81"/>
      <c r="G178" s="82"/>
      <c r="H178" s="69"/>
      <c r="I178" s="69"/>
      <c r="J178" s="82"/>
      <c r="K178" s="82"/>
      <c r="L178" s="43"/>
      <c r="M178" s="43"/>
      <c r="N178" s="82"/>
      <c r="O178" s="82"/>
      <c r="P178" s="43"/>
      <c r="Q178" s="43"/>
      <c r="R178" s="82"/>
      <c r="S178" s="69"/>
      <c r="T178" s="82"/>
    </row>
    <row r="179" spans="2:20" x14ac:dyDescent="0.35">
      <c r="B179" s="41"/>
      <c r="C179" s="80"/>
      <c r="D179" s="81"/>
      <c r="E179" s="81"/>
      <c r="F179" s="81"/>
      <c r="G179" s="82"/>
      <c r="H179" s="69"/>
      <c r="I179" s="69"/>
      <c r="J179" s="82"/>
      <c r="K179" s="82"/>
      <c r="L179" s="43"/>
      <c r="M179" s="43"/>
      <c r="N179" s="82"/>
      <c r="O179" s="82"/>
      <c r="P179" s="43"/>
      <c r="Q179" s="43"/>
      <c r="R179" s="82"/>
      <c r="S179" s="69"/>
      <c r="T179" s="82"/>
    </row>
    <row r="180" spans="2:20" x14ac:dyDescent="0.35">
      <c r="B180" s="41"/>
      <c r="C180" s="80"/>
      <c r="D180" s="81"/>
      <c r="E180" s="81"/>
      <c r="F180" s="81"/>
      <c r="G180" s="82"/>
      <c r="H180" s="69"/>
      <c r="I180" s="69"/>
      <c r="J180" s="82"/>
      <c r="K180" s="82"/>
      <c r="L180" s="43"/>
      <c r="M180" s="43"/>
      <c r="N180" s="82"/>
      <c r="O180" s="82"/>
      <c r="P180" s="43"/>
      <c r="Q180" s="43"/>
      <c r="R180" s="82"/>
      <c r="S180" s="69"/>
      <c r="T180" s="82"/>
    </row>
    <row r="181" spans="2:20" x14ac:dyDescent="0.35">
      <c r="B181" s="41"/>
      <c r="C181" s="80"/>
      <c r="D181" s="81"/>
      <c r="E181" s="81"/>
      <c r="F181" s="81"/>
      <c r="G181" s="82"/>
      <c r="H181" s="69"/>
      <c r="I181" s="69"/>
      <c r="J181" s="82"/>
      <c r="K181" s="82"/>
      <c r="L181" s="43"/>
      <c r="M181" s="43"/>
      <c r="N181" s="82"/>
      <c r="O181" s="82"/>
      <c r="P181" s="43"/>
      <c r="Q181" s="43"/>
      <c r="R181" s="82"/>
      <c r="S181" s="69"/>
      <c r="T181" s="82"/>
    </row>
    <row r="182" spans="2:20" x14ac:dyDescent="0.35">
      <c r="B182" s="41"/>
      <c r="C182" s="80"/>
      <c r="D182" s="81"/>
      <c r="E182" s="81"/>
      <c r="F182" s="81"/>
      <c r="G182" s="82"/>
      <c r="H182" s="69"/>
      <c r="I182" s="69"/>
      <c r="J182" s="82"/>
      <c r="K182" s="82"/>
      <c r="L182" s="43"/>
      <c r="M182" s="43"/>
      <c r="N182" s="82"/>
      <c r="O182" s="82"/>
      <c r="P182" s="43"/>
      <c r="Q182" s="43"/>
      <c r="R182" s="82"/>
      <c r="S182" s="69"/>
      <c r="T182" s="82"/>
    </row>
    <row r="183" spans="2:20" x14ac:dyDescent="0.35">
      <c r="B183" s="41"/>
      <c r="C183" s="80"/>
      <c r="D183" s="81"/>
      <c r="E183" s="81"/>
      <c r="F183" s="81"/>
      <c r="G183" s="82"/>
      <c r="H183" s="69"/>
      <c r="I183" s="69"/>
      <c r="J183" s="82"/>
      <c r="K183" s="82"/>
      <c r="L183" s="43"/>
      <c r="M183" s="43"/>
      <c r="N183" s="82"/>
      <c r="O183" s="82"/>
      <c r="P183" s="43"/>
      <c r="Q183" s="43"/>
      <c r="R183" s="82"/>
      <c r="S183" s="69"/>
      <c r="T183" s="82"/>
    </row>
    <row r="184" spans="2:20" x14ac:dyDescent="0.35">
      <c r="B184" s="41"/>
      <c r="C184" s="80"/>
      <c r="D184" s="81"/>
      <c r="E184" s="81"/>
      <c r="F184" s="81"/>
      <c r="G184" s="82"/>
      <c r="H184" s="69"/>
      <c r="I184" s="69"/>
      <c r="J184" s="82"/>
      <c r="K184" s="82"/>
      <c r="L184" s="43"/>
      <c r="M184" s="43"/>
      <c r="N184" s="82"/>
      <c r="O184" s="82"/>
      <c r="P184" s="43"/>
      <c r="Q184" s="43"/>
      <c r="R184" s="82"/>
      <c r="S184" s="69"/>
      <c r="T184" s="82"/>
    </row>
    <row r="185" spans="2:20" x14ac:dyDescent="0.35">
      <c r="B185" s="41"/>
      <c r="C185" s="80"/>
      <c r="D185" s="81"/>
      <c r="E185" s="81"/>
      <c r="F185" s="81"/>
      <c r="G185" s="82"/>
      <c r="H185" s="69"/>
      <c r="I185" s="69"/>
      <c r="J185" s="82"/>
      <c r="K185" s="82"/>
      <c r="L185" s="43"/>
      <c r="M185" s="43"/>
      <c r="N185" s="82"/>
      <c r="O185" s="82"/>
      <c r="P185" s="43"/>
      <c r="Q185" s="43"/>
      <c r="R185" s="82"/>
      <c r="S185" s="69"/>
      <c r="T185" s="82"/>
    </row>
    <row r="186" spans="2:20" x14ac:dyDescent="0.35">
      <c r="B186" s="41"/>
      <c r="C186" s="80"/>
      <c r="D186" s="81"/>
      <c r="E186" s="81"/>
      <c r="F186" s="81"/>
      <c r="G186" s="82"/>
      <c r="H186" s="69"/>
      <c r="I186" s="69"/>
      <c r="J186" s="82"/>
      <c r="K186" s="82"/>
      <c r="L186" s="43"/>
      <c r="M186" s="43"/>
      <c r="N186" s="82"/>
      <c r="O186" s="82"/>
      <c r="P186" s="43"/>
      <c r="Q186" s="43"/>
      <c r="R186" s="82"/>
      <c r="S186" s="69"/>
      <c r="T186" s="82"/>
    </row>
    <row r="187" spans="2:20" x14ac:dyDescent="0.35">
      <c r="B187" s="41"/>
      <c r="C187" s="80"/>
      <c r="D187" s="81"/>
      <c r="E187" s="81"/>
      <c r="F187" s="81"/>
      <c r="G187" s="82"/>
      <c r="H187" s="69"/>
      <c r="I187" s="69"/>
      <c r="J187" s="82"/>
      <c r="K187" s="82"/>
      <c r="L187" s="43"/>
      <c r="M187" s="43"/>
      <c r="N187" s="82"/>
      <c r="O187" s="82"/>
      <c r="P187" s="43"/>
      <c r="Q187" s="43"/>
      <c r="R187" s="82"/>
      <c r="S187" s="69"/>
      <c r="T187" s="82"/>
    </row>
    <row r="188" spans="2:20" x14ac:dyDescent="0.35">
      <c r="B188" s="41"/>
      <c r="C188" s="80"/>
      <c r="D188" s="81"/>
      <c r="E188" s="81"/>
      <c r="F188" s="81"/>
      <c r="G188" s="82"/>
      <c r="H188" s="69"/>
      <c r="I188" s="69"/>
      <c r="J188" s="82"/>
      <c r="K188" s="82"/>
      <c r="L188" s="43"/>
      <c r="M188" s="43"/>
      <c r="N188" s="82"/>
      <c r="O188" s="82"/>
      <c r="P188" s="43"/>
      <c r="Q188" s="43"/>
      <c r="R188" s="82"/>
      <c r="S188" s="69"/>
      <c r="T188" s="82"/>
    </row>
    <row r="189" spans="2:20" x14ac:dyDescent="0.35">
      <c r="B189" s="41"/>
      <c r="C189" s="80"/>
      <c r="D189" s="81"/>
      <c r="E189" s="81"/>
      <c r="F189" s="81"/>
      <c r="G189" s="82"/>
      <c r="H189" s="69"/>
      <c r="I189" s="69"/>
      <c r="J189" s="82"/>
      <c r="K189" s="82"/>
      <c r="L189" s="43"/>
      <c r="M189" s="43"/>
      <c r="N189" s="82"/>
      <c r="O189" s="82"/>
      <c r="P189" s="43"/>
      <c r="Q189" s="43"/>
      <c r="R189" s="82"/>
      <c r="S189" s="69"/>
      <c r="T189" s="82"/>
    </row>
    <row r="190" spans="2:20" x14ac:dyDescent="0.35">
      <c r="B190" s="41"/>
      <c r="C190" s="80"/>
      <c r="D190" s="81"/>
      <c r="E190" s="81"/>
      <c r="F190" s="81"/>
      <c r="G190" s="82"/>
      <c r="H190" s="69"/>
      <c r="I190" s="69"/>
      <c r="J190" s="82"/>
      <c r="K190" s="82"/>
      <c r="L190" s="43"/>
      <c r="M190" s="43"/>
      <c r="N190" s="82"/>
      <c r="O190" s="82"/>
      <c r="P190" s="43"/>
      <c r="Q190" s="43"/>
      <c r="R190" s="82"/>
      <c r="S190" s="69"/>
      <c r="T190" s="82"/>
    </row>
    <row r="191" spans="2:20" x14ac:dyDescent="0.35">
      <c r="B191" s="41"/>
      <c r="C191" s="80"/>
      <c r="D191" s="81"/>
      <c r="E191" s="81"/>
      <c r="F191" s="81"/>
      <c r="G191" s="82"/>
      <c r="H191" s="69"/>
      <c r="I191" s="69"/>
      <c r="J191" s="82"/>
      <c r="K191" s="82"/>
      <c r="L191" s="43"/>
      <c r="M191" s="43"/>
      <c r="N191" s="82"/>
      <c r="O191" s="82"/>
      <c r="P191" s="43"/>
      <c r="Q191" s="43"/>
      <c r="R191" s="82"/>
      <c r="S191" s="69"/>
      <c r="T191" s="82"/>
    </row>
    <row r="192" spans="2:20" x14ac:dyDescent="0.35">
      <c r="B192" s="41"/>
      <c r="C192" s="80"/>
      <c r="D192" s="81"/>
      <c r="E192" s="81"/>
      <c r="F192" s="81"/>
      <c r="G192" s="82"/>
      <c r="H192" s="69"/>
      <c r="I192" s="69"/>
      <c r="J192" s="82"/>
      <c r="K192" s="82"/>
      <c r="L192" s="43"/>
      <c r="M192" s="43"/>
      <c r="N192" s="82"/>
      <c r="O192" s="82"/>
      <c r="P192" s="43"/>
      <c r="Q192" s="43"/>
      <c r="R192" s="82"/>
      <c r="S192" s="69"/>
      <c r="T192" s="82"/>
    </row>
    <row r="193" spans="2:20" x14ac:dyDescent="0.35">
      <c r="B193" s="41"/>
      <c r="C193" s="80"/>
      <c r="D193" s="81"/>
      <c r="E193" s="81"/>
      <c r="F193" s="81"/>
      <c r="G193" s="82"/>
      <c r="H193" s="69"/>
      <c r="I193" s="69"/>
      <c r="J193" s="82"/>
      <c r="K193" s="82"/>
      <c r="L193" s="43"/>
      <c r="M193" s="43"/>
      <c r="N193" s="82"/>
      <c r="O193" s="82"/>
      <c r="P193" s="43"/>
      <c r="Q193" s="43"/>
      <c r="R193" s="82"/>
      <c r="S193" s="69"/>
      <c r="T193" s="82"/>
    </row>
    <row r="194" spans="2:20" x14ac:dyDescent="0.35">
      <c r="B194" s="41"/>
      <c r="C194" s="80"/>
      <c r="D194" s="81"/>
      <c r="E194" s="81"/>
      <c r="F194" s="81"/>
      <c r="G194" s="82"/>
      <c r="H194" s="69"/>
      <c r="I194" s="69"/>
      <c r="J194" s="82"/>
      <c r="K194" s="82"/>
      <c r="L194" s="43"/>
      <c r="M194" s="43"/>
      <c r="N194" s="82"/>
      <c r="O194" s="82"/>
      <c r="P194" s="43"/>
      <c r="Q194" s="43"/>
      <c r="R194" s="82"/>
      <c r="S194" s="69"/>
      <c r="T194" s="82"/>
    </row>
    <row r="195" spans="2:20" x14ac:dyDescent="0.35">
      <c r="B195" s="41"/>
      <c r="C195" s="80"/>
      <c r="D195" s="81"/>
      <c r="E195" s="81"/>
      <c r="F195" s="81"/>
      <c r="G195" s="82"/>
      <c r="H195" s="69"/>
      <c r="I195" s="69"/>
      <c r="J195" s="82"/>
      <c r="K195" s="82"/>
      <c r="L195" s="43"/>
      <c r="M195" s="43"/>
      <c r="N195" s="82"/>
      <c r="O195" s="82"/>
      <c r="P195" s="43"/>
      <c r="Q195" s="43"/>
      <c r="R195" s="82"/>
      <c r="S195" s="69"/>
      <c r="T195" s="82"/>
    </row>
    <row r="196" spans="2:20" x14ac:dyDescent="0.35">
      <c r="B196" s="41"/>
      <c r="C196" s="80"/>
      <c r="D196" s="81"/>
      <c r="E196" s="81"/>
      <c r="F196" s="81"/>
      <c r="G196" s="82"/>
      <c r="H196" s="69"/>
      <c r="I196" s="69"/>
      <c r="J196" s="82"/>
      <c r="K196" s="82"/>
      <c r="L196" s="43"/>
      <c r="M196" s="43"/>
      <c r="N196" s="82"/>
      <c r="O196" s="82"/>
      <c r="P196" s="43"/>
      <c r="Q196" s="43"/>
      <c r="R196" s="82"/>
      <c r="S196" s="69"/>
      <c r="T196" s="82"/>
    </row>
    <row r="197" spans="2:20" x14ac:dyDescent="0.35">
      <c r="B197" s="41"/>
      <c r="C197" s="80"/>
      <c r="D197" s="81"/>
      <c r="E197" s="81"/>
      <c r="F197" s="81"/>
      <c r="G197" s="82"/>
      <c r="H197" s="69"/>
      <c r="I197" s="69"/>
      <c r="J197" s="82"/>
      <c r="K197" s="82"/>
      <c r="L197" s="43"/>
      <c r="M197" s="43"/>
      <c r="N197" s="82"/>
      <c r="O197" s="82"/>
      <c r="P197" s="43"/>
      <c r="Q197" s="43"/>
      <c r="R197" s="82"/>
      <c r="S197" s="69"/>
      <c r="T197" s="82"/>
    </row>
    <row r="198" spans="2:20" x14ac:dyDescent="0.35">
      <c r="B198" s="41"/>
      <c r="C198" s="80"/>
      <c r="D198" s="81"/>
      <c r="E198" s="81"/>
      <c r="F198" s="81"/>
      <c r="G198" s="82"/>
      <c r="H198" s="69"/>
      <c r="I198" s="69"/>
      <c r="J198" s="82"/>
      <c r="K198" s="82"/>
      <c r="L198" s="43"/>
      <c r="M198" s="43"/>
      <c r="N198" s="82"/>
      <c r="O198" s="82"/>
      <c r="P198" s="43"/>
      <c r="Q198" s="43"/>
      <c r="R198" s="82"/>
      <c r="S198" s="69"/>
      <c r="T198" s="82"/>
    </row>
    <row r="199" spans="2:20" x14ac:dyDescent="0.35">
      <c r="B199" s="41"/>
      <c r="C199" s="80"/>
      <c r="D199" s="81"/>
      <c r="E199" s="81"/>
      <c r="F199" s="81"/>
      <c r="G199" s="82"/>
      <c r="H199" s="69"/>
      <c r="I199" s="69"/>
      <c r="J199" s="82"/>
      <c r="K199" s="82"/>
      <c r="L199" s="43"/>
      <c r="M199" s="43"/>
      <c r="N199" s="82"/>
      <c r="O199" s="82"/>
      <c r="P199" s="43"/>
      <c r="Q199" s="43"/>
      <c r="R199" s="82"/>
      <c r="S199" s="69"/>
      <c r="T199" s="82"/>
    </row>
    <row r="200" spans="2:20" x14ac:dyDescent="0.35">
      <c r="B200" s="41"/>
      <c r="C200" s="80"/>
      <c r="D200" s="81"/>
      <c r="E200" s="81"/>
      <c r="F200" s="81"/>
      <c r="G200" s="82"/>
      <c r="H200" s="69"/>
      <c r="I200" s="69"/>
      <c r="J200" s="82"/>
      <c r="K200" s="82"/>
      <c r="L200" s="43"/>
      <c r="M200" s="43"/>
      <c r="N200" s="82"/>
      <c r="O200" s="82"/>
      <c r="P200" s="43"/>
      <c r="Q200" s="43"/>
      <c r="R200" s="82"/>
      <c r="S200" s="69"/>
      <c r="T200" s="82"/>
    </row>
    <row r="201" spans="2:20" x14ac:dyDescent="0.35">
      <c r="B201" s="41"/>
      <c r="C201" s="80"/>
      <c r="D201" s="81"/>
      <c r="E201" s="81"/>
      <c r="F201" s="81"/>
      <c r="G201" s="82"/>
      <c r="H201" s="69"/>
      <c r="I201" s="69"/>
      <c r="J201" s="82"/>
      <c r="K201" s="82"/>
      <c r="L201" s="43"/>
      <c r="M201" s="43"/>
      <c r="N201" s="82"/>
      <c r="O201" s="82"/>
      <c r="P201" s="43"/>
      <c r="Q201" s="43"/>
      <c r="R201" s="82"/>
      <c r="S201" s="69"/>
      <c r="T201" s="82"/>
    </row>
    <row r="202" spans="2:20" x14ac:dyDescent="0.35">
      <c r="B202" s="41"/>
      <c r="C202" s="80"/>
      <c r="D202" s="81"/>
      <c r="E202" s="81"/>
      <c r="F202" s="81"/>
      <c r="G202" s="82"/>
      <c r="H202" s="69"/>
      <c r="I202" s="69"/>
      <c r="J202" s="82"/>
      <c r="K202" s="82"/>
      <c r="L202" s="43"/>
      <c r="M202" s="43"/>
      <c r="N202" s="82"/>
      <c r="O202" s="82"/>
      <c r="P202" s="43"/>
      <c r="Q202" s="43"/>
      <c r="R202" s="82"/>
      <c r="S202" s="69"/>
      <c r="T202" s="82"/>
    </row>
    <row r="203" spans="2:20" x14ac:dyDescent="0.35">
      <c r="B203" s="41"/>
      <c r="C203" s="80"/>
      <c r="D203" s="81"/>
      <c r="E203" s="81"/>
      <c r="F203" s="81"/>
      <c r="G203" s="82"/>
      <c r="H203" s="69"/>
      <c r="I203" s="69"/>
      <c r="J203" s="82"/>
      <c r="K203" s="82"/>
      <c r="L203" s="43"/>
      <c r="M203" s="43"/>
      <c r="N203" s="82"/>
      <c r="O203" s="82"/>
      <c r="P203" s="43"/>
      <c r="Q203" s="43"/>
      <c r="R203" s="82"/>
      <c r="S203" s="69"/>
      <c r="T203" s="82"/>
    </row>
    <row r="204" spans="2:20" x14ac:dyDescent="0.35">
      <c r="B204" s="41"/>
      <c r="C204" s="80"/>
      <c r="D204" s="81"/>
      <c r="E204" s="81"/>
      <c r="F204" s="81"/>
      <c r="G204" s="82"/>
      <c r="H204" s="69"/>
      <c r="I204" s="69"/>
      <c r="J204" s="82"/>
      <c r="K204" s="82"/>
      <c r="L204" s="43"/>
      <c r="M204" s="43"/>
      <c r="N204" s="82"/>
      <c r="O204" s="82"/>
      <c r="P204" s="43"/>
      <c r="Q204" s="43"/>
      <c r="R204" s="82"/>
      <c r="S204" s="69"/>
      <c r="T204" s="82"/>
    </row>
    <row r="205" spans="2:20" x14ac:dyDescent="0.35">
      <c r="B205" s="41"/>
      <c r="C205" s="80"/>
      <c r="D205" s="81"/>
      <c r="E205" s="81"/>
      <c r="F205" s="81"/>
      <c r="G205" s="82"/>
      <c r="H205" s="69"/>
      <c r="I205" s="69"/>
      <c r="J205" s="82"/>
      <c r="K205" s="82"/>
      <c r="L205" s="43"/>
      <c r="M205" s="43"/>
      <c r="N205" s="82"/>
      <c r="O205" s="82"/>
      <c r="P205" s="43"/>
      <c r="Q205" s="43"/>
      <c r="R205" s="82"/>
      <c r="S205" s="69"/>
      <c r="T205" s="82"/>
    </row>
    <row r="206" spans="2:20" x14ac:dyDescent="0.35">
      <c r="B206" s="41"/>
      <c r="C206" s="80"/>
      <c r="D206" s="81"/>
      <c r="E206" s="81"/>
      <c r="F206" s="81"/>
      <c r="G206" s="82"/>
      <c r="H206" s="69"/>
      <c r="I206" s="69"/>
      <c r="J206" s="82"/>
      <c r="K206" s="82"/>
      <c r="L206" s="43"/>
      <c r="M206" s="43"/>
      <c r="N206" s="82"/>
      <c r="O206" s="82"/>
      <c r="P206" s="43"/>
      <c r="Q206" s="43"/>
      <c r="R206" s="82"/>
      <c r="S206" s="69"/>
      <c r="T206" s="82"/>
    </row>
    <row r="207" spans="2:20" x14ac:dyDescent="0.35">
      <c r="B207" s="41"/>
      <c r="C207" s="80"/>
      <c r="D207" s="81"/>
      <c r="E207" s="81"/>
      <c r="F207" s="81"/>
      <c r="G207" s="82"/>
      <c r="H207" s="69"/>
      <c r="I207" s="69"/>
      <c r="J207" s="82"/>
      <c r="K207" s="82"/>
      <c r="L207" s="43"/>
      <c r="M207" s="43"/>
      <c r="N207" s="82"/>
      <c r="O207" s="82"/>
      <c r="P207" s="43"/>
      <c r="Q207" s="43"/>
      <c r="R207" s="82"/>
      <c r="S207" s="69"/>
      <c r="T207" s="82"/>
    </row>
    <row r="208" spans="2:20" x14ac:dyDescent="0.35">
      <c r="B208" s="41"/>
      <c r="C208" s="80"/>
      <c r="D208" s="81"/>
      <c r="E208" s="81"/>
      <c r="F208" s="81"/>
      <c r="G208" s="82"/>
      <c r="H208" s="69"/>
      <c r="I208" s="69"/>
      <c r="J208" s="82"/>
      <c r="K208" s="82"/>
      <c r="L208" s="43"/>
      <c r="M208" s="43"/>
      <c r="N208" s="82"/>
      <c r="O208" s="82"/>
      <c r="P208" s="43"/>
      <c r="Q208" s="43"/>
      <c r="R208" s="82"/>
      <c r="S208" s="69"/>
      <c r="T208" s="82"/>
    </row>
    <row r="209" spans="2:20" x14ac:dyDescent="0.35">
      <c r="B209" s="41"/>
      <c r="C209" s="80"/>
      <c r="D209" s="81"/>
      <c r="E209" s="81"/>
      <c r="F209" s="81"/>
      <c r="G209" s="82"/>
      <c r="H209" s="69"/>
      <c r="I209" s="69"/>
      <c r="J209" s="82"/>
      <c r="K209" s="82"/>
      <c r="L209" s="43"/>
      <c r="M209" s="43"/>
      <c r="N209" s="82"/>
      <c r="O209" s="82"/>
      <c r="P209" s="43"/>
      <c r="Q209" s="43"/>
      <c r="R209" s="82"/>
      <c r="S209" s="69"/>
      <c r="T209" s="82"/>
    </row>
    <row r="210" spans="2:20" x14ac:dyDescent="0.35">
      <c r="B210" s="41"/>
      <c r="C210" s="80"/>
      <c r="D210" s="81"/>
      <c r="E210" s="81"/>
      <c r="F210" s="81"/>
      <c r="G210" s="82"/>
      <c r="H210" s="69"/>
      <c r="I210" s="69"/>
      <c r="J210" s="82"/>
      <c r="K210" s="82"/>
      <c r="L210" s="43"/>
      <c r="M210" s="43"/>
      <c r="N210" s="82"/>
      <c r="O210" s="82"/>
      <c r="P210" s="43"/>
      <c r="Q210" s="43"/>
      <c r="R210" s="82"/>
      <c r="S210" s="69"/>
      <c r="T210" s="82"/>
    </row>
    <row r="211" spans="2:20" x14ac:dyDescent="0.35">
      <c r="B211" s="41"/>
      <c r="C211" s="80"/>
      <c r="D211" s="81"/>
      <c r="E211" s="81"/>
      <c r="F211" s="81"/>
      <c r="G211" s="82"/>
      <c r="H211" s="69"/>
      <c r="I211" s="69"/>
      <c r="J211" s="82"/>
      <c r="K211" s="82"/>
      <c r="L211" s="43"/>
      <c r="M211" s="43"/>
      <c r="N211" s="82"/>
      <c r="O211" s="82"/>
      <c r="P211" s="43"/>
      <c r="Q211" s="43"/>
      <c r="R211" s="82"/>
      <c r="S211" s="69"/>
      <c r="T211" s="82"/>
    </row>
    <row r="212" spans="2:20" x14ac:dyDescent="0.35">
      <c r="B212" s="41"/>
      <c r="C212" s="80"/>
      <c r="D212" s="81"/>
      <c r="E212" s="81"/>
      <c r="F212" s="81"/>
      <c r="G212" s="82"/>
      <c r="H212" s="69"/>
      <c r="I212" s="69"/>
      <c r="J212" s="82"/>
      <c r="K212" s="82"/>
      <c r="L212" s="43"/>
      <c r="M212" s="43"/>
      <c r="N212" s="82"/>
      <c r="O212" s="82"/>
      <c r="P212" s="43"/>
      <c r="Q212" s="43"/>
      <c r="R212" s="82"/>
      <c r="S212" s="69"/>
      <c r="T212" s="82"/>
    </row>
    <row r="213" spans="2:20" x14ac:dyDescent="0.35">
      <c r="B213" s="41"/>
      <c r="C213" s="80"/>
      <c r="D213" s="81"/>
      <c r="E213" s="81"/>
      <c r="F213" s="81"/>
      <c r="G213" s="82"/>
      <c r="H213" s="69"/>
      <c r="I213" s="69"/>
      <c r="J213" s="82"/>
      <c r="K213" s="82"/>
      <c r="L213" s="43"/>
      <c r="M213" s="43"/>
      <c r="N213" s="82"/>
      <c r="O213" s="82"/>
      <c r="P213" s="43"/>
      <c r="Q213" s="43"/>
      <c r="R213" s="82"/>
      <c r="S213" s="69"/>
      <c r="T213" s="82"/>
    </row>
    <row r="214" spans="2:20" x14ac:dyDescent="0.35">
      <c r="B214" s="41"/>
      <c r="C214" s="80"/>
      <c r="D214" s="81"/>
      <c r="E214" s="81"/>
      <c r="F214" s="81"/>
      <c r="G214" s="82"/>
      <c r="H214" s="69"/>
      <c r="I214" s="69"/>
      <c r="J214" s="82"/>
      <c r="K214" s="82"/>
      <c r="L214" s="43"/>
      <c r="M214" s="43"/>
      <c r="N214" s="82"/>
      <c r="O214" s="82"/>
      <c r="P214" s="43"/>
      <c r="Q214" s="43"/>
      <c r="R214" s="82"/>
      <c r="S214" s="69"/>
      <c r="T214" s="82"/>
    </row>
    <row r="215" spans="2:20" x14ac:dyDescent="0.35">
      <c r="B215" s="41"/>
      <c r="C215" s="80"/>
      <c r="D215" s="81"/>
      <c r="E215" s="81"/>
      <c r="F215" s="81"/>
      <c r="G215" s="82"/>
      <c r="H215" s="69"/>
      <c r="I215" s="69"/>
      <c r="J215" s="82"/>
      <c r="K215" s="82"/>
      <c r="L215" s="43"/>
      <c r="M215" s="43"/>
      <c r="N215" s="82"/>
      <c r="O215" s="82"/>
      <c r="P215" s="43"/>
      <c r="Q215" s="43"/>
      <c r="R215" s="82"/>
      <c r="S215" s="69"/>
      <c r="T215" s="82"/>
    </row>
    <row r="216" spans="2:20" x14ac:dyDescent="0.35">
      <c r="B216" s="41"/>
      <c r="C216" s="80"/>
      <c r="D216" s="81"/>
      <c r="E216" s="81"/>
      <c r="F216" s="81"/>
      <c r="G216" s="82"/>
      <c r="H216" s="69"/>
      <c r="I216" s="69"/>
      <c r="J216" s="82"/>
      <c r="K216" s="82"/>
      <c r="L216" s="43"/>
      <c r="M216" s="43"/>
      <c r="N216" s="82"/>
      <c r="O216" s="82"/>
      <c r="P216" s="43"/>
      <c r="Q216" s="43"/>
      <c r="R216" s="82"/>
      <c r="S216" s="69"/>
      <c r="T216" s="82"/>
    </row>
    <row r="217" spans="2:20" x14ac:dyDescent="0.35">
      <c r="B217" s="41"/>
      <c r="C217" s="80"/>
      <c r="D217" s="81"/>
      <c r="E217" s="81"/>
      <c r="F217" s="81"/>
      <c r="G217" s="82"/>
      <c r="H217" s="69"/>
      <c r="I217" s="69"/>
      <c r="J217" s="82"/>
      <c r="K217" s="82"/>
      <c r="L217" s="43"/>
      <c r="M217" s="43"/>
      <c r="N217" s="82"/>
      <c r="O217" s="82"/>
      <c r="P217" s="43"/>
      <c r="Q217" s="43"/>
      <c r="R217" s="82"/>
      <c r="S217" s="69"/>
      <c r="T217" s="82"/>
    </row>
    <row r="218" spans="2:20" x14ac:dyDescent="0.35">
      <c r="B218" s="41"/>
      <c r="C218" s="80"/>
      <c r="D218" s="81"/>
      <c r="E218" s="81"/>
      <c r="F218" s="81"/>
      <c r="G218" s="82"/>
      <c r="H218" s="69"/>
      <c r="I218" s="69"/>
      <c r="J218" s="82"/>
      <c r="K218" s="82"/>
      <c r="L218" s="43"/>
      <c r="M218" s="43"/>
      <c r="N218" s="82"/>
      <c r="O218" s="82"/>
      <c r="P218" s="43"/>
      <c r="Q218" s="43"/>
      <c r="R218" s="82"/>
      <c r="S218" s="69"/>
      <c r="T218" s="82"/>
    </row>
    <row r="219" spans="2:20" x14ac:dyDescent="0.35">
      <c r="B219" s="41"/>
      <c r="C219" s="80"/>
      <c r="D219" s="81"/>
      <c r="E219" s="81"/>
      <c r="F219" s="81"/>
      <c r="G219" s="82"/>
      <c r="H219" s="69"/>
      <c r="I219" s="69"/>
      <c r="J219" s="82"/>
      <c r="K219" s="82"/>
      <c r="L219" s="43"/>
      <c r="M219" s="43"/>
      <c r="N219" s="82"/>
      <c r="O219" s="82"/>
      <c r="P219" s="43"/>
      <c r="Q219" s="43"/>
      <c r="R219" s="82"/>
      <c r="S219" s="69"/>
      <c r="T219" s="82"/>
    </row>
    <row r="220" spans="2:20" x14ac:dyDescent="0.35">
      <c r="B220" s="41"/>
      <c r="C220" s="80"/>
      <c r="D220" s="81"/>
      <c r="E220" s="81"/>
      <c r="F220" s="81"/>
      <c r="G220" s="82"/>
      <c r="H220" s="69"/>
      <c r="I220" s="69"/>
      <c r="J220" s="82"/>
      <c r="K220" s="82"/>
      <c r="L220" s="43"/>
      <c r="M220" s="43"/>
      <c r="N220" s="82"/>
      <c r="O220" s="82"/>
      <c r="P220" s="43"/>
      <c r="Q220" s="43"/>
      <c r="R220" s="82"/>
      <c r="S220" s="69"/>
      <c r="T220" s="82"/>
    </row>
    <row r="221" spans="2:20" x14ac:dyDescent="0.35">
      <c r="B221" s="41"/>
      <c r="C221" s="80"/>
      <c r="D221" s="81"/>
      <c r="E221" s="81"/>
      <c r="F221" s="81"/>
      <c r="G221" s="82"/>
      <c r="H221" s="69"/>
      <c r="I221" s="69"/>
      <c r="J221" s="82"/>
      <c r="K221" s="82"/>
      <c r="L221" s="43"/>
      <c r="M221" s="43"/>
      <c r="N221" s="82"/>
      <c r="O221" s="82"/>
      <c r="P221" s="43"/>
      <c r="Q221" s="43"/>
      <c r="R221" s="82"/>
      <c r="S221" s="69"/>
      <c r="T221" s="82"/>
    </row>
    <row r="222" spans="2:20" x14ac:dyDescent="0.35">
      <c r="B222" s="41"/>
      <c r="C222" s="80"/>
      <c r="D222" s="81"/>
      <c r="E222" s="81"/>
      <c r="F222" s="81"/>
      <c r="G222" s="82"/>
      <c r="H222" s="69"/>
      <c r="I222" s="69"/>
      <c r="J222" s="82"/>
      <c r="K222" s="82"/>
      <c r="L222" s="43"/>
      <c r="M222" s="43"/>
      <c r="N222" s="82"/>
      <c r="O222" s="82"/>
      <c r="P222" s="43"/>
      <c r="Q222" s="43"/>
      <c r="R222" s="82"/>
      <c r="S222" s="69"/>
      <c r="T222" s="82"/>
    </row>
    <row r="223" spans="2:20" x14ac:dyDescent="0.35">
      <c r="B223" s="41"/>
      <c r="C223" s="80"/>
      <c r="D223" s="81"/>
      <c r="E223" s="81"/>
      <c r="F223" s="81"/>
      <c r="G223" s="82"/>
      <c r="H223" s="69"/>
      <c r="I223" s="69"/>
      <c r="J223" s="82"/>
      <c r="K223" s="82"/>
      <c r="L223" s="43"/>
      <c r="M223" s="43"/>
      <c r="N223" s="82"/>
      <c r="O223" s="82"/>
      <c r="P223" s="43"/>
      <c r="Q223" s="43"/>
      <c r="R223" s="82"/>
      <c r="S223" s="69"/>
      <c r="T223" s="82"/>
    </row>
    <row r="224" spans="2:20" x14ac:dyDescent="0.35">
      <c r="B224" s="41"/>
      <c r="C224" s="80"/>
      <c r="D224" s="81"/>
      <c r="E224" s="81"/>
      <c r="F224" s="81"/>
      <c r="G224" s="82"/>
      <c r="H224" s="69"/>
      <c r="I224" s="69"/>
      <c r="J224" s="82"/>
      <c r="K224" s="82"/>
      <c r="L224" s="43"/>
      <c r="M224" s="43"/>
      <c r="N224" s="82"/>
      <c r="O224" s="82"/>
      <c r="P224" s="43"/>
      <c r="Q224" s="43"/>
      <c r="R224" s="82"/>
      <c r="S224" s="69"/>
      <c r="T224" s="82"/>
    </row>
    <row r="225" spans="2:20" x14ac:dyDescent="0.35">
      <c r="B225" s="41"/>
      <c r="C225" s="80"/>
      <c r="D225" s="81"/>
      <c r="E225" s="81"/>
      <c r="F225" s="81"/>
      <c r="G225" s="82"/>
      <c r="H225" s="69"/>
      <c r="I225" s="69"/>
      <c r="J225" s="82"/>
      <c r="K225" s="82"/>
      <c r="L225" s="43"/>
      <c r="M225" s="43"/>
      <c r="N225" s="82"/>
      <c r="O225" s="82"/>
      <c r="P225" s="43"/>
      <c r="Q225" s="43"/>
      <c r="R225" s="82"/>
      <c r="S225" s="69"/>
      <c r="T225" s="82"/>
    </row>
    <row r="226" spans="2:20" x14ac:dyDescent="0.35">
      <c r="B226" s="41"/>
      <c r="C226" s="80"/>
      <c r="D226" s="81"/>
      <c r="E226" s="81"/>
      <c r="F226" s="81"/>
      <c r="G226" s="82"/>
      <c r="H226" s="69"/>
      <c r="I226" s="69"/>
      <c r="J226" s="82"/>
      <c r="K226" s="82"/>
      <c r="L226" s="43"/>
      <c r="M226" s="43"/>
      <c r="N226" s="82"/>
      <c r="O226" s="82"/>
      <c r="P226" s="43"/>
      <c r="Q226" s="43"/>
      <c r="R226" s="82"/>
      <c r="S226" s="69"/>
      <c r="T226" s="82"/>
    </row>
    <row r="227" spans="2:20" x14ac:dyDescent="0.35">
      <c r="B227" s="41"/>
      <c r="C227" s="80"/>
      <c r="D227" s="81"/>
      <c r="E227" s="81"/>
      <c r="F227" s="81"/>
      <c r="G227" s="82"/>
      <c r="H227" s="69"/>
      <c r="I227" s="69"/>
      <c r="J227" s="82"/>
      <c r="K227" s="82"/>
      <c r="L227" s="43"/>
      <c r="M227" s="43"/>
      <c r="N227" s="82"/>
      <c r="O227" s="82"/>
      <c r="P227" s="43"/>
      <c r="Q227" s="43"/>
      <c r="R227" s="82"/>
      <c r="S227" s="69"/>
      <c r="T227" s="82"/>
    </row>
    <row r="228" spans="2:20" x14ac:dyDescent="0.35">
      <c r="B228" s="41"/>
      <c r="C228" s="80"/>
      <c r="D228" s="81"/>
      <c r="E228" s="81"/>
      <c r="F228" s="81"/>
      <c r="G228" s="82"/>
      <c r="H228" s="69"/>
      <c r="I228" s="69"/>
      <c r="J228" s="82"/>
      <c r="K228" s="82"/>
      <c r="L228" s="43"/>
      <c r="M228" s="43"/>
      <c r="N228" s="82"/>
      <c r="O228" s="82"/>
      <c r="P228" s="43"/>
      <c r="Q228" s="43"/>
      <c r="R228" s="82"/>
      <c r="S228" s="69"/>
      <c r="T228" s="82"/>
    </row>
    <row r="229" spans="2:20" x14ac:dyDescent="0.35">
      <c r="B229" s="41"/>
      <c r="C229" s="80"/>
      <c r="D229" s="81"/>
      <c r="E229" s="81"/>
      <c r="F229" s="81"/>
      <c r="G229" s="82"/>
      <c r="H229" s="69"/>
      <c r="I229" s="69"/>
      <c r="J229" s="82"/>
      <c r="K229" s="82"/>
      <c r="L229" s="43"/>
      <c r="M229" s="43"/>
      <c r="N229" s="82"/>
      <c r="O229" s="82"/>
      <c r="P229" s="43"/>
      <c r="Q229" s="43"/>
      <c r="R229" s="82"/>
      <c r="S229" s="69"/>
      <c r="T229" s="82"/>
    </row>
    <row r="230" spans="2:20" x14ac:dyDescent="0.35">
      <c r="B230" s="41"/>
      <c r="C230" s="80"/>
      <c r="D230" s="81"/>
      <c r="E230" s="81"/>
      <c r="F230" s="81"/>
      <c r="G230" s="82"/>
      <c r="H230" s="69"/>
      <c r="I230" s="69"/>
      <c r="J230" s="82"/>
      <c r="K230" s="82"/>
      <c r="L230" s="43"/>
      <c r="M230" s="43"/>
      <c r="N230" s="82"/>
      <c r="O230" s="82"/>
      <c r="P230" s="43"/>
      <c r="Q230" s="43"/>
      <c r="R230" s="82"/>
      <c r="S230" s="69"/>
      <c r="T230" s="82"/>
    </row>
    <row r="231" spans="2:20" x14ac:dyDescent="0.35">
      <c r="B231" s="41"/>
      <c r="C231" s="80"/>
      <c r="D231" s="81"/>
      <c r="E231" s="81"/>
      <c r="F231" s="81"/>
      <c r="G231" s="82"/>
      <c r="H231" s="69"/>
      <c r="I231" s="69"/>
      <c r="J231" s="82"/>
      <c r="K231" s="82"/>
      <c r="L231" s="43"/>
      <c r="M231" s="43"/>
      <c r="N231" s="82"/>
      <c r="O231" s="82"/>
      <c r="P231" s="43"/>
      <c r="Q231" s="43"/>
      <c r="R231" s="82"/>
      <c r="S231" s="69"/>
      <c r="T231" s="82"/>
    </row>
    <row r="232" spans="2:20" x14ac:dyDescent="0.35">
      <c r="B232" s="41"/>
      <c r="C232" s="80"/>
      <c r="D232" s="81"/>
      <c r="E232" s="81"/>
      <c r="F232" s="81"/>
      <c r="G232" s="82"/>
      <c r="H232" s="69"/>
      <c r="I232" s="69"/>
      <c r="J232" s="82"/>
      <c r="K232" s="82"/>
      <c r="L232" s="43"/>
      <c r="M232" s="43"/>
      <c r="N232" s="82"/>
      <c r="O232" s="82"/>
      <c r="P232" s="43"/>
      <c r="Q232" s="43"/>
      <c r="R232" s="82"/>
      <c r="S232" s="69"/>
      <c r="T232" s="82"/>
    </row>
    <row r="233" spans="2:20" x14ac:dyDescent="0.35">
      <c r="B233" s="41"/>
      <c r="C233" s="80"/>
      <c r="D233" s="81"/>
      <c r="E233" s="81"/>
      <c r="F233" s="81"/>
      <c r="G233" s="82"/>
      <c r="H233" s="69"/>
      <c r="I233" s="69"/>
      <c r="J233" s="82"/>
      <c r="K233" s="82"/>
      <c r="L233" s="43"/>
      <c r="M233" s="43"/>
      <c r="N233" s="82"/>
      <c r="O233" s="82"/>
      <c r="P233" s="43"/>
      <c r="Q233" s="43"/>
      <c r="R233" s="82"/>
      <c r="S233" s="69"/>
      <c r="T233" s="82"/>
    </row>
    <row r="234" spans="2:20" x14ac:dyDescent="0.35">
      <c r="B234" s="41"/>
      <c r="C234" s="80"/>
      <c r="D234" s="81"/>
      <c r="E234" s="81"/>
      <c r="F234" s="81"/>
      <c r="G234" s="82"/>
      <c r="H234" s="69"/>
      <c r="I234" s="69"/>
      <c r="J234" s="82"/>
      <c r="K234" s="82"/>
      <c r="L234" s="43"/>
      <c r="M234" s="43"/>
      <c r="N234" s="82"/>
      <c r="O234" s="82"/>
      <c r="P234" s="43"/>
      <c r="Q234" s="43"/>
      <c r="R234" s="82"/>
      <c r="S234" s="69"/>
      <c r="T234" s="82"/>
    </row>
    <row r="235" spans="2:20" x14ac:dyDescent="0.35">
      <c r="B235" s="41"/>
      <c r="C235" s="80"/>
      <c r="D235" s="81"/>
      <c r="E235" s="81"/>
      <c r="F235" s="81"/>
      <c r="G235" s="82"/>
      <c r="H235" s="69"/>
      <c r="I235" s="69"/>
      <c r="J235" s="82"/>
      <c r="K235" s="82"/>
      <c r="L235" s="43"/>
      <c r="M235" s="43"/>
      <c r="N235" s="82"/>
      <c r="O235" s="82"/>
      <c r="P235" s="43"/>
      <c r="Q235" s="43"/>
      <c r="R235" s="82"/>
      <c r="S235" s="69"/>
      <c r="T235" s="82"/>
    </row>
    <row r="236" spans="2:20" x14ac:dyDescent="0.35">
      <c r="B236" s="41"/>
      <c r="C236" s="80"/>
      <c r="D236" s="81"/>
      <c r="E236" s="81"/>
      <c r="F236" s="81"/>
      <c r="G236" s="82"/>
      <c r="H236" s="69"/>
      <c r="I236" s="69"/>
      <c r="J236" s="82"/>
      <c r="K236" s="82"/>
      <c r="L236" s="43"/>
      <c r="M236" s="43"/>
      <c r="N236" s="82"/>
      <c r="O236" s="82"/>
      <c r="P236" s="43"/>
      <c r="Q236" s="43"/>
      <c r="R236" s="82"/>
      <c r="S236" s="69"/>
      <c r="T236" s="82"/>
    </row>
    <row r="237" spans="2:20" x14ac:dyDescent="0.35">
      <c r="B237" s="41"/>
      <c r="C237" s="80"/>
      <c r="D237" s="81"/>
      <c r="E237" s="81"/>
      <c r="F237" s="81"/>
      <c r="G237" s="82"/>
      <c r="H237" s="69"/>
      <c r="I237" s="69"/>
      <c r="J237" s="82"/>
      <c r="K237" s="82"/>
      <c r="L237" s="43"/>
      <c r="M237" s="43"/>
      <c r="N237" s="82"/>
      <c r="O237" s="82"/>
      <c r="P237" s="43"/>
      <c r="Q237" s="43"/>
      <c r="R237" s="82"/>
      <c r="S237" s="69"/>
      <c r="T237" s="82"/>
    </row>
    <row r="238" spans="2:20" x14ac:dyDescent="0.35">
      <c r="B238" s="41"/>
      <c r="C238" s="80"/>
      <c r="D238" s="81"/>
      <c r="E238" s="81"/>
      <c r="F238" s="81"/>
      <c r="G238" s="82"/>
      <c r="H238" s="69"/>
      <c r="I238" s="69"/>
      <c r="J238" s="82"/>
      <c r="K238" s="82"/>
      <c r="L238" s="43"/>
      <c r="M238" s="43"/>
      <c r="N238" s="82"/>
      <c r="O238" s="82"/>
      <c r="P238" s="43"/>
      <c r="Q238" s="43"/>
      <c r="R238" s="82"/>
      <c r="S238" s="69"/>
      <c r="T238" s="82"/>
    </row>
    <row r="239" spans="2:20" x14ac:dyDescent="0.35">
      <c r="B239" s="41"/>
      <c r="C239" s="80"/>
      <c r="D239" s="81"/>
      <c r="E239" s="81"/>
      <c r="F239" s="81"/>
      <c r="G239" s="82"/>
      <c r="H239" s="69"/>
      <c r="I239" s="69"/>
      <c r="J239" s="82"/>
      <c r="K239" s="82"/>
      <c r="L239" s="43"/>
      <c r="M239" s="43"/>
      <c r="N239" s="82"/>
      <c r="O239" s="82"/>
      <c r="P239" s="43"/>
      <c r="Q239" s="43"/>
      <c r="R239" s="82"/>
      <c r="S239" s="69"/>
      <c r="T239" s="82"/>
    </row>
    <row r="240" spans="2:20" x14ac:dyDescent="0.35">
      <c r="B240" s="41"/>
      <c r="C240" s="80"/>
      <c r="D240" s="81"/>
      <c r="E240" s="81"/>
      <c r="F240" s="81"/>
      <c r="G240" s="82"/>
      <c r="H240" s="69"/>
      <c r="I240" s="69"/>
      <c r="J240" s="82"/>
      <c r="K240" s="82"/>
      <c r="L240" s="43"/>
      <c r="M240" s="43"/>
      <c r="N240" s="82"/>
      <c r="O240" s="82"/>
      <c r="P240" s="43"/>
      <c r="Q240" s="43"/>
      <c r="R240" s="82"/>
      <c r="S240" s="69"/>
      <c r="T240" s="82"/>
    </row>
    <row r="241" spans="2:20" x14ac:dyDescent="0.35">
      <c r="B241" s="41"/>
      <c r="C241" s="80"/>
      <c r="D241" s="81"/>
      <c r="E241" s="81"/>
      <c r="F241" s="81"/>
      <c r="G241" s="82"/>
      <c r="H241" s="69"/>
      <c r="I241" s="69"/>
      <c r="J241" s="82"/>
      <c r="K241" s="82"/>
      <c r="L241" s="43"/>
      <c r="M241" s="43"/>
      <c r="N241" s="82"/>
      <c r="O241" s="82"/>
      <c r="P241" s="43"/>
      <c r="Q241" s="43"/>
      <c r="R241" s="82"/>
      <c r="S241" s="69"/>
      <c r="T241" s="82"/>
    </row>
    <row r="242" spans="2:20" x14ac:dyDescent="0.35">
      <c r="B242" s="41"/>
      <c r="C242" s="80"/>
      <c r="D242" s="81"/>
      <c r="E242" s="81"/>
      <c r="F242" s="81"/>
      <c r="G242" s="82"/>
      <c r="H242" s="69"/>
      <c r="I242" s="69"/>
      <c r="J242" s="82"/>
      <c r="K242" s="82"/>
      <c r="L242" s="43"/>
      <c r="M242" s="43"/>
      <c r="N242" s="82"/>
      <c r="O242" s="82"/>
      <c r="P242" s="43"/>
      <c r="Q242" s="43"/>
      <c r="R242" s="82"/>
      <c r="S242" s="69"/>
      <c r="T242" s="82"/>
    </row>
    <row r="243" spans="2:20" x14ac:dyDescent="0.35">
      <c r="B243" s="41"/>
      <c r="C243" s="80"/>
      <c r="D243" s="81"/>
      <c r="E243" s="81"/>
      <c r="F243" s="81"/>
      <c r="G243" s="82"/>
      <c r="H243" s="69"/>
      <c r="I243" s="69"/>
      <c r="J243" s="82"/>
      <c r="K243" s="82"/>
      <c r="L243" s="43"/>
      <c r="M243" s="43"/>
      <c r="N243" s="82"/>
      <c r="O243" s="82"/>
      <c r="P243" s="43"/>
      <c r="Q243" s="43"/>
      <c r="R243" s="82"/>
      <c r="S243" s="69"/>
      <c r="T243" s="82"/>
    </row>
    <row r="244" spans="2:20" x14ac:dyDescent="0.35">
      <c r="B244" s="41"/>
      <c r="C244" s="80"/>
      <c r="D244" s="81"/>
      <c r="E244" s="81"/>
      <c r="F244" s="81"/>
      <c r="G244" s="82"/>
      <c r="H244" s="69"/>
      <c r="I244" s="69"/>
      <c r="J244" s="82"/>
      <c r="K244" s="82"/>
      <c r="L244" s="43"/>
      <c r="M244" s="43"/>
      <c r="N244" s="82"/>
      <c r="O244" s="82"/>
      <c r="P244" s="43"/>
      <c r="Q244" s="43"/>
      <c r="R244" s="82"/>
      <c r="S244" s="69"/>
      <c r="T244" s="82"/>
    </row>
    <row r="245" spans="2:20" x14ac:dyDescent="0.35">
      <c r="B245" s="41"/>
      <c r="C245" s="80"/>
      <c r="D245" s="81"/>
      <c r="E245" s="81"/>
      <c r="F245" s="81"/>
      <c r="G245" s="82"/>
      <c r="H245" s="69"/>
      <c r="I245" s="69"/>
      <c r="J245" s="82"/>
      <c r="K245" s="82"/>
      <c r="L245" s="43"/>
      <c r="M245" s="43"/>
      <c r="N245" s="82"/>
      <c r="O245" s="82"/>
      <c r="P245" s="43"/>
      <c r="Q245" s="43"/>
      <c r="R245" s="82"/>
      <c r="S245" s="69"/>
      <c r="T245" s="82"/>
    </row>
    <row r="246" spans="2:20" x14ac:dyDescent="0.35">
      <c r="B246" s="41"/>
      <c r="C246" s="80"/>
      <c r="D246" s="81"/>
      <c r="E246" s="81"/>
      <c r="F246" s="81"/>
      <c r="G246" s="82"/>
      <c r="H246" s="69"/>
      <c r="I246" s="69"/>
      <c r="J246" s="82"/>
      <c r="K246" s="82"/>
      <c r="L246" s="43"/>
      <c r="M246" s="43"/>
      <c r="N246" s="82"/>
      <c r="O246" s="82"/>
      <c r="P246" s="43"/>
      <c r="Q246" s="43"/>
      <c r="R246" s="82"/>
      <c r="S246" s="69"/>
      <c r="T246" s="82"/>
    </row>
    <row r="247" spans="2:20" x14ac:dyDescent="0.35">
      <c r="B247" s="41"/>
      <c r="C247" s="80"/>
      <c r="D247" s="81"/>
      <c r="E247" s="81"/>
      <c r="F247" s="81"/>
      <c r="G247" s="82"/>
      <c r="H247" s="69"/>
      <c r="I247" s="69"/>
      <c r="J247" s="82"/>
      <c r="K247" s="82"/>
      <c r="L247" s="43"/>
      <c r="M247" s="43"/>
      <c r="N247" s="82"/>
      <c r="O247" s="82"/>
      <c r="P247" s="43"/>
      <c r="Q247" s="43"/>
      <c r="R247" s="82"/>
      <c r="S247" s="69"/>
      <c r="T247" s="82"/>
    </row>
    <row r="248" spans="2:20" x14ac:dyDescent="0.35">
      <c r="B248" s="41"/>
      <c r="C248" s="80"/>
      <c r="D248" s="81"/>
      <c r="E248" s="81"/>
      <c r="F248" s="81"/>
      <c r="G248" s="82"/>
      <c r="H248" s="69"/>
      <c r="I248" s="69"/>
      <c r="J248" s="82"/>
      <c r="K248" s="82"/>
      <c r="L248" s="43"/>
      <c r="M248" s="43"/>
      <c r="N248" s="82"/>
      <c r="O248" s="82"/>
      <c r="P248" s="43"/>
      <c r="Q248" s="43"/>
      <c r="R248" s="82"/>
      <c r="S248" s="69"/>
      <c r="T248" s="82"/>
    </row>
    <row r="249" spans="2:20" x14ac:dyDescent="0.35">
      <c r="B249" s="41"/>
      <c r="C249" s="80"/>
      <c r="D249" s="81"/>
      <c r="E249" s="81"/>
      <c r="F249" s="81"/>
      <c r="G249" s="82"/>
      <c r="H249" s="69"/>
      <c r="I249" s="69"/>
      <c r="J249" s="82"/>
      <c r="K249" s="82"/>
      <c r="L249" s="43"/>
      <c r="M249" s="43"/>
      <c r="N249" s="82"/>
      <c r="O249" s="82"/>
      <c r="P249" s="43"/>
      <c r="Q249" s="43"/>
      <c r="R249" s="82"/>
      <c r="S249" s="69"/>
      <c r="T249" s="82"/>
    </row>
    <row r="250" spans="2:20" x14ac:dyDescent="0.35">
      <c r="B250" s="41"/>
      <c r="C250" s="80"/>
      <c r="D250" s="81"/>
      <c r="E250" s="81"/>
      <c r="F250" s="81"/>
      <c r="G250" s="82"/>
      <c r="H250" s="69"/>
      <c r="I250" s="69"/>
      <c r="J250" s="82"/>
      <c r="K250" s="82"/>
      <c r="L250" s="43"/>
      <c r="M250" s="43"/>
      <c r="N250" s="82"/>
      <c r="O250" s="82"/>
      <c r="P250" s="43"/>
      <c r="Q250" s="43"/>
      <c r="R250" s="82"/>
      <c r="S250" s="69"/>
      <c r="T250" s="82"/>
    </row>
    <row r="251" spans="2:20" x14ac:dyDescent="0.35">
      <c r="B251" s="41"/>
      <c r="C251" s="80"/>
      <c r="D251" s="81"/>
      <c r="E251" s="81"/>
      <c r="F251" s="81"/>
      <c r="G251" s="82"/>
      <c r="H251" s="69"/>
      <c r="I251" s="69"/>
      <c r="J251" s="82"/>
      <c r="K251" s="82"/>
      <c r="L251" s="43"/>
      <c r="M251" s="43"/>
      <c r="N251" s="82"/>
      <c r="O251" s="82"/>
      <c r="P251" s="43"/>
      <c r="Q251" s="43"/>
      <c r="R251" s="82"/>
      <c r="S251" s="69"/>
      <c r="T251" s="82"/>
    </row>
    <row r="252" spans="2:20" x14ac:dyDescent="0.35">
      <c r="B252" s="41"/>
      <c r="C252" s="80"/>
      <c r="D252" s="81"/>
      <c r="E252" s="81"/>
      <c r="F252" s="81"/>
      <c r="G252" s="82"/>
      <c r="H252" s="69"/>
      <c r="I252" s="69"/>
      <c r="J252" s="82"/>
      <c r="K252" s="82"/>
      <c r="L252" s="43"/>
      <c r="M252" s="43"/>
      <c r="N252" s="82"/>
      <c r="O252" s="82"/>
      <c r="P252" s="43"/>
      <c r="Q252" s="43"/>
      <c r="R252" s="82"/>
      <c r="S252" s="69"/>
      <c r="T252" s="82"/>
    </row>
    <row r="253" spans="2:20" x14ac:dyDescent="0.35">
      <c r="B253" s="41"/>
      <c r="C253" s="80"/>
      <c r="D253" s="81"/>
      <c r="E253" s="81"/>
      <c r="F253" s="81"/>
      <c r="G253" s="82"/>
      <c r="H253" s="69"/>
      <c r="I253" s="69"/>
      <c r="J253" s="82"/>
      <c r="K253" s="82"/>
      <c r="L253" s="43"/>
      <c r="M253" s="43"/>
      <c r="N253" s="82"/>
      <c r="O253" s="82"/>
      <c r="P253" s="43"/>
      <c r="Q253" s="43"/>
      <c r="R253" s="82"/>
      <c r="S253" s="69"/>
      <c r="T253" s="82"/>
    </row>
    <row r="254" spans="2:20" x14ac:dyDescent="0.35">
      <c r="B254" s="41"/>
      <c r="C254" s="80"/>
      <c r="D254" s="81"/>
      <c r="E254" s="81"/>
      <c r="F254" s="81"/>
      <c r="G254" s="82"/>
      <c r="H254" s="69"/>
      <c r="I254" s="69"/>
      <c r="J254" s="82"/>
      <c r="K254" s="82"/>
      <c r="L254" s="43"/>
      <c r="M254" s="43"/>
      <c r="N254" s="82"/>
      <c r="O254" s="82"/>
      <c r="P254" s="43"/>
      <c r="Q254" s="43"/>
      <c r="R254" s="82"/>
      <c r="S254" s="69"/>
      <c r="T254" s="82"/>
    </row>
    <row r="255" spans="2:20" x14ac:dyDescent="0.35">
      <c r="B255" s="41"/>
      <c r="C255" s="80"/>
      <c r="D255" s="81"/>
      <c r="E255" s="81"/>
      <c r="F255" s="81"/>
      <c r="G255" s="82"/>
      <c r="H255" s="69"/>
      <c r="I255" s="69"/>
      <c r="J255" s="82"/>
      <c r="K255" s="82"/>
      <c r="L255" s="43"/>
      <c r="M255" s="43"/>
      <c r="N255" s="82"/>
      <c r="O255" s="82"/>
      <c r="P255" s="43"/>
      <c r="Q255" s="43"/>
      <c r="R255" s="82"/>
      <c r="S255" s="69"/>
      <c r="T255" s="82"/>
    </row>
    <row r="256" spans="2:20" x14ac:dyDescent="0.35">
      <c r="B256" s="41"/>
      <c r="C256" s="80"/>
      <c r="D256" s="81"/>
      <c r="E256" s="81"/>
      <c r="F256" s="81"/>
      <c r="G256" s="82"/>
      <c r="H256" s="69"/>
      <c r="I256" s="69"/>
      <c r="J256" s="82"/>
      <c r="K256" s="82"/>
      <c r="L256" s="43"/>
      <c r="M256" s="43"/>
      <c r="N256" s="82"/>
      <c r="O256" s="82"/>
      <c r="P256" s="43"/>
      <c r="Q256" s="43"/>
      <c r="R256" s="82"/>
      <c r="S256" s="69"/>
      <c r="T256" s="82"/>
    </row>
    <row r="257" spans="2:20" x14ac:dyDescent="0.35">
      <c r="B257" s="41"/>
      <c r="C257" s="80"/>
      <c r="D257" s="81"/>
      <c r="E257" s="81"/>
      <c r="F257" s="81"/>
      <c r="G257" s="82"/>
      <c r="H257" s="69"/>
      <c r="I257" s="69"/>
      <c r="J257" s="82"/>
      <c r="K257" s="82"/>
      <c r="L257" s="43"/>
      <c r="M257" s="43"/>
      <c r="N257" s="82"/>
      <c r="O257" s="82"/>
      <c r="P257" s="43"/>
      <c r="Q257" s="43"/>
      <c r="R257" s="82"/>
      <c r="S257" s="69"/>
      <c r="T257" s="82"/>
    </row>
    <row r="258" spans="2:20" x14ac:dyDescent="0.35">
      <c r="B258" s="41"/>
      <c r="C258" s="80"/>
      <c r="D258" s="81"/>
      <c r="E258" s="81"/>
      <c r="F258" s="81"/>
      <c r="G258" s="82"/>
      <c r="H258" s="69"/>
      <c r="I258" s="69"/>
      <c r="J258" s="82"/>
      <c r="K258" s="82"/>
      <c r="L258" s="43"/>
      <c r="M258" s="43"/>
      <c r="N258" s="82"/>
      <c r="O258" s="82"/>
      <c r="P258" s="43"/>
      <c r="Q258" s="43"/>
      <c r="R258" s="82"/>
      <c r="S258" s="69"/>
      <c r="T258" s="82"/>
    </row>
    <row r="259" spans="2:20" x14ac:dyDescent="0.35">
      <c r="B259" s="41"/>
      <c r="C259" s="80"/>
      <c r="D259" s="81"/>
      <c r="E259" s="81"/>
      <c r="F259" s="81"/>
      <c r="G259" s="82"/>
      <c r="H259" s="69"/>
      <c r="I259" s="69"/>
      <c r="J259" s="82"/>
      <c r="K259" s="82"/>
      <c r="L259" s="43"/>
      <c r="M259" s="43"/>
      <c r="N259" s="82"/>
      <c r="O259" s="82"/>
      <c r="P259" s="43"/>
      <c r="Q259" s="43"/>
      <c r="R259" s="82"/>
      <c r="S259" s="69"/>
      <c r="T259" s="82"/>
    </row>
    <row r="260" spans="2:20" x14ac:dyDescent="0.35">
      <c r="B260" s="41"/>
      <c r="C260" s="80"/>
      <c r="D260" s="81"/>
      <c r="E260" s="81"/>
      <c r="F260" s="81"/>
      <c r="G260" s="82"/>
      <c r="H260" s="69"/>
      <c r="I260" s="69"/>
      <c r="J260" s="82"/>
      <c r="K260" s="82"/>
      <c r="L260" s="43"/>
      <c r="M260" s="43"/>
      <c r="N260" s="82"/>
      <c r="O260" s="82"/>
      <c r="P260" s="43"/>
      <c r="Q260" s="43"/>
      <c r="R260" s="82"/>
      <c r="S260" s="69"/>
      <c r="T260" s="82"/>
    </row>
    <row r="261" spans="2:20" x14ac:dyDescent="0.35">
      <c r="B261" s="41"/>
      <c r="C261" s="80"/>
      <c r="D261" s="81"/>
      <c r="E261" s="81"/>
      <c r="F261" s="81"/>
      <c r="G261" s="82"/>
      <c r="H261" s="69"/>
      <c r="I261" s="69"/>
      <c r="J261" s="82"/>
      <c r="K261" s="82"/>
      <c r="L261" s="43"/>
      <c r="M261" s="43"/>
      <c r="N261" s="82"/>
      <c r="O261" s="82"/>
      <c r="P261" s="43"/>
      <c r="Q261" s="43"/>
      <c r="R261" s="82"/>
      <c r="S261" s="69"/>
      <c r="T261" s="82"/>
    </row>
    <row r="262" spans="2:20" x14ac:dyDescent="0.35">
      <c r="B262" s="41"/>
      <c r="C262" s="80"/>
      <c r="D262" s="81"/>
      <c r="E262" s="81"/>
      <c r="F262" s="81"/>
      <c r="G262" s="82"/>
      <c r="H262" s="69"/>
      <c r="I262" s="69"/>
      <c r="J262" s="82"/>
      <c r="K262" s="82"/>
      <c r="L262" s="43"/>
      <c r="M262" s="43"/>
      <c r="N262" s="82"/>
      <c r="O262" s="82"/>
      <c r="P262" s="43"/>
      <c r="Q262" s="43"/>
      <c r="R262" s="82"/>
      <c r="S262" s="69"/>
      <c r="T262" s="82"/>
    </row>
    <row r="263" spans="2:20" x14ac:dyDescent="0.35">
      <c r="B263" s="41"/>
      <c r="C263" s="80"/>
      <c r="D263" s="81"/>
      <c r="E263" s="81"/>
      <c r="F263" s="81"/>
      <c r="G263" s="82"/>
      <c r="H263" s="69"/>
      <c r="I263" s="69"/>
      <c r="J263" s="82"/>
      <c r="K263" s="82"/>
      <c r="L263" s="43"/>
      <c r="M263" s="43"/>
      <c r="N263" s="82"/>
      <c r="O263" s="82"/>
      <c r="P263" s="43"/>
      <c r="Q263" s="43"/>
      <c r="R263" s="82"/>
      <c r="S263" s="69"/>
      <c r="T263" s="82"/>
    </row>
    <row r="264" spans="2:20" x14ac:dyDescent="0.35">
      <c r="B264" s="41"/>
      <c r="C264" s="80"/>
      <c r="D264" s="81"/>
      <c r="E264" s="81"/>
      <c r="F264" s="81"/>
      <c r="G264" s="82"/>
      <c r="H264" s="69"/>
      <c r="I264" s="69"/>
      <c r="J264" s="82"/>
      <c r="K264" s="82"/>
      <c r="L264" s="43"/>
      <c r="M264" s="43"/>
      <c r="N264" s="82"/>
      <c r="O264" s="82"/>
      <c r="P264" s="43"/>
      <c r="Q264" s="43"/>
      <c r="R264" s="82"/>
      <c r="S264" s="69"/>
      <c r="T264" s="82"/>
    </row>
    <row r="265" spans="2:20" x14ac:dyDescent="0.35">
      <c r="B265" s="41"/>
      <c r="C265" s="80"/>
      <c r="D265" s="81"/>
      <c r="E265" s="81"/>
      <c r="F265" s="81"/>
      <c r="G265" s="82"/>
      <c r="H265" s="69"/>
      <c r="I265" s="69"/>
      <c r="J265" s="82"/>
      <c r="K265" s="82"/>
      <c r="L265" s="43"/>
      <c r="M265" s="43"/>
      <c r="N265" s="82"/>
      <c r="O265" s="82"/>
      <c r="P265" s="43"/>
      <c r="Q265" s="43"/>
      <c r="R265" s="82"/>
      <c r="S265" s="69"/>
      <c r="T265" s="82"/>
    </row>
    <row r="266" spans="2:20" x14ac:dyDescent="0.35">
      <c r="B266" s="41"/>
      <c r="C266" s="80"/>
      <c r="D266" s="81"/>
      <c r="E266" s="81"/>
      <c r="F266" s="81"/>
      <c r="G266" s="82"/>
      <c r="H266" s="69"/>
      <c r="I266" s="69"/>
      <c r="J266" s="82"/>
      <c r="K266" s="82"/>
      <c r="L266" s="43"/>
      <c r="M266" s="43"/>
      <c r="N266" s="82"/>
      <c r="O266" s="82"/>
      <c r="P266" s="43"/>
      <c r="Q266" s="43"/>
      <c r="R266" s="82"/>
      <c r="S266" s="69"/>
      <c r="T266" s="82"/>
    </row>
    <row r="267" spans="2:20" x14ac:dyDescent="0.35">
      <c r="B267" s="41"/>
      <c r="C267" s="80"/>
      <c r="D267" s="81"/>
      <c r="E267" s="81"/>
      <c r="F267" s="81"/>
      <c r="G267" s="82"/>
      <c r="H267" s="69"/>
      <c r="I267" s="69"/>
      <c r="J267" s="82"/>
      <c r="K267" s="82"/>
      <c r="L267" s="43"/>
      <c r="M267" s="43"/>
      <c r="N267" s="82"/>
      <c r="O267" s="82"/>
      <c r="P267" s="43"/>
      <c r="Q267" s="43"/>
      <c r="R267" s="82"/>
      <c r="S267" s="69"/>
      <c r="T267" s="82"/>
    </row>
    <row r="268" spans="2:20" x14ac:dyDescent="0.35">
      <c r="B268" s="41"/>
      <c r="C268" s="80"/>
      <c r="D268" s="81"/>
      <c r="E268" s="81"/>
      <c r="F268" s="81"/>
      <c r="G268" s="82"/>
      <c r="H268" s="69"/>
      <c r="I268" s="69"/>
      <c r="J268" s="82"/>
      <c r="K268" s="82"/>
      <c r="L268" s="43"/>
      <c r="M268" s="43"/>
      <c r="N268" s="82"/>
      <c r="O268" s="82"/>
      <c r="P268" s="43"/>
      <c r="Q268" s="43"/>
      <c r="R268" s="82"/>
      <c r="S268" s="69"/>
      <c r="T268" s="82"/>
    </row>
    <row r="269" spans="2:20" x14ac:dyDescent="0.35">
      <c r="B269" s="41"/>
      <c r="C269" s="80"/>
      <c r="D269" s="81"/>
      <c r="E269" s="81"/>
      <c r="F269" s="81"/>
      <c r="G269" s="82"/>
      <c r="H269" s="69"/>
      <c r="I269" s="69"/>
      <c r="J269" s="82"/>
      <c r="K269" s="82"/>
      <c r="L269" s="43"/>
      <c r="M269" s="43"/>
      <c r="N269" s="82"/>
      <c r="O269" s="82"/>
      <c r="P269" s="43"/>
      <c r="Q269" s="43"/>
      <c r="R269" s="82"/>
      <c r="S269" s="69"/>
      <c r="T269" s="82"/>
    </row>
    <row r="270" spans="2:20" x14ac:dyDescent="0.35">
      <c r="B270" s="41"/>
      <c r="C270" s="80"/>
      <c r="D270" s="81"/>
      <c r="E270" s="81"/>
      <c r="F270" s="81"/>
      <c r="G270" s="82"/>
      <c r="H270" s="69"/>
      <c r="I270" s="69"/>
      <c r="J270" s="82"/>
      <c r="K270" s="82"/>
      <c r="L270" s="43"/>
      <c r="M270" s="43"/>
      <c r="N270" s="82"/>
      <c r="O270" s="82"/>
      <c r="P270" s="43"/>
      <c r="Q270" s="43"/>
      <c r="R270" s="82"/>
      <c r="S270" s="69"/>
      <c r="T270" s="82"/>
    </row>
    <row r="271" spans="2:20" x14ac:dyDescent="0.35">
      <c r="B271" s="41"/>
      <c r="C271" s="80"/>
      <c r="D271" s="81"/>
      <c r="E271" s="81"/>
      <c r="F271" s="81"/>
      <c r="G271" s="82"/>
      <c r="H271" s="69"/>
      <c r="I271" s="69"/>
      <c r="J271" s="82"/>
      <c r="K271" s="82"/>
      <c r="L271" s="43"/>
      <c r="M271" s="43"/>
      <c r="N271" s="82"/>
      <c r="O271" s="82"/>
      <c r="P271" s="43"/>
      <c r="Q271" s="43"/>
      <c r="R271" s="82"/>
      <c r="S271" s="69"/>
      <c r="T271" s="82"/>
    </row>
    <row r="272" spans="2:20" x14ac:dyDescent="0.35">
      <c r="B272" s="41"/>
      <c r="C272" s="80"/>
      <c r="D272" s="81"/>
      <c r="E272" s="81"/>
      <c r="F272" s="81"/>
      <c r="G272" s="82"/>
      <c r="H272" s="69"/>
      <c r="I272" s="69"/>
      <c r="J272" s="82"/>
      <c r="K272" s="82"/>
      <c r="L272" s="43"/>
      <c r="M272" s="43"/>
      <c r="N272" s="82"/>
      <c r="O272" s="82"/>
      <c r="P272" s="43"/>
      <c r="Q272" s="43"/>
      <c r="R272" s="82"/>
      <c r="S272" s="69"/>
      <c r="T272" s="82"/>
    </row>
    <row r="273" spans="2:20" x14ac:dyDescent="0.35">
      <c r="B273" s="41"/>
      <c r="C273" s="80"/>
      <c r="D273" s="81"/>
      <c r="E273" s="81"/>
      <c r="F273" s="81"/>
      <c r="G273" s="82"/>
      <c r="H273" s="69"/>
      <c r="I273" s="69"/>
      <c r="J273" s="82"/>
      <c r="K273" s="82"/>
      <c r="L273" s="43"/>
      <c r="M273" s="43"/>
      <c r="N273" s="82"/>
      <c r="O273" s="82"/>
      <c r="P273" s="43"/>
      <c r="Q273" s="43"/>
      <c r="R273" s="82"/>
      <c r="S273" s="69"/>
      <c r="T273" s="82"/>
    </row>
    <row r="274" spans="2:20" x14ac:dyDescent="0.35">
      <c r="B274" s="41"/>
      <c r="C274" s="80"/>
      <c r="D274" s="81"/>
      <c r="E274" s="81"/>
      <c r="F274" s="81"/>
      <c r="G274" s="82"/>
      <c r="H274" s="69"/>
      <c r="I274" s="69"/>
      <c r="J274" s="82"/>
      <c r="K274" s="82"/>
      <c r="L274" s="43"/>
      <c r="M274" s="43"/>
      <c r="N274" s="82"/>
      <c r="O274" s="82"/>
      <c r="P274" s="43"/>
      <c r="Q274" s="43"/>
      <c r="R274" s="82"/>
      <c r="S274" s="69"/>
      <c r="T274" s="82"/>
    </row>
    <row r="275" spans="2:20" x14ac:dyDescent="0.35">
      <c r="B275" s="41"/>
      <c r="C275" s="80"/>
      <c r="D275" s="81"/>
      <c r="E275" s="81"/>
      <c r="F275" s="81"/>
      <c r="G275" s="82"/>
      <c r="H275" s="69"/>
      <c r="I275" s="69"/>
      <c r="J275" s="82"/>
      <c r="K275" s="82"/>
      <c r="L275" s="43"/>
      <c r="M275" s="43"/>
      <c r="N275" s="82"/>
      <c r="O275" s="82"/>
      <c r="P275" s="43"/>
      <c r="Q275" s="43"/>
      <c r="R275" s="82"/>
      <c r="S275" s="69"/>
      <c r="T275" s="82"/>
    </row>
    <row r="276" spans="2:20" x14ac:dyDescent="0.35">
      <c r="B276" s="41"/>
      <c r="C276" s="80"/>
      <c r="D276" s="81"/>
      <c r="E276" s="81"/>
      <c r="F276" s="81"/>
      <c r="G276" s="82"/>
      <c r="H276" s="69"/>
      <c r="I276" s="69"/>
      <c r="J276" s="82"/>
      <c r="K276" s="82"/>
      <c r="L276" s="43"/>
      <c r="M276" s="43"/>
      <c r="N276" s="82"/>
      <c r="O276" s="82"/>
      <c r="P276" s="43"/>
      <c r="Q276" s="43"/>
      <c r="R276" s="82"/>
      <c r="S276" s="69"/>
      <c r="T276" s="82"/>
    </row>
    <row r="277" spans="2:20" x14ac:dyDescent="0.35">
      <c r="B277" s="41"/>
      <c r="C277" s="80"/>
      <c r="D277" s="81"/>
      <c r="E277" s="81"/>
      <c r="F277" s="81"/>
      <c r="G277" s="82"/>
      <c r="H277" s="69"/>
      <c r="I277" s="69"/>
      <c r="J277" s="82"/>
      <c r="K277" s="82"/>
      <c r="L277" s="43"/>
      <c r="M277" s="43"/>
      <c r="N277" s="82"/>
      <c r="O277" s="82"/>
      <c r="P277" s="43"/>
      <c r="Q277" s="43"/>
      <c r="R277" s="82"/>
      <c r="S277" s="69"/>
      <c r="T277" s="82"/>
    </row>
    <row r="278" spans="2:20" x14ac:dyDescent="0.35">
      <c r="B278" s="41"/>
      <c r="C278" s="80"/>
      <c r="D278" s="81"/>
      <c r="E278" s="81"/>
      <c r="F278" s="81"/>
      <c r="G278" s="82"/>
      <c r="H278" s="69"/>
      <c r="I278" s="69"/>
      <c r="J278" s="82"/>
      <c r="K278" s="82"/>
      <c r="L278" s="43"/>
      <c r="M278" s="43"/>
      <c r="N278" s="82"/>
      <c r="O278" s="82"/>
      <c r="P278" s="43"/>
      <c r="Q278" s="43"/>
      <c r="R278" s="82"/>
      <c r="S278" s="69"/>
      <c r="T278" s="82"/>
    </row>
    <row r="279" spans="2:20" x14ac:dyDescent="0.35">
      <c r="B279" s="41"/>
      <c r="C279" s="80"/>
      <c r="D279" s="81"/>
      <c r="E279" s="81"/>
      <c r="F279" s="81"/>
      <c r="G279" s="82"/>
      <c r="H279" s="69"/>
      <c r="I279" s="69"/>
      <c r="J279" s="82"/>
      <c r="K279" s="82"/>
      <c r="L279" s="43"/>
      <c r="M279" s="43"/>
      <c r="N279" s="82"/>
      <c r="O279" s="82"/>
      <c r="P279" s="43"/>
      <c r="Q279" s="43"/>
      <c r="R279" s="82"/>
      <c r="S279" s="69"/>
      <c r="T279" s="82"/>
    </row>
    <row r="280" spans="2:20" x14ac:dyDescent="0.35">
      <c r="B280" s="41"/>
      <c r="C280" s="80"/>
      <c r="D280" s="81"/>
      <c r="E280" s="81"/>
      <c r="F280" s="81"/>
      <c r="G280" s="82"/>
      <c r="H280" s="69"/>
      <c r="I280" s="69"/>
      <c r="J280" s="82"/>
      <c r="K280" s="82"/>
      <c r="L280" s="43"/>
      <c r="M280" s="43"/>
      <c r="N280" s="82"/>
      <c r="O280" s="82"/>
      <c r="P280" s="43"/>
      <c r="Q280" s="43"/>
      <c r="R280" s="82"/>
      <c r="S280" s="69"/>
      <c r="T280" s="82"/>
    </row>
    <row r="281" spans="2:20" x14ac:dyDescent="0.35">
      <c r="B281" s="41"/>
      <c r="C281" s="80"/>
      <c r="D281" s="81"/>
      <c r="E281" s="81"/>
      <c r="F281" s="81"/>
      <c r="G281" s="82"/>
      <c r="H281" s="69"/>
      <c r="I281" s="69"/>
      <c r="J281" s="82"/>
      <c r="K281" s="82"/>
      <c r="L281" s="43"/>
      <c r="M281" s="43"/>
      <c r="N281" s="82"/>
      <c r="O281" s="82"/>
      <c r="P281" s="43"/>
      <c r="Q281" s="43"/>
      <c r="R281" s="82"/>
      <c r="S281" s="69"/>
      <c r="T281" s="82"/>
    </row>
    <row r="282" spans="2:20" x14ac:dyDescent="0.35">
      <c r="B282" s="41"/>
      <c r="C282" s="80"/>
      <c r="D282" s="81"/>
      <c r="E282" s="81"/>
      <c r="F282" s="81"/>
      <c r="G282" s="82"/>
      <c r="H282" s="69"/>
      <c r="I282" s="69"/>
      <c r="J282" s="82"/>
      <c r="K282" s="82"/>
      <c r="L282" s="43"/>
      <c r="M282" s="43"/>
      <c r="N282" s="82"/>
      <c r="O282" s="82"/>
      <c r="P282" s="43"/>
      <c r="Q282" s="43"/>
      <c r="R282" s="82"/>
      <c r="S282" s="69"/>
      <c r="T282" s="82"/>
    </row>
    <row r="283" spans="2:20" x14ac:dyDescent="0.35">
      <c r="B283" s="41"/>
      <c r="C283" s="80"/>
      <c r="D283" s="81"/>
      <c r="E283" s="81"/>
      <c r="F283" s="81"/>
      <c r="G283" s="82"/>
      <c r="H283" s="69"/>
      <c r="I283" s="69"/>
      <c r="J283" s="82"/>
      <c r="K283" s="82"/>
      <c r="L283" s="43"/>
      <c r="M283" s="43"/>
      <c r="N283" s="82"/>
      <c r="O283" s="82"/>
      <c r="P283" s="43"/>
      <c r="Q283" s="43"/>
      <c r="R283" s="82"/>
      <c r="S283" s="69"/>
      <c r="T283" s="82"/>
    </row>
    <row r="284" spans="2:20" x14ac:dyDescent="0.35">
      <c r="B284" s="41"/>
      <c r="C284" s="80"/>
      <c r="D284" s="81"/>
      <c r="E284" s="81"/>
      <c r="F284" s="81"/>
      <c r="G284" s="82"/>
      <c r="H284" s="69"/>
      <c r="I284" s="69"/>
      <c r="J284" s="82"/>
      <c r="K284" s="82"/>
      <c r="L284" s="43"/>
      <c r="M284" s="43"/>
      <c r="N284" s="82"/>
      <c r="O284" s="82"/>
      <c r="P284" s="43"/>
      <c r="Q284" s="43"/>
      <c r="R284" s="82"/>
      <c r="S284" s="69"/>
      <c r="T284" s="82"/>
    </row>
    <row r="285" spans="2:20" x14ac:dyDescent="0.35">
      <c r="B285" s="41"/>
      <c r="C285" s="80"/>
      <c r="D285" s="81"/>
      <c r="E285" s="81"/>
      <c r="F285" s="81"/>
      <c r="G285" s="82"/>
      <c r="H285" s="69"/>
      <c r="I285" s="69"/>
      <c r="J285" s="82"/>
      <c r="K285" s="82"/>
      <c r="L285" s="43"/>
      <c r="M285" s="43"/>
      <c r="N285" s="82"/>
      <c r="O285" s="82"/>
      <c r="P285" s="43"/>
      <c r="Q285" s="43"/>
      <c r="R285" s="82"/>
      <c r="S285" s="69"/>
      <c r="T285" s="82"/>
    </row>
    <row r="286" spans="2:20" x14ac:dyDescent="0.35">
      <c r="B286" s="41"/>
      <c r="C286" s="80"/>
      <c r="D286" s="81"/>
      <c r="E286" s="81"/>
      <c r="F286" s="81"/>
      <c r="G286" s="82"/>
      <c r="H286" s="69"/>
      <c r="I286" s="69"/>
      <c r="J286" s="82"/>
      <c r="K286" s="82"/>
      <c r="L286" s="43"/>
      <c r="M286" s="43"/>
      <c r="N286" s="82"/>
      <c r="O286" s="82"/>
      <c r="P286" s="43"/>
      <c r="Q286" s="43"/>
      <c r="R286" s="82"/>
      <c r="S286" s="69"/>
      <c r="T286" s="82"/>
    </row>
    <row r="287" spans="2:20" x14ac:dyDescent="0.35">
      <c r="B287" s="41"/>
      <c r="C287" s="80"/>
      <c r="D287" s="81"/>
      <c r="E287" s="81"/>
      <c r="F287" s="81"/>
      <c r="G287" s="82"/>
      <c r="H287" s="69"/>
      <c r="I287" s="69"/>
      <c r="J287" s="82"/>
      <c r="K287" s="82"/>
      <c r="L287" s="43"/>
      <c r="M287" s="43"/>
      <c r="N287" s="82"/>
      <c r="O287" s="82"/>
      <c r="P287" s="43"/>
      <c r="Q287" s="43"/>
      <c r="R287" s="82"/>
      <c r="S287" s="69"/>
      <c r="T287" s="82"/>
    </row>
    <row r="288" spans="2:20" x14ac:dyDescent="0.35">
      <c r="B288" s="41"/>
      <c r="C288" s="80"/>
      <c r="D288" s="81"/>
      <c r="E288" s="81"/>
      <c r="F288" s="81"/>
      <c r="G288" s="82"/>
      <c r="H288" s="69"/>
      <c r="I288" s="69"/>
      <c r="J288" s="82"/>
      <c r="K288" s="82"/>
      <c r="L288" s="43"/>
      <c r="M288" s="43"/>
      <c r="N288" s="82"/>
      <c r="O288" s="82"/>
      <c r="P288" s="43"/>
      <c r="Q288" s="43"/>
      <c r="R288" s="82"/>
      <c r="S288" s="69"/>
      <c r="T288" s="82"/>
    </row>
    <row r="289" spans="2:20" x14ac:dyDescent="0.35">
      <c r="B289" s="41"/>
      <c r="C289" s="80"/>
      <c r="D289" s="81"/>
      <c r="E289" s="81"/>
      <c r="F289" s="81"/>
      <c r="G289" s="82"/>
      <c r="H289" s="69"/>
      <c r="I289" s="69"/>
      <c r="J289" s="82"/>
      <c r="K289" s="82"/>
      <c r="L289" s="43"/>
      <c r="M289" s="43"/>
      <c r="N289" s="82"/>
      <c r="O289" s="82"/>
      <c r="P289" s="43"/>
      <c r="Q289" s="43"/>
      <c r="R289" s="82"/>
      <c r="S289" s="69"/>
      <c r="T289" s="82"/>
    </row>
    <row r="290" spans="2:20" x14ac:dyDescent="0.35">
      <c r="B290" s="41"/>
      <c r="C290" s="80"/>
      <c r="D290" s="81"/>
      <c r="E290" s="81"/>
      <c r="F290" s="81"/>
      <c r="G290" s="82"/>
      <c r="H290" s="69"/>
      <c r="I290" s="69"/>
      <c r="J290" s="82"/>
      <c r="K290" s="82"/>
      <c r="L290" s="43"/>
      <c r="M290" s="43"/>
      <c r="N290" s="82"/>
      <c r="O290" s="82"/>
      <c r="P290" s="43"/>
      <c r="Q290" s="43"/>
      <c r="R290" s="82"/>
      <c r="S290" s="69"/>
      <c r="T290" s="82"/>
    </row>
    <row r="291" spans="2:20" x14ac:dyDescent="0.35">
      <c r="B291" s="41"/>
      <c r="C291" s="80"/>
      <c r="D291" s="81"/>
      <c r="E291" s="81"/>
      <c r="F291" s="81"/>
      <c r="G291" s="82"/>
      <c r="H291" s="69"/>
      <c r="I291" s="69"/>
      <c r="J291" s="82"/>
      <c r="K291" s="82"/>
      <c r="L291" s="43"/>
      <c r="M291" s="43"/>
      <c r="N291" s="82"/>
      <c r="O291" s="82"/>
      <c r="P291" s="43"/>
      <c r="Q291" s="43"/>
      <c r="R291" s="82"/>
      <c r="S291" s="69"/>
      <c r="T291" s="82"/>
    </row>
    <row r="292" spans="2:20" x14ac:dyDescent="0.35">
      <c r="B292" s="41"/>
      <c r="C292" s="80"/>
      <c r="D292" s="81"/>
      <c r="E292" s="81"/>
      <c r="F292" s="81"/>
      <c r="G292" s="82"/>
      <c r="H292" s="69"/>
      <c r="I292" s="69"/>
      <c r="J292" s="82"/>
      <c r="K292" s="82"/>
      <c r="L292" s="43"/>
      <c r="M292" s="43"/>
      <c r="N292" s="82"/>
      <c r="O292" s="82"/>
      <c r="P292" s="43"/>
      <c r="Q292" s="43"/>
      <c r="R292" s="82"/>
      <c r="S292" s="69"/>
      <c r="T292" s="82"/>
    </row>
    <row r="293" spans="2:20" x14ac:dyDescent="0.35">
      <c r="B293" s="41"/>
      <c r="C293" s="80"/>
      <c r="D293" s="81"/>
      <c r="E293" s="81"/>
      <c r="F293" s="81"/>
      <c r="G293" s="82"/>
      <c r="H293" s="69"/>
      <c r="I293" s="69"/>
      <c r="J293" s="82"/>
      <c r="K293" s="82"/>
      <c r="L293" s="43"/>
      <c r="M293" s="43"/>
      <c r="N293" s="82"/>
      <c r="O293" s="82"/>
      <c r="P293" s="43"/>
      <c r="Q293" s="43"/>
      <c r="R293" s="82"/>
      <c r="S293" s="69"/>
      <c r="T293" s="82"/>
    </row>
    <row r="294" spans="2:20" x14ac:dyDescent="0.35">
      <c r="B294" s="41"/>
      <c r="C294" s="80"/>
      <c r="D294" s="81"/>
      <c r="E294" s="81"/>
      <c r="F294" s="81"/>
      <c r="G294" s="82"/>
      <c r="H294" s="69"/>
      <c r="I294" s="69"/>
      <c r="J294" s="82"/>
      <c r="K294" s="82"/>
      <c r="L294" s="43"/>
      <c r="M294" s="43"/>
      <c r="N294" s="82"/>
      <c r="O294" s="82"/>
      <c r="P294" s="43"/>
      <c r="Q294" s="43"/>
      <c r="R294" s="82"/>
      <c r="S294" s="69"/>
      <c r="T294" s="82"/>
    </row>
    <row r="295" spans="2:20" x14ac:dyDescent="0.35">
      <c r="B295" s="41"/>
      <c r="C295" s="80"/>
      <c r="D295" s="81"/>
      <c r="E295" s="81"/>
      <c r="F295" s="81"/>
      <c r="G295" s="82"/>
      <c r="H295" s="69"/>
      <c r="I295" s="69"/>
      <c r="J295" s="82"/>
      <c r="K295" s="82"/>
      <c r="L295" s="43"/>
      <c r="M295" s="43"/>
      <c r="N295" s="82"/>
      <c r="O295" s="82"/>
      <c r="P295" s="43"/>
      <c r="Q295" s="43"/>
      <c r="R295" s="82"/>
      <c r="S295" s="69"/>
      <c r="T295" s="82"/>
    </row>
    <row r="296" spans="2:20" x14ac:dyDescent="0.35">
      <c r="B296" s="41"/>
      <c r="C296" s="80"/>
      <c r="D296" s="81"/>
      <c r="E296" s="81"/>
      <c r="F296" s="81"/>
      <c r="G296" s="82"/>
      <c r="H296" s="69"/>
      <c r="I296" s="69"/>
      <c r="J296" s="82"/>
      <c r="K296" s="82"/>
      <c r="L296" s="43"/>
      <c r="M296" s="43"/>
      <c r="N296" s="82"/>
      <c r="O296" s="82"/>
      <c r="P296" s="43"/>
      <c r="Q296" s="43"/>
      <c r="R296" s="82"/>
      <c r="S296" s="69"/>
      <c r="T296" s="82"/>
    </row>
    <row r="297" spans="2:20" x14ac:dyDescent="0.35">
      <c r="B297" s="41"/>
      <c r="C297" s="80"/>
      <c r="D297" s="81"/>
      <c r="E297" s="81"/>
      <c r="F297" s="81"/>
      <c r="G297" s="82"/>
      <c r="H297" s="69"/>
      <c r="I297" s="69"/>
      <c r="J297" s="82"/>
      <c r="K297" s="82"/>
      <c r="L297" s="43"/>
      <c r="M297" s="43"/>
      <c r="N297" s="82"/>
      <c r="O297" s="82"/>
      <c r="P297" s="43"/>
      <c r="Q297" s="43"/>
      <c r="R297" s="82"/>
      <c r="S297" s="69"/>
      <c r="T297" s="82"/>
    </row>
    <row r="298" spans="2:20" x14ac:dyDescent="0.35">
      <c r="B298" s="41"/>
      <c r="C298" s="80"/>
      <c r="D298" s="81"/>
      <c r="E298" s="81"/>
      <c r="F298" s="81"/>
      <c r="G298" s="82"/>
      <c r="H298" s="69"/>
      <c r="I298" s="69"/>
      <c r="J298" s="82"/>
      <c r="K298" s="82"/>
      <c r="L298" s="43"/>
      <c r="M298" s="43"/>
      <c r="N298" s="82"/>
      <c r="O298" s="82"/>
      <c r="P298" s="43"/>
      <c r="Q298" s="43"/>
      <c r="R298" s="82"/>
      <c r="S298" s="69"/>
      <c r="T298" s="82"/>
    </row>
    <row r="299" spans="2:20" x14ac:dyDescent="0.35">
      <c r="B299" s="41"/>
      <c r="C299" s="80"/>
      <c r="D299" s="81"/>
      <c r="E299" s="81"/>
      <c r="F299" s="81"/>
      <c r="G299" s="82"/>
      <c r="H299" s="69"/>
      <c r="I299" s="69"/>
      <c r="J299" s="82"/>
      <c r="K299" s="82"/>
      <c r="L299" s="43"/>
      <c r="M299" s="43"/>
      <c r="N299" s="82"/>
      <c r="O299" s="82"/>
      <c r="P299" s="43"/>
      <c r="Q299" s="43"/>
      <c r="R299" s="82"/>
      <c r="S299" s="69"/>
      <c r="T299" s="82"/>
    </row>
    <row r="300" spans="2:20" x14ac:dyDescent="0.35">
      <c r="B300" s="41"/>
      <c r="C300" s="80"/>
      <c r="D300" s="81"/>
      <c r="E300" s="81"/>
      <c r="F300" s="81"/>
      <c r="G300" s="82"/>
      <c r="H300" s="69"/>
      <c r="I300" s="69"/>
      <c r="J300" s="82"/>
      <c r="K300" s="82"/>
      <c r="L300" s="43"/>
      <c r="M300" s="43"/>
      <c r="N300" s="82"/>
      <c r="O300" s="82"/>
      <c r="P300" s="43"/>
      <c r="Q300" s="43"/>
      <c r="R300" s="82"/>
      <c r="S300" s="69"/>
      <c r="T300" s="82"/>
    </row>
    <row r="301" spans="2:20" x14ac:dyDescent="0.35">
      <c r="B301" s="41"/>
      <c r="C301" s="80"/>
      <c r="D301" s="81"/>
      <c r="E301" s="81"/>
      <c r="F301" s="81"/>
      <c r="G301" s="82"/>
      <c r="H301" s="69"/>
      <c r="I301" s="69"/>
      <c r="J301" s="82"/>
      <c r="K301" s="82"/>
      <c r="L301" s="43"/>
      <c r="M301" s="43"/>
      <c r="N301" s="82"/>
      <c r="O301" s="82"/>
      <c r="P301" s="43"/>
      <c r="Q301" s="43"/>
      <c r="R301" s="82"/>
      <c r="S301" s="69"/>
      <c r="T301" s="82"/>
    </row>
    <row r="302" spans="2:20" x14ac:dyDescent="0.35">
      <c r="B302" s="41"/>
      <c r="C302" s="80"/>
      <c r="D302" s="81"/>
      <c r="E302" s="81"/>
      <c r="F302" s="81"/>
      <c r="G302" s="82"/>
      <c r="H302" s="69"/>
      <c r="I302" s="69"/>
      <c r="J302" s="82"/>
      <c r="K302" s="82"/>
      <c r="L302" s="43"/>
      <c r="M302" s="43"/>
      <c r="N302" s="82"/>
      <c r="O302" s="82"/>
      <c r="P302" s="43"/>
      <c r="Q302" s="43"/>
      <c r="R302" s="82"/>
      <c r="S302" s="69"/>
      <c r="T302" s="82"/>
    </row>
    <row r="303" spans="2:20" x14ac:dyDescent="0.35">
      <c r="B303" s="41"/>
      <c r="C303" s="80"/>
      <c r="D303" s="81"/>
      <c r="E303" s="81"/>
      <c r="F303" s="81"/>
      <c r="G303" s="82"/>
      <c r="H303" s="69"/>
      <c r="I303" s="69"/>
      <c r="J303" s="82"/>
      <c r="K303" s="82"/>
      <c r="L303" s="43"/>
      <c r="M303" s="43"/>
      <c r="N303" s="82"/>
      <c r="O303" s="82"/>
      <c r="P303" s="43"/>
      <c r="Q303" s="43"/>
      <c r="R303" s="82"/>
      <c r="S303" s="69"/>
      <c r="T303" s="82"/>
    </row>
    <row r="304" spans="2:20" x14ac:dyDescent="0.35">
      <c r="B304" s="41"/>
      <c r="C304" s="80"/>
      <c r="D304" s="81"/>
      <c r="E304" s="81"/>
      <c r="F304" s="81"/>
      <c r="G304" s="82"/>
      <c r="H304" s="69"/>
      <c r="I304" s="69"/>
      <c r="J304" s="82"/>
      <c r="K304" s="82"/>
      <c r="L304" s="43"/>
      <c r="M304" s="43"/>
      <c r="N304" s="82"/>
      <c r="O304" s="82"/>
      <c r="P304" s="43"/>
      <c r="Q304" s="43"/>
      <c r="R304" s="82"/>
      <c r="S304" s="69"/>
      <c r="T304" s="82"/>
    </row>
    <row r="305" spans="2:20" x14ac:dyDescent="0.35">
      <c r="B305" s="41"/>
      <c r="C305" s="80"/>
      <c r="D305" s="81"/>
      <c r="E305" s="81"/>
      <c r="F305" s="81"/>
      <c r="G305" s="82"/>
      <c r="H305" s="69"/>
      <c r="I305" s="69"/>
      <c r="J305" s="82"/>
      <c r="K305" s="82"/>
      <c r="L305" s="43"/>
      <c r="M305" s="43"/>
      <c r="N305" s="82"/>
      <c r="O305" s="82"/>
      <c r="P305" s="43"/>
      <c r="Q305" s="43"/>
      <c r="R305" s="82"/>
      <c r="S305" s="69"/>
      <c r="T305" s="82"/>
    </row>
    <row r="306" spans="2:20" x14ac:dyDescent="0.35">
      <c r="B306" s="41"/>
      <c r="C306" s="80"/>
      <c r="D306" s="81"/>
      <c r="E306" s="81"/>
      <c r="F306" s="81"/>
      <c r="G306" s="82"/>
      <c r="H306" s="69"/>
      <c r="I306" s="69"/>
      <c r="J306" s="82"/>
      <c r="K306" s="82"/>
      <c r="L306" s="43"/>
      <c r="M306" s="43"/>
      <c r="N306" s="82"/>
      <c r="O306" s="82"/>
      <c r="P306" s="43"/>
      <c r="Q306" s="43"/>
      <c r="R306" s="82"/>
      <c r="S306" s="69"/>
      <c r="T306" s="82"/>
    </row>
    <row r="307" spans="2:20" x14ac:dyDescent="0.35">
      <c r="B307" s="41"/>
      <c r="C307" s="80"/>
      <c r="D307" s="81"/>
      <c r="E307" s="81"/>
      <c r="F307" s="81"/>
      <c r="G307" s="82"/>
      <c r="H307" s="69"/>
      <c r="I307" s="69"/>
      <c r="J307" s="82"/>
      <c r="K307" s="82"/>
      <c r="L307" s="43"/>
      <c r="M307" s="43"/>
      <c r="N307" s="82"/>
      <c r="O307" s="82"/>
      <c r="P307" s="43"/>
      <c r="Q307" s="43"/>
      <c r="R307" s="82"/>
      <c r="S307" s="69"/>
      <c r="T307" s="82"/>
    </row>
    <row r="308" spans="2:20" x14ac:dyDescent="0.35">
      <c r="B308" s="41"/>
      <c r="C308" s="80"/>
      <c r="D308" s="81"/>
      <c r="E308" s="81"/>
      <c r="F308" s="81"/>
      <c r="G308" s="82"/>
      <c r="H308" s="69"/>
      <c r="I308" s="69"/>
      <c r="J308" s="82"/>
      <c r="K308" s="82"/>
      <c r="L308" s="43"/>
      <c r="M308" s="43"/>
      <c r="N308" s="82"/>
      <c r="O308" s="82"/>
      <c r="P308" s="43"/>
      <c r="Q308" s="43"/>
      <c r="R308" s="82"/>
      <c r="S308" s="69"/>
      <c r="T308" s="82"/>
    </row>
    <row r="309" spans="2:20" x14ac:dyDescent="0.35">
      <c r="B309" s="41"/>
      <c r="C309" s="80"/>
      <c r="D309" s="81"/>
      <c r="E309" s="81"/>
      <c r="F309" s="81"/>
      <c r="G309" s="82"/>
      <c r="H309" s="69"/>
      <c r="I309" s="69"/>
      <c r="J309" s="82"/>
      <c r="K309" s="82"/>
      <c r="L309" s="43"/>
      <c r="M309" s="43"/>
      <c r="N309" s="82"/>
      <c r="O309" s="82"/>
      <c r="P309" s="43"/>
      <c r="Q309" s="43"/>
      <c r="R309" s="82"/>
      <c r="S309" s="69"/>
      <c r="T309" s="82"/>
    </row>
    <row r="310" spans="2:20" x14ac:dyDescent="0.35">
      <c r="B310" s="41"/>
      <c r="C310" s="80"/>
      <c r="D310" s="81"/>
      <c r="E310" s="81"/>
      <c r="F310" s="81"/>
      <c r="G310" s="82"/>
      <c r="H310" s="69"/>
      <c r="I310" s="69"/>
      <c r="J310" s="82"/>
      <c r="K310" s="82"/>
      <c r="L310" s="43"/>
      <c r="M310" s="43"/>
      <c r="N310" s="82"/>
      <c r="O310" s="82"/>
      <c r="P310" s="43"/>
      <c r="Q310" s="43"/>
      <c r="R310" s="82"/>
      <c r="S310" s="69"/>
      <c r="T310" s="82"/>
    </row>
    <row r="311" spans="2:20" x14ac:dyDescent="0.35">
      <c r="B311" s="41"/>
      <c r="C311" s="80"/>
      <c r="D311" s="81"/>
      <c r="E311" s="81"/>
      <c r="F311" s="81"/>
      <c r="G311" s="82"/>
      <c r="H311" s="69"/>
      <c r="I311" s="69"/>
      <c r="J311" s="82"/>
      <c r="K311" s="82"/>
      <c r="L311" s="43"/>
      <c r="M311" s="43"/>
      <c r="N311" s="82"/>
      <c r="O311" s="82"/>
      <c r="P311" s="43"/>
      <c r="Q311" s="43"/>
      <c r="R311" s="82"/>
      <c r="S311" s="69"/>
      <c r="T311" s="82"/>
    </row>
    <row r="312" spans="2:20" x14ac:dyDescent="0.35">
      <c r="B312" s="41"/>
      <c r="C312" s="80"/>
      <c r="D312" s="81"/>
      <c r="E312" s="81"/>
      <c r="F312" s="81"/>
      <c r="G312" s="82"/>
      <c r="H312" s="69"/>
      <c r="I312" s="69"/>
      <c r="J312" s="82"/>
      <c r="K312" s="82"/>
      <c r="L312" s="43"/>
      <c r="M312" s="43"/>
      <c r="N312" s="82"/>
      <c r="O312" s="82"/>
      <c r="P312" s="43"/>
      <c r="Q312" s="43"/>
      <c r="R312" s="82"/>
      <c r="S312" s="69"/>
      <c r="T312" s="82"/>
    </row>
    <row r="313" spans="2:20" x14ac:dyDescent="0.35">
      <c r="B313" s="41"/>
      <c r="C313" s="80"/>
      <c r="D313" s="81"/>
      <c r="E313" s="81"/>
      <c r="F313" s="81"/>
      <c r="G313" s="82"/>
      <c r="H313" s="69"/>
      <c r="I313" s="69"/>
      <c r="J313" s="82"/>
      <c r="K313" s="82"/>
      <c r="L313" s="43"/>
      <c r="M313" s="43"/>
      <c r="N313" s="82"/>
      <c r="O313" s="82"/>
      <c r="P313" s="43"/>
      <c r="Q313" s="43"/>
      <c r="R313" s="82"/>
      <c r="S313" s="69"/>
      <c r="T313" s="82"/>
    </row>
    <row r="314" spans="2:20" x14ac:dyDescent="0.35">
      <c r="B314" s="41"/>
      <c r="C314" s="80"/>
      <c r="D314" s="81"/>
      <c r="E314" s="81"/>
      <c r="F314" s="81"/>
      <c r="G314" s="82"/>
      <c r="H314" s="69"/>
      <c r="I314" s="69"/>
      <c r="J314" s="82"/>
      <c r="K314" s="82"/>
      <c r="L314" s="43"/>
      <c r="M314" s="43"/>
      <c r="N314" s="82"/>
      <c r="O314" s="82"/>
      <c r="P314" s="43"/>
      <c r="Q314" s="43"/>
      <c r="R314" s="82"/>
      <c r="S314" s="69"/>
      <c r="T314" s="82"/>
    </row>
    <row r="315" spans="2:20" x14ac:dyDescent="0.35">
      <c r="B315" s="41"/>
      <c r="C315" s="80"/>
      <c r="D315" s="81"/>
      <c r="E315" s="81"/>
      <c r="F315" s="81"/>
      <c r="G315" s="82"/>
      <c r="H315" s="69"/>
      <c r="I315" s="69"/>
      <c r="J315" s="82"/>
      <c r="K315" s="82"/>
      <c r="L315" s="43"/>
      <c r="M315" s="43"/>
      <c r="N315" s="82"/>
      <c r="O315" s="82"/>
      <c r="P315" s="43"/>
      <c r="Q315" s="43"/>
      <c r="R315" s="82"/>
      <c r="S315" s="69"/>
      <c r="T315" s="82"/>
    </row>
    <row r="316" spans="2:20" x14ac:dyDescent="0.35">
      <c r="B316" s="41"/>
      <c r="C316" s="80"/>
      <c r="D316" s="81"/>
      <c r="E316" s="81"/>
      <c r="F316" s="81"/>
      <c r="G316" s="82"/>
      <c r="H316" s="69"/>
      <c r="I316" s="69"/>
      <c r="J316" s="82"/>
      <c r="K316" s="82"/>
      <c r="L316" s="43"/>
      <c r="M316" s="43"/>
      <c r="N316" s="82"/>
      <c r="O316" s="82"/>
      <c r="P316" s="43"/>
      <c r="Q316" s="43"/>
      <c r="R316" s="82"/>
      <c r="S316" s="69"/>
      <c r="T316" s="82"/>
    </row>
    <row r="317" spans="2:20" x14ac:dyDescent="0.35">
      <c r="B317" s="41"/>
      <c r="C317" s="80"/>
      <c r="D317" s="81"/>
      <c r="E317" s="81"/>
      <c r="F317" s="81"/>
      <c r="G317" s="82"/>
      <c r="H317" s="69"/>
      <c r="I317" s="69"/>
      <c r="J317" s="82"/>
      <c r="K317" s="82"/>
      <c r="L317" s="43"/>
      <c r="M317" s="43"/>
      <c r="N317" s="82"/>
      <c r="O317" s="82"/>
      <c r="P317" s="43"/>
      <c r="Q317" s="43"/>
      <c r="R317" s="82"/>
      <c r="S317" s="69"/>
      <c r="T317" s="82"/>
    </row>
    <row r="318" spans="2:20" x14ac:dyDescent="0.35">
      <c r="B318" s="41"/>
      <c r="C318" s="80"/>
      <c r="D318" s="81"/>
      <c r="E318" s="81"/>
      <c r="F318" s="81"/>
      <c r="G318" s="82"/>
      <c r="H318" s="69"/>
      <c r="I318" s="69"/>
      <c r="J318" s="82"/>
      <c r="K318" s="82"/>
      <c r="L318" s="43"/>
      <c r="M318" s="43"/>
      <c r="N318" s="82"/>
      <c r="O318" s="82"/>
      <c r="P318" s="43"/>
      <c r="Q318" s="43"/>
      <c r="R318" s="82"/>
      <c r="S318" s="69"/>
      <c r="T318" s="82"/>
    </row>
    <row r="319" spans="2:20" x14ac:dyDescent="0.35">
      <c r="B319" s="41"/>
      <c r="C319" s="80"/>
      <c r="D319" s="81"/>
      <c r="E319" s="81"/>
      <c r="F319" s="81"/>
      <c r="G319" s="82"/>
      <c r="H319" s="69"/>
      <c r="I319" s="69"/>
      <c r="J319" s="82"/>
      <c r="K319" s="82"/>
      <c r="L319" s="43"/>
      <c r="M319" s="43"/>
      <c r="N319" s="82"/>
      <c r="O319" s="82"/>
      <c r="P319" s="43"/>
      <c r="Q319" s="43"/>
      <c r="R319" s="82"/>
      <c r="S319" s="69"/>
      <c r="T319" s="82"/>
    </row>
    <row r="320" spans="2:20" x14ac:dyDescent="0.35">
      <c r="B320" s="41"/>
      <c r="C320" s="80"/>
      <c r="D320" s="81"/>
      <c r="E320" s="81"/>
      <c r="F320" s="81"/>
      <c r="G320" s="82"/>
      <c r="H320" s="69"/>
      <c r="I320" s="69"/>
      <c r="J320" s="82"/>
      <c r="K320" s="82"/>
      <c r="L320" s="43"/>
      <c r="M320" s="43"/>
      <c r="N320" s="82"/>
      <c r="O320" s="82"/>
      <c r="P320" s="43"/>
      <c r="Q320" s="43"/>
      <c r="R320" s="82"/>
      <c r="S320" s="69"/>
      <c r="T320" s="82"/>
    </row>
    <row r="321" spans="2:20" x14ac:dyDescent="0.35">
      <c r="B321" s="41"/>
      <c r="C321" s="80"/>
      <c r="D321" s="81"/>
      <c r="E321" s="81"/>
      <c r="F321" s="81"/>
      <c r="G321" s="82"/>
      <c r="H321" s="69"/>
      <c r="I321" s="69"/>
      <c r="J321" s="82"/>
      <c r="K321" s="82"/>
      <c r="L321" s="43"/>
      <c r="M321" s="43"/>
      <c r="N321" s="82"/>
      <c r="O321" s="82"/>
      <c r="P321" s="43"/>
      <c r="Q321" s="43"/>
      <c r="R321" s="82"/>
      <c r="S321" s="69"/>
      <c r="T321" s="82"/>
    </row>
    <row r="322" spans="2:20" x14ac:dyDescent="0.35">
      <c r="B322" s="41"/>
      <c r="C322" s="80"/>
      <c r="D322" s="81"/>
      <c r="E322" s="81"/>
      <c r="F322" s="81"/>
      <c r="G322" s="82"/>
      <c r="H322" s="69"/>
      <c r="I322" s="69"/>
      <c r="J322" s="82"/>
      <c r="K322" s="82"/>
      <c r="L322" s="43"/>
      <c r="M322" s="43"/>
      <c r="N322" s="82"/>
      <c r="O322" s="82"/>
      <c r="P322" s="43"/>
      <c r="Q322" s="43"/>
      <c r="R322" s="82"/>
      <c r="S322" s="69"/>
      <c r="T322" s="82"/>
    </row>
    <row r="323" spans="2:20" x14ac:dyDescent="0.35">
      <c r="B323" s="41"/>
      <c r="C323" s="80"/>
      <c r="D323" s="81"/>
      <c r="E323" s="81"/>
      <c r="F323" s="81"/>
      <c r="G323" s="82"/>
      <c r="H323" s="69"/>
      <c r="I323" s="69"/>
      <c r="J323" s="82"/>
      <c r="K323" s="82"/>
      <c r="L323" s="43"/>
      <c r="M323" s="43"/>
      <c r="N323" s="82"/>
      <c r="O323" s="82"/>
      <c r="P323" s="43"/>
      <c r="Q323" s="43"/>
      <c r="R323" s="82"/>
      <c r="S323" s="69"/>
      <c r="T323" s="82"/>
    </row>
    <row r="324" spans="2:20" x14ac:dyDescent="0.35">
      <c r="B324" s="41"/>
      <c r="C324" s="80"/>
      <c r="D324" s="81"/>
      <c r="E324" s="81"/>
      <c r="F324" s="81"/>
      <c r="G324" s="82"/>
      <c r="H324" s="69"/>
      <c r="I324" s="69"/>
      <c r="J324" s="82"/>
      <c r="K324" s="82"/>
      <c r="L324" s="43"/>
      <c r="M324" s="43"/>
      <c r="N324" s="82"/>
      <c r="O324" s="82"/>
      <c r="P324" s="43"/>
      <c r="Q324" s="43"/>
      <c r="R324" s="82"/>
      <c r="S324" s="69"/>
      <c r="T324" s="82"/>
    </row>
    <row r="325" spans="2:20" x14ac:dyDescent="0.35">
      <c r="B325" s="41"/>
      <c r="C325" s="80"/>
      <c r="D325" s="81"/>
      <c r="E325" s="81"/>
      <c r="F325" s="81"/>
      <c r="G325" s="82"/>
      <c r="H325" s="69"/>
      <c r="I325" s="69"/>
      <c r="J325" s="82"/>
      <c r="K325" s="82"/>
      <c r="L325" s="43"/>
      <c r="M325" s="43"/>
      <c r="N325" s="82"/>
      <c r="O325" s="82"/>
      <c r="P325" s="43"/>
      <c r="Q325" s="43"/>
      <c r="R325" s="82"/>
      <c r="S325" s="69"/>
      <c r="T325" s="82"/>
    </row>
    <row r="326" spans="2:20" x14ac:dyDescent="0.35">
      <c r="B326" s="41"/>
      <c r="C326" s="80"/>
      <c r="D326" s="81"/>
      <c r="E326" s="81"/>
      <c r="F326" s="81"/>
      <c r="G326" s="82"/>
      <c r="H326" s="69"/>
      <c r="I326" s="69"/>
      <c r="J326" s="82"/>
      <c r="K326" s="82"/>
      <c r="L326" s="43"/>
      <c r="M326" s="43"/>
      <c r="N326" s="82"/>
      <c r="O326" s="82"/>
      <c r="P326" s="43"/>
      <c r="Q326" s="43"/>
      <c r="R326" s="82"/>
      <c r="S326" s="69"/>
      <c r="T326" s="82"/>
    </row>
    <row r="327" spans="2:20" x14ac:dyDescent="0.35">
      <c r="B327" s="41"/>
      <c r="C327" s="80"/>
      <c r="D327" s="81"/>
      <c r="E327" s="81"/>
      <c r="F327" s="81"/>
      <c r="G327" s="82"/>
      <c r="H327" s="69"/>
      <c r="I327" s="69"/>
      <c r="J327" s="82"/>
      <c r="K327" s="82"/>
      <c r="L327" s="43"/>
      <c r="M327" s="43"/>
      <c r="N327" s="82"/>
      <c r="O327" s="82"/>
      <c r="P327" s="43"/>
      <c r="Q327" s="43"/>
      <c r="R327" s="82"/>
      <c r="S327" s="69"/>
      <c r="T327" s="82"/>
    </row>
    <row r="328" spans="2:20" x14ac:dyDescent="0.35">
      <c r="B328" s="41"/>
      <c r="C328" s="80"/>
      <c r="D328" s="81"/>
      <c r="E328" s="81"/>
      <c r="F328" s="81"/>
      <c r="G328" s="82"/>
      <c r="H328" s="69"/>
      <c r="I328" s="69"/>
      <c r="J328" s="82"/>
      <c r="K328" s="82"/>
      <c r="L328" s="43"/>
      <c r="M328" s="43"/>
      <c r="N328" s="82"/>
      <c r="O328" s="82"/>
      <c r="P328" s="43"/>
      <c r="Q328" s="43"/>
      <c r="R328" s="82"/>
      <c r="S328" s="69"/>
      <c r="T328" s="82"/>
    </row>
    <row r="329" spans="2:20" x14ac:dyDescent="0.35">
      <c r="B329" s="41"/>
      <c r="C329" s="80"/>
      <c r="D329" s="81"/>
      <c r="E329" s="81"/>
      <c r="F329" s="81"/>
      <c r="G329" s="82"/>
      <c r="H329" s="69"/>
      <c r="I329" s="69"/>
      <c r="J329" s="82"/>
      <c r="K329" s="82"/>
      <c r="L329" s="43"/>
      <c r="M329" s="43"/>
      <c r="N329" s="82"/>
      <c r="O329" s="82"/>
      <c r="P329" s="43"/>
      <c r="Q329" s="43"/>
      <c r="R329" s="82"/>
      <c r="S329" s="69"/>
      <c r="T329" s="82"/>
    </row>
    <row r="330" spans="2:20" x14ac:dyDescent="0.35">
      <c r="B330" s="41"/>
      <c r="C330" s="80"/>
      <c r="D330" s="81"/>
      <c r="E330" s="81"/>
      <c r="F330" s="81"/>
      <c r="G330" s="82"/>
      <c r="H330" s="69"/>
      <c r="I330" s="69"/>
      <c r="J330" s="82"/>
      <c r="K330" s="82"/>
      <c r="L330" s="43"/>
      <c r="M330" s="43"/>
      <c r="N330" s="82"/>
      <c r="O330" s="82"/>
      <c r="P330" s="43"/>
      <c r="Q330" s="43"/>
      <c r="R330" s="82"/>
      <c r="S330" s="69"/>
      <c r="T330" s="82"/>
    </row>
    <row r="331" spans="2:20" x14ac:dyDescent="0.35">
      <c r="B331" s="41"/>
      <c r="C331" s="80"/>
      <c r="D331" s="81"/>
      <c r="E331" s="81"/>
      <c r="F331" s="81"/>
      <c r="G331" s="82"/>
      <c r="H331" s="69"/>
      <c r="I331" s="69"/>
      <c r="J331" s="82"/>
      <c r="K331" s="82"/>
      <c r="L331" s="43"/>
      <c r="M331" s="43"/>
      <c r="N331" s="82"/>
      <c r="O331" s="82"/>
      <c r="P331" s="43"/>
      <c r="Q331" s="43"/>
      <c r="R331" s="82"/>
      <c r="S331" s="69"/>
      <c r="T331" s="82"/>
    </row>
    <row r="332" spans="2:20" x14ac:dyDescent="0.35">
      <c r="B332" s="41"/>
      <c r="C332" s="80"/>
      <c r="D332" s="81"/>
      <c r="E332" s="81"/>
      <c r="F332" s="81"/>
      <c r="G332" s="82"/>
      <c r="H332" s="69"/>
      <c r="I332" s="69"/>
      <c r="J332" s="82"/>
      <c r="K332" s="82"/>
      <c r="L332" s="43"/>
      <c r="M332" s="43"/>
      <c r="N332" s="82"/>
      <c r="O332" s="82"/>
      <c r="P332" s="43"/>
      <c r="Q332" s="43"/>
      <c r="R332" s="82"/>
      <c r="S332" s="69"/>
      <c r="T332" s="82"/>
    </row>
    <row r="333" spans="2:20" x14ac:dyDescent="0.35">
      <c r="B333" s="41"/>
      <c r="C333" s="80"/>
      <c r="D333" s="81"/>
      <c r="E333" s="81"/>
      <c r="F333" s="81"/>
      <c r="G333" s="82"/>
      <c r="H333" s="69"/>
      <c r="I333" s="69"/>
      <c r="J333" s="82"/>
      <c r="K333" s="82"/>
      <c r="L333" s="43"/>
      <c r="M333" s="43"/>
      <c r="N333" s="82"/>
      <c r="O333" s="82"/>
      <c r="P333" s="43"/>
      <c r="Q333" s="43"/>
      <c r="R333" s="82"/>
      <c r="S333" s="69"/>
      <c r="T333" s="82"/>
    </row>
    <row r="334" spans="2:20" x14ac:dyDescent="0.35">
      <c r="B334" s="41"/>
      <c r="C334" s="80"/>
      <c r="D334" s="81"/>
      <c r="E334" s="81"/>
      <c r="F334" s="81"/>
      <c r="G334" s="82"/>
      <c r="H334" s="69"/>
      <c r="I334" s="69"/>
      <c r="J334" s="82"/>
      <c r="K334" s="82"/>
      <c r="L334" s="43"/>
      <c r="M334" s="43"/>
      <c r="N334" s="82"/>
      <c r="O334" s="82"/>
      <c r="P334" s="43"/>
      <c r="Q334" s="43"/>
      <c r="R334" s="82"/>
      <c r="S334" s="69"/>
      <c r="T334" s="82"/>
    </row>
    <row r="335" spans="2:20" x14ac:dyDescent="0.35">
      <c r="B335" s="41"/>
      <c r="C335" s="80"/>
      <c r="D335" s="81"/>
      <c r="E335" s="81"/>
      <c r="F335" s="81"/>
      <c r="G335" s="82"/>
      <c r="H335" s="69"/>
      <c r="I335" s="69"/>
      <c r="J335" s="82"/>
      <c r="K335" s="82"/>
      <c r="L335" s="43"/>
      <c r="M335" s="43"/>
      <c r="N335" s="82"/>
      <c r="O335" s="82"/>
      <c r="P335" s="43"/>
      <c r="Q335" s="43"/>
      <c r="R335" s="82"/>
      <c r="S335" s="69"/>
      <c r="T335" s="82"/>
    </row>
    <row r="336" spans="2:20" x14ac:dyDescent="0.35">
      <c r="B336" s="41"/>
      <c r="C336" s="80"/>
      <c r="D336" s="81"/>
      <c r="E336" s="81"/>
      <c r="F336" s="81"/>
      <c r="G336" s="82"/>
      <c r="H336" s="69"/>
      <c r="I336" s="69"/>
      <c r="J336" s="82"/>
      <c r="K336" s="82"/>
      <c r="L336" s="43"/>
      <c r="M336" s="43"/>
      <c r="N336" s="82"/>
      <c r="O336" s="82"/>
      <c r="P336" s="43"/>
      <c r="Q336" s="43"/>
      <c r="R336" s="82"/>
      <c r="S336" s="69"/>
      <c r="T336" s="82"/>
    </row>
    <row r="337" spans="2:20" x14ac:dyDescent="0.35">
      <c r="B337" s="41"/>
      <c r="C337" s="80"/>
      <c r="D337" s="81"/>
      <c r="E337" s="81"/>
      <c r="F337" s="81"/>
      <c r="G337" s="82"/>
      <c r="H337" s="69"/>
      <c r="I337" s="69"/>
      <c r="J337" s="82"/>
      <c r="K337" s="82"/>
      <c r="L337" s="43"/>
      <c r="M337" s="43"/>
      <c r="N337" s="82"/>
      <c r="O337" s="82"/>
      <c r="P337" s="43"/>
      <c r="Q337" s="43"/>
      <c r="R337" s="82"/>
      <c r="S337" s="69"/>
      <c r="T337" s="82"/>
    </row>
    <row r="338" spans="2:20" x14ac:dyDescent="0.35">
      <c r="B338" s="41"/>
      <c r="C338" s="80"/>
      <c r="D338" s="81"/>
      <c r="E338" s="81"/>
      <c r="F338" s="81"/>
      <c r="G338" s="82"/>
      <c r="H338" s="69"/>
      <c r="I338" s="69"/>
      <c r="J338" s="82"/>
      <c r="K338" s="82"/>
      <c r="L338" s="43"/>
      <c r="M338" s="43"/>
      <c r="N338" s="82"/>
      <c r="O338" s="82"/>
      <c r="P338" s="43"/>
      <c r="Q338" s="43"/>
      <c r="R338" s="82"/>
      <c r="S338" s="69"/>
      <c r="T338" s="82"/>
    </row>
    <row r="339" spans="2:20" x14ac:dyDescent="0.35">
      <c r="B339" s="41"/>
      <c r="C339" s="80"/>
      <c r="D339" s="81"/>
      <c r="E339" s="81"/>
      <c r="F339" s="81"/>
      <c r="G339" s="82"/>
      <c r="H339" s="69"/>
      <c r="I339" s="69"/>
      <c r="J339" s="82"/>
      <c r="K339" s="82"/>
      <c r="L339" s="43"/>
      <c r="M339" s="43"/>
      <c r="N339" s="82"/>
      <c r="O339" s="82"/>
      <c r="P339" s="43"/>
      <c r="Q339" s="43"/>
      <c r="R339" s="82"/>
      <c r="S339" s="69"/>
      <c r="T339" s="82"/>
    </row>
    <row r="340" spans="2:20" x14ac:dyDescent="0.35">
      <c r="B340" s="41"/>
      <c r="C340" s="80"/>
      <c r="D340" s="81"/>
      <c r="E340" s="81"/>
      <c r="F340" s="81"/>
      <c r="G340" s="82"/>
      <c r="H340" s="69"/>
      <c r="I340" s="69"/>
      <c r="J340" s="82"/>
      <c r="K340" s="82"/>
      <c r="L340" s="43"/>
      <c r="M340" s="43"/>
      <c r="N340" s="82"/>
      <c r="O340" s="82"/>
      <c r="P340" s="43"/>
      <c r="Q340" s="43"/>
      <c r="R340" s="82"/>
      <c r="S340" s="69"/>
      <c r="T340" s="82"/>
    </row>
    <row r="341" spans="2:20" x14ac:dyDescent="0.35">
      <c r="B341" s="41"/>
      <c r="C341" s="80"/>
      <c r="D341" s="81"/>
      <c r="E341" s="81"/>
      <c r="F341" s="81"/>
      <c r="G341" s="82"/>
      <c r="H341" s="69"/>
      <c r="I341" s="69"/>
      <c r="J341" s="82"/>
      <c r="K341" s="82"/>
      <c r="L341" s="43"/>
      <c r="M341" s="43"/>
      <c r="N341" s="82"/>
      <c r="O341" s="82"/>
      <c r="P341" s="43"/>
      <c r="Q341" s="43"/>
      <c r="R341" s="82"/>
      <c r="S341" s="69"/>
      <c r="T341" s="82"/>
    </row>
    <row r="342" spans="2:20" x14ac:dyDescent="0.35">
      <c r="B342" s="41"/>
      <c r="C342" s="80"/>
      <c r="D342" s="81"/>
      <c r="E342" s="81"/>
      <c r="F342" s="81"/>
      <c r="G342" s="82"/>
      <c r="H342" s="69"/>
      <c r="I342" s="69"/>
      <c r="J342" s="82"/>
      <c r="K342" s="82"/>
      <c r="L342" s="43"/>
      <c r="M342" s="43"/>
      <c r="N342" s="82"/>
      <c r="O342" s="82"/>
      <c r="P342" s="43"/>
      <c r="Q342" s="43"/>
      <c r="R342" s="82"/>
      <c r="S342" s="69"/>
      <c r="T342" s="82"/>
    </row>
    <row r="343" spans="2:20" x14ac:dyDescent="0.35">
      <c r="B343" s="41"/>
      <c r="C343" s="80"/>
      <c r="D343" s="81"/>
      <c r="E343" s="81"/>
      <c r="F343" s="81"/>
      <c r="G343" s="82"/>
      <c r="H343" s="69"/>
      <c r="I343" s="69"/>
      <c r="J343" s="82"/>
      <c r="K343" s="82"/>
      <c r="L343" s="43"/>
      <c r="M343" s="43"/>
      <c r="N343" s="82"/>
      <c r="O343" s="82"/>
      <c r="P343" s="43"/>
      <c r="Q343" s="43"/>
      <c r="R343" s="82"/>
      <c r="S343" s="69"/>
      <c r="T343" s="82"/>
    </row>
    <row r="344" spans="2:20" x14ac:dyDescent="0.35">
      <c r="B344" s="41"/>
      <c r="C344" s="80"/>
      <c r="D344" s="81"/>
      <c r="E344" s="81"/>
      <c r="F344" s="81"/>
      <c r="G344" s="82"/>
      <c r="H344" s="69"/>
      <c r="I344" s="69"/>
      <c r="J344" s="82"/>
      <c r="K344" s="82"/>
      <c r="L344" s="43"/>
      <c r="M344" s="43"/>
      <c r="N344" s="82"/>
      <c r="O344" s="82"/>
      <c r="P344" s="43"/>
      <c r="Q344" s="43"/>
      <c r="R344" s="82"/>
      <c r="S344" s="69"/>
      <c r="T344" s="82"/>
    </row>
    <row r="345" spans="2:20" x14ac:dyDescent="0.35">
      <c r="B345" s="41"/>
      <c r="C345" s="80"/>
      <c r="D345" s="81"/>
      <c r="E345" s="81"/>
      <c r="F345" s="81"/>
      <c r="G345" s="82"/>
      <c r="H345" s="69"/>
      <c r="I345" s="69"/>
      <c r="J345" s="82"/>
      <c r="K345" s="82"/>
      <c r="L345" s="43"/>
      <c r="M345" s="43"/>
      <c r="N345" s="82"/>
      <c r="O345" s="82"/>
      <c r="P345" s="43"/>
      <c r="Q345" s="43"/>
      <c r="R345" s="82"/>
      <c r="S345" s="69"/>
      <c r="T345" s="82"/>
    </row>
    <row r="346" spans="2:20" x14ac:dyDescent="0.35">
      <c r="B346" s="41"/>
      <c r="C346" s="80"/>
      <c r="D346" s="81"/>
      <c r="E346" s="81"/>
      <c r="F346" s="81"/>
      <c r="G346" s="82"/>
      <c r="H346" s="69"/>
      <c r="I346" s="69"/>
      <c r="J346" s="82"/>
      <c r="K346" s="82"/>
      <c r="L346" s="43"/>
      <c r="M346" s="43"/>
      <c r="N346" s="82"/>
      <c r="O346" s="82"/>
      <c r="P346" s="43"/>
      <c r="Q346" s="43"/>
      <c r="R346" s="82"/>
      <c r="S346" s="69"/>
      <c r="T346" s="82"/>
    </row>
    <row r="347" spans="2:20" x14ac:dyDescent="0.35">
      <c r="B347" s="41"/>
      <c r="C347" s="80"/>
      <c r="D347" s="81"/>
      <c r="E347" s="81"/>
      <c r="F347" s="81"/>
      <c r="G347" s="82"/>
      <c r="H347" s="69"/>
      <c r="I347" s="69"/>
      <c r="J347" s="82"/>
      <c r="K347" s="82"/>
      <c r="L347" s="43"/>
      <c r="M347" s="43"/>
      <c r="N347" s="82"/>
      <c r="O347" s="82"/>
      <c r="P347" s="43"/>
      <c r="Q347" s="43"/>
      <c r="R347" s="82"/>
      <c r="S347" s="69"/>
      <c r="T347" s="82"/>
    </row>
    <row r="348" spans="2:20" x14ac:dyDescent="0.35">
      <c r="B348" s="41"/>
      <c r="C348" s="80"/>
      <c r="D348" s="81"/>
      <c r="E348" s="81"/>
      <c r="F348" s="81"/>
      <c r="G348" s="82"/>
      <c r="H348" s="69"/>
      <c r="I348" s="69"/>
      <c r="J348" s="82"/>
      <c r="K348" s="82"/>
      <c r="L348" s="43"/>
      <c r="M348" s="43"/>
      <c r="N348" s="82"/>
      <c r="O348" s="82"/>
      <c r="P348" s="43"/>
      <c r="Q348" s="43"/>
      <c r="R348" s="82"/>
      <c r="S348" s="69"/>
      <c r="T348" s="82"/>
    </row>
    <row r="349" spans="2:20" x14ac:dyDescent="0.35">
      <c r="B349" s="41"/>
      <c r="C349" s="80"/>
      <c r="D349" s="81"/>
      <c r="E349" s="81"/>
      <c r="F349" s="81"/>
      <c r="G349" s="82"/>
      <c r="H349" s="69"/>
      <c r="I349" s="69"/>
      <c r="J349" s="82"/>
      <c r="K349" s="82"/>
      <c r="L349" s="43"/>
      <c r="M349" s="43"/>
      <c r="N349" s="82"/>
      <c r="O349" s="82"/>
      <c r="P349" s="43"/>
      <c r="Q349" s="43"/>
      <c r="R349" s="82"/>
      <c r="S349" s="69"/>
      <c r="T349" s="82"/>
    </row>
    <row r="350" spans="2:20" x14ac:dyDescent="0.35">
      <c r="B350" s="41"/>
      <c r="C350" s="80"/>
      <c r="D350" s="81"/>
      <c r="E350" s="81"/>
      <c r="F350" s="81"/>
      <c r="G350" s="82"/>
      <c r="H350" s="69"/>
      <c r="I350" s="69"/>
      <c r="J350" s="82"/>
      <c r="K350" s="82"/>
      <c r="L350" s="43"/>
      <c r="M350" s="43"/>
      <c r="N350" s="82"/>
      <c r="O350" s="82"/>
      <c r="P350" s="43"/>
      <c r="Q350" s="43"/>
      <c r="R350" s="82"/>
      <c r="S350" s="69"/>
      <c r="T350" s="82"/>
    </row>
    <row r="351" spans="2:20" x14ac:dyDescent="0.35">
      <c r="B351" s="41"/>
      <c r="C351" s="80"/>
      <c r="D351" s="81"/>
      <c r="E351" s="81"/>
      <c r="F351" s="81"/>
      <c r="G351" s="82"/>
      <c r="H351" s="69"/>
      <c r="I351" s="69"/>
      <c r="J351" s="82"/>
      <c r="K351" s="82"/>
      <c r="L351" s="43"/>
      <c r="M351" s="43"/>
      <c r="N351" s="82"/>
      <c r="O351" s="82"/>
      <c r="P351" s="43"/>
      <c r="Q351" s="43"/>
      <c r="R351" s="82"/>
      <c r="S351" s="69"/>
      <c r="T351" s="82"/>
    </row>
    <row r="352" spans="2:20" x14ac:dyDescent="0.35">
      <c r="B352" s="41"/>
      <c r="C352" s="80"/>
      <c r="D352" s="81"/>
      <c r="E352" s="81"/>
      <c r="F352" s="81"/>
      <c r="G352" s="82"/>
      <c r="H352" s="69"/>
      <c r="I352" s="69"/>
      <c r="J352" s="82"/>
      <c r="K352" s="82"/>
      <c r="L352" s="43"/>
      <c r="M352" s="43"/>
      <c r="N352" s="82"/>
      <c r="O352" s="82"/>
      <c r="P352" s="43"/>
      <c r="Q352" s="43"/>
      <c r="R352" s="82"/>
      <c r="S352" s="69"/>
      <c r="T352" s="82"/>
    </row>
    <row r="353" spans="2:20" x14ac:dyDescent="0.35">
      <c r="B353" s="41"/>
      <c r="C353" s="80"/>
      <c r="D353" s="81"/>
      <c r="E353" s="81"/>
      <c r="F353" s="81"/>
      <c r="G353" s="82"/>
      <c r="H353" s="69"/>
      <c r="I353" s="69"/>
      <c r="J353" s="82"/>
      <c r="K353" s="82"/>
      <c r="L353" s="43"/>
      <c r="M353" s="43"/>
      <c r="N353" s="82"/>
      <c r="O353" s="82"/>
      <c r="P353" s="43"/>
      <c r="Q353" s="43"/>
      <c r="R353" s="82"/>
      <c r="S353" s="69"/>
      <c r="T353" s="82"/>
    </row>
    <row r="354" spans="2:20" x14ac:dyDescent="0.35">
      <c r="B354" s="41"/>
      <c r="C354" s="80"/>
      <c r="D354" s="81"/>
      <c r="E354" s="81"/>
      <c r="F354" s="81"/>
      <c r="G354" s="82"/>
      <c r="H354" s="69"/>
      <c r="I354" s="69"/>
      <c r="J354" s="82"/>
      <c r="K354" s="82"/>
      <c r="L354" s="43"/>
      <c r="M354" s="43"/>
      <c r="N354" s="82"/>
      <c r="O354" s="82"/>
      <c r="P354" s="43"/>
      <c r="Q354" s="43"/>
      <c r="R354" s="82"/>
      <c r="S354" s="69"/>
      <c r="T354" s="82"/>
    </row>
    <row r="355" spans="2:20" x14ac:dyDescent="0.35">
      <c r="B355" s="41"/>
      <c r="C355" s="80"/>
      <c r="D355" s="81"/>
      <c r="E355" s="81"/>
      <c r="F355" s="81"/>
      <c r="G355" s="82"/>
      <c r="H355" s="69"/>
      <c r="I355" s="69"/>
      <c r="J355" s="82"/>
      <c r="K355" s="82"/>
      <c r="L355" s="43"/>
      <c r="M355" s="43"/>
      <c r="N355" s="82"/>
      <c r="O355" s="82"/>
      <c r="P355" s="43"/>
      <c r="Q355" s="43"/>
      <c r="R355" s="82"/>
      <c r="S355" s="69"/>
      <c r="T355" s="82"/>
    </row>
    <row r="356" spans="2:20" x14ac:dyDescent="0.35">
      <c r="B356" s="41"/>
      <c r="C356" s="80"/>
      <c r="D356" s="81"/>
      <c r="E356" s="81"/>
      <c r="F356" s="81"/>
      <c r="G356" s="82"/>
      <c r="H356" s="69"/>
      <c r="I356" s="69"/>
      <c r="J356" s="82"/>
      <c r="K356" s="82"/>
      <c r="L356" s="43"/>
      <c r="M356" s="43"/>
      <c r="N356" s="82"/>
      <c r="O356" s="82"/>
      <c r="P356" s="43"/>
      <c r="Q356" s="43"/>
      <c r="R356" s="82"/>
      <c r="S356" s="69"/>
      <c r="T356" s="82"/>
    </row>
    <row r="357" spans="2:20" x14ac:dyDescent="0.35">
      <c r="B357" s="41"/>
      <c r="C357" s="80"/>
      <c r="D357" s="81"/>
      <c r="E357" s="81"/>
      <c r="F357" s="81"/>
      <c r="G357" s="82"/>
      <c r="H357" s="69"/>
      <c r="I357" s="69"/>
      <c r="J357" s="82"/>
      <c r="K357" s="82"/>
      <c r="L357" s="43"/>
      <c r="M357" s="43"/>
      <c r="N357" s="82"/>
      <c r="O357" s="82"/>
      <c r="P357" s="43"/>
      <c r="Q357" s="43"/>
      <c r="R357" s="82"/>
      <c r="S357" s="69"/>
      <c r="T357" s="82"/>
    </row>
    <row r="358" spans="2:20" x14ac:dyDescent="0.35">
      <c r="B358" s="41"/>
      <c r="C358" s="80"/>
      <c r="D358" s="81"/>
      <c r="E358" s="81"/>
      <c r="F358" s="81"/>
      <c r="G358" s="82"/>
      <c r="H358" s="69"/>
      <c r="I358" s="69"/>
      <c r="J358" s="82"/>
      <c r="K358" s="82"/>
      <c r="L358" s="43"/>
      <c r="M358" s="43"/>
      <c r="N358" s="82"/>
      <c r="O358" s="82"/>
      <c r="P358" s="43"/>
      <c r="Q358" s="43"/>
      <c r="R358" s="82"/>
      <c r="S358" s="69"/>
      <c r="T358" s="82"/>
    </row>
    <row r="359" spans="2:20" x14ac:dyDescent="0.35">
      <c r="B359" s="41"/>
      <c r="C359" s="80"/>
      <c r="D359" s="81"/>
      <c r="E359" s="81"/>
      <c r="F359" s="81"/>
      <c r="G359" s="82"/>
      <c r="H359" s="69"/>
      <c r="I359" s="69"/>
      <c r="J359" s="82"/>
      <c r="K359" s="82"/>
      <c r="L359" s="43"/>
      <c r="M359" s="43"/>
      <c r="N359" s="82"/>
      <c r="O359" s="82"/>
      <c r="P359" s="43"/>
      <c r="Q359" s="43"/>
      <c r="R359" s="82"/>
      <c r="S359" s="69"/>
      <c r="T359" s="82"/>
    </row>
    <row r="360" spans="2:20" x14ac:dyDescent="0.35">
      <c r="B360" s="41"/>
      <c r="C360" s="80"/>
      <c r="D360" s="81"/>
      <c r="E360" s="81"/>
      <c r="F360" s="81"/>
      <c r="G360" s="82"/>
      <c r="H360" s="69"/>
      <c r="I360" s="69"/>
      <c r="J360" s="82"/>
      <c r="K360" s="82"/>
      <c r="L360" s="43"/>
      <c r="M360" s="43"/>
      <c r="N360" s="82"/>
      <c r="O360" s="82"/>
      <c r="P360" s="43"/>
      <c r="Q360" s="43"/>
      <c r="R360" s="82"/>
      <c r="S360" s="69"/>
      <c r="T360" s="82"/>
    </row>
    <row r="361" spans="2:20" x14ac:dyDescent="0.35">
      <c r="B361" s="41"/>
      <c r="C361" s="80"/>
      <c r="D361" s="81"/>
      <c r="E361" s="81"/>
      <c r="F361" s="81"/>
      <c r="G361" s="82"/>
      <c r="H361" s="69"/>
      <c r="I361" s="69"/>
      <c r="J361" s="82"/>
      <c r="K361" s="82"/>
      <c r="L361" s="43"/>
      <c r="M361" s="43"/>
      <c r="N361" s="82"/>
      <c r="O361" s="82"/>
      <c r="P361" s="43"/>
      <c r="Q361" s="43"/>
      <c r="R361" s="82"/>
      <c r="S361" s="69"/>
      <c r="T361" s="82"/>
    </row>
    <row r="362" spans="2:20" x14ac:dyDescent="0.35">
      <c r="B362" s="41"/>
      <c r="C362" s="80"/>
      <c r="D362" s="81"/>
      <c r="E362" s="81"/>
      <c r="F362" s="81"/>
      <c r="G362" s="82"/>
      <c r="H362" s="69"/>
      <c r="I362" s="69"/>
      <c r="J362" s="82"/>
      <c r="K362" s="82"/>
      <c r="L362" s="43"/>
      <c r="M362" s="43"/>
      <c r="N362" s="82"/>
      <c r="O362" s="82"/>
      <c r="P362" s="43"/>
      <c r="Q362" s="43"/>
      <c r="R362" s="82"/>
      <c r="S362" s="69"/>
      <c r="T362" s="82"/>
    </row>
    <row r="363" spans="2:20" x14ac:dyDescent="0.35">
      <c r="B363" s="41"/>
      <c r="C363" s="80"/>
      <c r="D363" s="81"/>
      <c r="E363" s="81"/>
      <c r="F363" s="81"/>
      <c r="G363" s="82"/>
      <c r="H363" s="69"/>
      <c r="I363" s="69"/>
      <c r="J363" s="82"/>
      <c r="K363" s="82"/>
      <c r="L363" s="43"/>
      <c r="M363" s="43"/>
      <c r="N363" s="82"/>
      <c r="O363" s="82"/>
      <c r="P363" s="43"/>
      <c r="Q363" s="43"/>
      <c r="R363" s="82"/>
      <c r="S363" s="69"/>
      <c r="T363" s="82"/>
    </row>
    <row r="364" spans="2:20" x14ac:dyDescent="0.35">
      <c r="B364" s="41"/>
      <c r="C364" s="80"/>
      <c r="D364" s="81"/>
      <c r="E364" s="81"/>
      <c r="F364" s="81"/>
      <c r="G364" s="82"/>
      <c r="H364" s="69"/>
      <c r="I364" s="69"/>
      <c r="J364" s="82"/>
      <c r="K364" s="82"/>
      <c r="L364" s="43"/>
      <c r="M364" s="43"/>
      <c r="N364" s="82"/>
      <c r="O364" s="82"/>
      <c r="P364" s="43"/>
      <c r="Q364" s="43"/>
      <c r="R364" s="82"/>
      <c r="S364" s="69"/>
      <c r="T364" s="82"/>
    </row>
    <row r="365" spans="2:20" x14ac:dyDescent="0.35">
      <c r="B365" s="41"/>
      <c r="C365" s="80"/>
      <c r="D365" s="81"/>
      <c r="E365" s="81"/>
      <c r="F365" s="81"/>
      <c r="G365" s="82"/>
      <c r="H365" s="69"/>
      <c r="I365" s="69"/>
      <c r="J365" s="82"/>
      <c r="K365" s="82"/>
      <c r="L365" s="43"/>
      <c r="M365" s="43"/>
      <c r="N365" s="82"/>
      <c r="O365" s="82"/>
      <c r="P365" s="43"/>
      <c r="Q365" s="43"/>
      <c r="R365" s="82"/>
      <c r="S365" s="69"/>
      <c r="T365" s="82"/>
    </row>
    <row r="366" spans="2:20" x14ac:dyDescent="0.35">
      <c r="B366" s="41"/>
      <c r="C366" s="80"/>
      <c r="D366" s="81"/>
      <c r="E366" s="81"/>
      <c r="F366" s="81"/>
      <c r="G366" s="82"/>
      <c r="H366" s="69"/>
      <c r="I366" s="69"/>
      <c r="J366" s="82"/>
      <c r="K366" s="82"/>
      <c r="L366" s="43"/>
      <c r="M366" s="43"/>
      <c r="N366" s="82"/>
      <c r="O366" s="82"/>
      <c r="P366" s="43"/>
      <c r="Q366" s="43"/>
      <c r="R366" s="82"/>
      <c r="S366" s="69"/>
      <c r="T366" s="82"/>
    </row>
    <row r="367" spans="2:20" x14ac:dyDescent="0.35">
      <c r="B367" s="41"/>
      <c r="C367" s="80"/>
      <c r="D367" s="81"/>
      <c r="E367" s="81"/>
      <c r="F367" s="81"/>
      <c r="G367" s="82"/>
      <c r="H367" s="69"/>
      <c r="I367" s="69"/>
      <c r="J367" s="82"/>
      <c r="K367" s="82"/>
      <c r="L367" s="43"/>
      <c r="M367" s="43"/>
      <c r="N367" s="82"/>
      <c r="O367" s="82"/>
      <c r="P367" s="43"/>
      <c r="Q367" s="43"/>
      <c r="R367" s="82"/>
      <c r="S367" s="69"/>
      <c r="T367" s="82"/>
    </row>
    <row r="368" spans="2:20" x14ac:dyDescent="0.35">
      <c r="B368" s="41"/>
      <c r="C368" s="80"/>
      <c r="D368" s="81"/>
      <c r="E368" s="81"/>
      <c r="F368" s="81"/>
      <c r="G368" s="82"/>
      <c r="H368" s="69"/>
      <c r="I368" s="69"/>
      <c r="J368" s="82"/>
      <c r="K368" s="82"/>
      <c r="L368" s="43"/>
      <c r="M368" s="43"/>
      <c r="N368" s="82"/>
      <c r="O368" s="82"/>
      <c r="P368" s="43"/>
      <c r="Q368" s="43"/>
      <c r="R368" s="82"/>
      <c r="S368" s="69"/>
      <c r="T368" s="82"/>
    </row>
    <row r="369" spans="2:20" x14ac:dyDescent="0.35">
      <c r="B369" s="41"/>
      <c r="C369" s="80"/>
      <c r="D369" s="81"/>
      <c r="E369" s="81"/>
      <c r="F369" s="81"/>
      <c r="G369" s="82"/>
      <c r="H369" s="69"/>
      <c r="I369" s="69"/>
      <c r="J369" s="82"/>
      <c r="K369" s="82"/>
      <c r="L369" s="43"/>
      <c r="M369" s="43"/>
      <c r="N369" s="82"/>
      <c r="O369" s="82"/>
      <c r="P369" s="43"/>
      <c r="Q369" s="43"/>
      <c r="R369" s="82"/>
      <c r="S369" s="69"/>
      <c r="T369" s="82"/>
    </row>
    <row r="370" spans="2:20" x14ac:dyDescent="0.35">
      <c r="B370" s="41"/>
      <c r="C370" s="80"/>
      <c r="D370" s="81"/>
      <c r="E370" s="81"/>
      <c r="F370" s="81"/>
      <c r="G370" s="82"/>
      <c r="H370" s="69"/>
      <c r="I370" s="69"/>
      <c r="J370" s="82"/>
      <c r="K370" s="82"/>
      <c r="L370" s="43"/>
      <c r="M370" s="43"/>
      <c r="N370" s="82"/>
      <c r="O370" s="82"/>
      <c r="P370" s="43"/>
      <c r="Q370" s="43"/>
      <c r="R370" s="82"/>
      <c r="S370" s="69"/>
      <c r="T370" s="82"/>
    </row>
    <row r="371" spans="2:20" x14ac:dyDescent="0.35">
      <c r="B371" s="41"/>
      <c r="C371" s="80"/>
      <c r="D371" s="81"/>
      <c r="E371" s="81"/>
      <c r="F371" s="81"/>
      <c r="G371" s="82"/>
      <c r="H371" s="69"/>
      <c r="I371" s="69"/>
      <c r="J371" s="82"/>
      <c r="K371" s="82"/>
      <c r="L371" s="43"/>
      <c r="M371" s="43"/>
      <c r="N371" s="82"/>
      <c r="O371" s="82"/>
      <c r="P371" s="43"/>
      <c r="Q371" s="43"/>
      <c r="R371" s="82"/>
      <c r="S371" s="69"/>
      <c r="T371" s="82"/>
    </row>
    <row r="372" spans="2:20" x14ac:dyDescent="0.35">
      <c r="B372" s="41"/>
      <c r="C372" s="80"/>
      <c r="D372" s="81"/>
      <c r="E372" s="81"/>
      <c r="F372" s="81"/>
      <c r="G372" s="82"/>
      <c r="H372" s="69"/>
      <c r="I372" s="69"/>
      <c r="J372" s="82"/>
      <c r="K372" s="82"/>
      <c r="L372" s="43"/>
      <c r="M372" s="43"/>
      <c r="N372" s="82"/>
      <c r="O372" s="82"/>
      <c r="P372" s="43"/>
      <c r="Q372" s="43"/>
      <c r="R372" s="82"/>
      <c r="S372" s="69"/>
      <c r="T372" s="82"/>
    </row>
    <row r="373" spans="2:20" x14ac:dyDescent="0.35">
      <c r="B373" s="41"/>
      <c r="C373" s="80"/>
      <c r="D373" s="81"/>
      <c r="E373" s="81"/>
      <c r="F373" s="81"/>
      <c r="G373" s="82"/>
      <c r="H373" s="69"/>
      <c r="I373" s="69"/>
      <c r="J373" s="82"/>
      <c r="K373" s="82"/>
      <c r="L373" s="43"/>
      <c r="M373" s="43"/>
      <c r="N373" s="82"/>
      <c r="O373" s="82"/>
      <c r="P373" s="43"/>
      <c r="Q373" s="43"/>
      <c r="R373" s="82"/>
      <c r="S373" s="69"/>
      <c r="T373" s="82"/>
    </row>
    <row r="374" spans="2:20" x14ac:dyDescent="0.35">
      <c r="B374" s="41"/>
      <c r="C374" s="80"/>
      <c r="D374" s="81"/>
      <c r="E374" s="81"/>
      <c r="F374" s="81"/>
      <c r="G374" s="82"/>
      <c r="H374" s="69"/>
      <c r="I374" s="69"/>
      <c r="J374" s="82"/>
      <c r="K374" s="82"/>
      <c r="L374" s="43"/>
      <c r="M374" s="43"/>
      <c r="N374" s="82"/>
      <c r="O374" s="82"/>
      <c r="P374" s="43"/>
      <c r="Q374" s="43"/>
      <c r="R374" s="82"/>
      <c r="S374" s="69"/>
      <c r="T374" s="82"/>
    </row>
    <row r="375" spans="2:20" x14ac:dyDescent="0.35">
      <c r="B375" s="41"/>
      <c r="C375" s="80"/>
      <c r="D375" s="81"/>
      <c r="E375" s="81"/>
      <c r="F375" s="81"/>
      <c r="G375" s="82"/>
      <c r="H375" s="69"/>
      <c r="I375" s="69"/>
      <c r="J375" s="82"/>
      <c r="K375" s="82"/>
      <c r="L375" s="43"/>
      <c r="M375" s="43"/>
      <c r="N375" s="82"/>
      <c r="O375" s="82"/>
      <c r="P375" s="43"/>
      <c r="Q375" s="43"/>
      <c r="R375" s="82"/>
      <c r="S375" s="69"/>
      <c r="T375" s="82"/>
    </row>
    <row r="376" spans="2:20" x14ac:dyDescent="0.35">
      <c r="B376" s="41"/>
      <c r="C376" s="80"/>
      <c r="D376" s="81"/>
      <c r="E376" s="81"/>
      <c r="F376" s="81"/>
      <c r="G376" s="82"/>
      <c r="H376" s="69"/>
      <c r="I376" s="69"/>
      <c r="J376" s="82"/>
      <c r="K376" s="82"/>
      <c r="L376" s="43"/>
      <c r="M376" s="43"/>
      <c r="N376" s="82"/>
      <c r="O376" s="82"/>
      <c r="P376" s="43"/>
      <c r="Q376" s="43"/>
      <c r="R376" s="82"/>
      <c r="S376" s="69"/>
      <c r="T376" s="82"/>
    </row>
    <row r="377" spans="2:20" x14ac:dyDescent="0.35">
      <c r="B377" s="41"/>
      <c r="C377" s="80"/>
      <c r="D377" s="81"/>
      <c r="E377" s="81"/>
      <c r="F377" s="81"/>
      <c r="G377" s="82"/>
      <c r="H377" s="69"/>
      <c r="I377" s="69"/>
      <c r="J377" s="82"/>
      <c r="K377" s="82"/>
      <c r="L377" s="43"/>
      <c r="M377" s="43"/>
      <c r="N377" s="82"/>
      <c r="O377" s="82"/>
      <c r="P377" s="43"/>
      <c r="Q377" s="43"/>
      <c r="R377" s="82"/>
      <c r="S377" s="69"/>
      <c r="T377" s="82"/>
    </row>
    <row r="378" spans="2:20" x14ac:dyDescent="0.35">
      <c r="B378" s="41"/>
      <c r="C378" s="80"/>
      <c r="D378" s="81"/>
      <c r="E378" s="81"/>
      <c r="F378" s="81"/>
      <c r="G378" s="82"/>
      <c r="H378" s="69"/>
      <c r="I378" s="69"/>
      <c r="J378" s="82"/>
      <c r="K378" s="82"/>
      <c r="L378" s="43"/>
      <c r="M378" s="43"/>
      <c r="N378" s="82"/>
      <c r="O378" s="82"/>
      <c r="P378" s="43"/>
      <c r="Q378" s="43"/>
      <c r="R378" s="82"/>
      <c r="S378" s="69"/>
      <c r="T378" s="82"/>
    </row>
    <row r="379" spans="2:20" x14ac:dyDescent="0.35">
      <c r="B379" s="41"/>
      <c r="C379" s="80"/>
      <c r="D379" s="81"/>
      <c r="E379" s="81"/>
      <c r="F379" s="81"/>
      <c r="G379" s="82"/>
      <c r="H379" s="69"/>
      <c r="I379" s="69"/>
      <c r="J379" s="82"/>
      <c r="K379" s="82"/>
      <c r="L379" s="43"/>
      <c r="M379" s="43"/>
      <c r="N379" s="82"/>
      <c r="O379" s="82"/>
      <c r="P379" s="43"/>
      <c r="Q379" s="43"/>
      <c r="R379" s="82"/>
      <c r="S379" s="69"/>
      <c r="T379" s="82"/>
    </row>
    <row r="380" spans="2:20" x14ac:dyDescent="0.35">
      <c r="B380" s="41"/>
      <c r="C380" s="80"/>
      <c r="D380" s="81"/>
      <c r="E380" s="81"/>
      <c r="F380" s="81"/>
      <c r="G380" s="82"/>
      <c r="H380" s="69"/>
      <c r="I380" s="69"/>
      <c r="J380" s="82"/>
      <c r="K380" s="82"/>
      <c r="L380" s="43"/>
      <c r="M380" s="43"/>
      <c r="N380" s="82"/>
      <c r="O380" s="82"/>
      <c r="P380" s="43"/>
      <c r="Q380" s="43"/>
      <c r="R380" s="82"/>
      <c r="S380" s="69"/>
      <c r="T380" s="82"/>
    </row>
    <row r="381" spans="2:20" x14ac:dyDescent="0.35">
      <c r="B381" s="41"/>
      <c r="C381" s="80"/>
      <c r="D381" s="81"/>
      <c r="E381" s="81"/>
      <c r="F381" s="81"/>
      <c r="G381" s="82"/>
      <c r="H381" s="69"/>
      <c r="I381" s="69"/>
      <c r="J381" s="82"/>
      <c r="K381" s="82"/>
      <c r="L381" s="43"/>
      <c r="M381" s="43"/>
      <c r="N381" s="82"/>
      <c r="O381" s="82"/>
      <c r="P381" s="43"/>
      <c r="Q381" s="43"/>
      <c r="R381" s="82"/>
      <c r="S381" s="69"/>
      <c r="T381" s="82"/>
    </row>
    <row r="382" spans="2:20" x14ac:dyDescent="0.35">
      <c r="B382" s="41"/>
      <c r="C382" s="80"/>
      <c r="D382" s="81"/>
      <c r="E382" s="81"/>
      <c r="F382" s="81"/>
      <c r="G382" s="82"/>
      <c r="H382" s="69"/>
      <c r="I382" s="69"/>
      <c r="J382" s="82"/>
      <c r="K382" s="82"/>
      <c r="L382" s="43"/>
      <c r="M382" s="43"/>
      <c r="N382" s="82"/>
      <c r="O382" s="82"/>
      <c r="P382" s="43"/>
      <c r="Q382" s="43"/>
      <c r="R382" s="82"/>
      <c r="S382" s="69"/>
      <c r="T382" s="82"/>
    </row>
    <row r="383" spans="2:20" x14ac:dyDescent="0.35">
      <c r="B383" s="41"/>
      <c r="C383" s="80"/>
      <c r="D383" s="81"/>
      <c r="E383" s="81"/>
      <c r="F383" s="81"/>
      <c r="G383" s="82"/>
      <c r="H383" s="69"/>
      <c r="I383" s="69"/>
      <c r="J383" s="82"/>
      <c r="K383" s="82"/>
      <c r="L383" s="43"/>
      <c r="M383" s="43"/>
      <c r="N383" s="82"/>
      <c r="O383" s="82"/>
      <c r="P383" s="43"/>
      <c r="Q383" s="43"/>
      <c r="R383" s="82"/>
      <c r="S383" s="69"/>
      <c r="T383" s="82"/>
    </row>
    <row r="384" spans="2:20" x14ac:dyDescent="0.35">
      <c r="B384" s="41"/>
      <c r="C384" s="80"/>
      <c r="D384" s="81"/>
      <c r="E384" s="81"/>
      <c r="F384" s="81"/>
      <c r="G384" s="82"/>
      <c r="H384" s="69"/>
      <c r="I384" s="69"/>
      <c r="J384" s="82"/>
      <c r="K384" s="82"/>
      <c r="L384" s="43"/>
      <c r="M384" s="43"/>
      <c r="N384" s="82"/>
      <c r="O384" s="82"/>
      <c r="P384" s="43"/>
      <c r="Q384" s="43"/>
      <c r="R384" s="82"/>
      <c r="S384" s="69"/>
      <c r="T384" s="82"/>
    </row>
    <row r="385" spans="2:20" x14ac:dyDescent="0.35">
      <c r="B385" s="41"/>
      <c r="C385" s="80"/>
      <c r="D385" s="81"/>
      <c r="E385" s="81"/>
      <c r="F385" s="81"/>
      <c r="G385" s="82"/>
      <c r="H385" s="69"/>
      <c r="I385" s="69"/>
      <c r="J385" s="82"/>
      <c r="K385" s="82"/>
      <c r="L385" s="43"/>
      <c r="M385" s="43"/>
      <c r="N385" s="82"/>
      <c r="O385" s="82"/>
      <c r="P385" s="43"/>
      <c r="Q385" s="43"/>
      <c r="R385" s="82"/>
      <c r="S385" s="69"/>
      <c r="T385" s="82"/>
    </row>
    <row r="386" spans="2:20" x14ac:dyDescent="0.35">
      <c r="B386" s="41"/>
      <c r="C386" s="80"/>
      <c r="D386" s="81"/>
      <c r="E386" s="81"/>
      <c r="F386" s="81"/>
      <c r="G386" s="82"/>
      <c r="H386" s="69"/>
      <c r="I386" s="69"/>
      <c r="J386" s="82"/>
      <c r="K386" s="82"/>
      <c r="L386" s="43"/>
      <c r="M386" s="43"/>
      <c r="N386" s="82"/>
      <c r="O386" s="82"/>
      <c r="P386" s="43"/>
      <c r="Q386" s="43"/>
      <c r="R386" s="82"/>
      <c r="S386" s="69"/>
      <c r="T386" s="82"/>
    </row>
    <row r="387" spans="2:20" x14ac:dyDescent="0.35">
      <c r="B387" s="41"/>
      <c r="C387" s="80"/>
      <c r="D387" s="81"/>
      <c r="E387" s="81"/>
      <c r="F387" s="81"/>
      <c r="G387" s="82"/>
      <c r="H387" s="69"/>
      <c r="I387" s="69"/>
      <c r="J387" s="82"/>
      <c r="K387" s="82"/>
      <c r="L387" s="43"/>
      <c r="M387" s="43"/>
      <c r="N387" s="82"/>
      <c r="O387" s="82"/>
      <c r="P387" s="43"/>
      <c r="Q387" s="43"/>
      <c r="R387" s="82"/>
      <c r="S387" s="69"/>
      <c r="T387" s="82"/>
    </row>
    <row r="388" spans="2:20" x14ac:dyDescent="0.35">
      <c r="B388" s="41"/>
      <c r="C388" s="80"/>
      <c r="D388" s="81"/>
      <c r="E388" s="81"/>
      <c r="F388" s="81"/>
      <c r="G388" s="82"/>
      <c r="H388" s="69"/>
      <c r="I388" s="69"/>
      <c r="J388" s="82"/>
      <c r="K388" s="82"/>
      <c r="L388" s="43"/>
      <c r="M388" s="43"/>
      <c r="N388" s="82"/>
      <c r="O388" s="82"/>
      <c r="P388" s="43"/>
      <c r="Q388" s="43"/>
      <c r="R388" s="82"/>
      <c r="S388" s="69"/>
      <c r="T388" s="82"/>
    </row>
    <row r="389" spans="2:20" x14ac:dyDescent="0.35">
      <c r="B389" s="41"/>
      <c r="C389" s="80"/>
      <c r="D389" s="81"/>
      <c r="E389" s="81"/>
      <c r="F389" s="81"/>
      <c r="G389" s="82"/>
      <c r="H389" s="69"/>
      <c r="I389" s="69"/>
      <c r="J389" s="82"/>
      <c r="K389" s="82"/>
      <c r="L389" s="43"/>
      <c r="M389" s="43"/>
      <c r="N389" s="82"/>
      <c r="O389" s="82"/>
      <c r="P389" s="43"/>
      <c r="Q389" s="43"/>
      <c r="R389" s="82"/>
      <c r="S389" s="69"/>
      <c r="T389" s="82"/>
    </row>
    <row r="390" spans="2:20" x14ac:dyDescent="0.35">
      <c r="B390" s="41"/>
      <c r="C390" s="80"/>
      <c r="D390" s="81"/>
      <c r="E390" s="81"/>
      <c r="F390" s="81"/>
      <c r="G390" s="82"/>
      <c r="H390" s="69"/>
      <c r="I390" s="69"/>
      <c r="J390" s="82"/>
      <c r="K390" s="82"/>
      <c r="L390" s="43"/>
      <c r="M390" s="43"/>
      <c r="N390" s="82"/>
      <c r="O390" s="82"/>
      <c r="P390" s="43"/>
      <c r="Q390" s="43"/>
      <c r="R390" s="82"/>
      <c r="S390" s="69"/>
      <c r="T390" s="82"/>
    </row>
    <row r="391" spans="2:20" x14ac:dyDescent="0.35">
      <c r="B391" s="41"/>
      <c r="C391" s="80"/>
      <c r="D391" s="81"/>
      <c r="E391" s="81"/>
      <c r="F391" s="81"/>
      <c r="G391" s="82"/>
      <c r="H391" s="69"/>
      <c r="I391" s="69"/>
      <c r="J391" s="82"/>
      <c r="K391" s="82"/>
      <c r="L391" s="43"/>
      <c r="M391" s="43"/>
      <c r="N391" s="82"/>
      <c r="O391" s="82"/>
      <c r="P391" s="43"/>
      <c r="Q391" s="43"/>
      <c r="R391" s="82"/>
      <c r="S391" s="69"/>
      <c r="T391" s="82"/>
    </row>
    <row r="392" spans="2:20" x14ac:dyDescent="0.35">
      <c r="B392" s="41"/>
      <c r="C392" s="80"/>
      <c r="D392" s="81"/>
      <c r="E392" s="81"/>
      <c r="F392" s="81"/>
      <c r="G392" s="82"/>
      <c r="H392" s="69"/>
      <c r="I392" s="69"/>
      <c r="J392" s="82"/>
      <c r="K392" s="82"/>
      <c r="L392" s="43"/>
      <c r="M392" s="43"/>
      <c r="N392" s="82"/>
      <c r="O392" s="82"/>
      <c r="P392" s="43"/>
      <c r="Q392" s="43"/>
      <c r="R392" s="82"/>
      <c r="S392" s="69"/>
      <c r="T392" s="82"/>
    </row>
    <row r="393" spans="2:20" x14ac:dyDescent="0.35">
      <c r="B393" s="41"/>
      <c r="C393" s="80"/>
      <c r="D393" s="81"/>
      <c r="E393" s="81"/>
      <c r="F393" s="81"/>
      <c r="G393" s="82"/>
      <c r="H393" s="69"/>
      <c r="I393" s="69"/>
      <c r="J393" s="82"/>
      <c r="K393" s="82"/>
      <c r="L393" s="43"/>
      <c r="M393" s="43"/>
      <c r="N393" s="82"/>
      <c r="O393" s="82"/>
      <c r="P393" s="43"/>
      <c r="Q393" s="43"/>
      <c r="R393" s="82"/>
      <c r="S393" s="69"/>
      <c r="T393" s="82"/>
    </row>
    <row r="394" spans="2:20" x14ac:dyDescent="0.35">
      <c r="B394" s="41"/>
      <c r="C394" s="80"/>
      <c r="D394" s="81"/>
      <c r="E394" s="81"/>
      <c r="F394" s="81"/>
      <c r="G394" s="82"/>
      <c r="H394" s="69"/>
      <c r="I394" s="69"/>
      <c r="J394" s="82"/>
      <c r="K394" s="82"/>
      <c r="L394" s="43"/>
      <c r="M394" s="43"/>
      <c r="N394" s="82"/>
      <c r="O394" s="82"/>
      <c r="P394" s="43"/>
      <c r="Q394" s="43"/>
      <c r="R394" s="82"/>
      <c r="S394" s="69"/>
      <c r="T394" s="82"/>
    </row>
    <row r="395" spans="2:20" x14ac:dyDescent="0.35">
      <c r="B395" s="41"/>
      <c r="C395" s="80"/>
      <c r="D395" s="81"/>
      <c r="E395" s="81"/>
      <c r="F395" s="81"/>
      <c r="G395" s="82"/>
      <c r="H395" s="69"/>
      <c r="I395" s="69"/>
      <c r="J395" s="82"/>
      <c r="K395" s="82"/>
      <c r="L395" s="43"/>
      <c r="M395" s="43"/>
      <c r="N395" s="82"/>
      <c r="O395" s="82"/>
      <c r="P395" s="43"/>
      <c r="Q395" s="43"/>
      <c r="R395" s="82"/>
      <c r="S395" s="69"/>
      <c r="T395" s="82"/>
    </row>
    <row r="396" spans="2:20" x14ac:dyDescent="0.35">
      <c r="B396" s="41"/>
      <c r="C396" s="80"/>
      <c r="D396" s="81"/>
      <c r="E396" s="81"/>
      <c r="F396" s="81"/>
      <c r="G396" s="82"/>
      <c r="H396" s="69"/>
      <c r="I396" s="69"/>
      <c r="J396" s="82"/>
      <c r="K396" s="82"/>
      <c r="L396" s="43"/>
      <c r="M396" s="43"/>
      <c r="N396" s="82"/>
      <c r="O396" s="82"/>
      <c r="P396" s="43"/>
      <c r="Q396" s="43"/>
      <c r="R396" s="82"/>
      <c r="S396" s="69"/>
      <c r="T396" s="82"/>
    </row>
    <row r="397" spans="2:20" x14ac:dyDescent="0.35">
      <c r="B397" s="41"/>
      <c r="C397" s="80"/>
      <c r="D397" s="81"/>
      <c r="E397" s="81"/>
      <c r="F397" s="81"/>
      <c r="G397" s="82"/>
      <c r="H397" s="69"/>
      <c r="I397" s="69"/>
      <c r="J397" s="82"/>
      <c r="K397" s="82"/>
      <c r="L397" s="43"/>
      <c r="M397" s="43"/>
      <c r="N397" s="82"/>
      <c r="O397" s="82"/>
      <c r="P397" s="43"/>
      <c r="Q397" s="43"/>
      <c r="R397" s="82"/>
      <c r="S397" s="69"/>
      <c r="T397" s="82"/>
    </row>
    <row r="398" spans="2:20" x14ac:dyDescent="0.35">
      <c r="B398" s="41"/>
      <c r="C398" s="80"/>
      <c r="D398" s="81"/>
      <c r="E398" s="81"/>
      <c r="F398" s="81"/>
      <c r="G398" s="82"/>
      <c r="H398" s="69"/>
      <c r="I398" s="69"/>
      <c r="J398" s="82"/>
      <c r="K398" s="82"/>
      <c r="L398" s="43"/>
      <c r="M398" s="43"/>
      <c r="N398" s="82"/>
      <c r="O398" s="82"/>
      <c r="P398" s="43"/>
      <c r="Q398" s="43"/>
      <c r="R398" s="82"/>
      <c r="S398" s="69"/>
      <c r="T398" s="82"/>
    </row>
    <row r="399" spans="2:20" x14ac:dyDescent="0.35">
      <c r="B399" s="41"/>
      <c r="C399" s="80"/>
      <c r="D399" s="81"/>
      <c r="E399" s="81"/>
      <c r="F399" s="81"/>
      <c r="G399" s="82"/>
      <c r="H399" s="69"/>
      <c r="I399" s="69"/>
      <c r="J399" s="82"/>
      <c r="K399" s="82"/>
      <c r="L399" s="43"/>
      <c r="M399" s="43"/>
      <c r="N399" s="82"/>
      <c r="O399" s="82"/>
      <c r="P399" s="43"/>
      <c r="Q399" s="43"/>
      <c r="R399" s="82"/>
      <c r="S399" s="69"/>
      <c r="T399" s="82"/>
    </row>
    <row r="400" spans="2:20" x14ac:dyDescent="0.35">
      <c r="B400" s="41"/>
      <c r="C400" s="80"/>
      <c r="D400" s="81"/>
      <c r="E400" s="81"/>
      <c r="F400" s="81"/>
      <c r="G400" s="82"/>
      <c r="H400" s="69"/>
      <c r="I400" s="69"/>
      <c r="J400" s="82"/>
      <c r="K400" s="82"/>
      <c r="L400" s="43"/>
      <c r="M400" s="43"/>
      <c r="N400" s="82"/>
      <c r="O400" s="82"/>
      <c r="P400" s="43"/>
      <c r="Q400" s="43"/>
      <c r="R400" s="82"/>
      <c r="S400" s="69"/>
      <c r="T400" s="82"/>
    </row>
    <row r="401" spans="2:20" x14ac:dyDescent="0.35">
      <c r="B401" s="41"/>
      <c r="C401" s="80"/>
      <c r="D401" s="81"/>
      <c r="E401" s="81"/>
      <c r="F401" s="81"/>
      <c r="G401" s="82"/>
      <c r="H401" s="69"/>
      <c r="I401" s="69"/>
      <c r="J401" s="82"/>
      <c r="K401" s="82"/>
      <c r="L401" s="43"/>
      <c r="M401" s="43"/>
      <c r="N401" s="82"/>
      <c r="O401" s="82"/>
      <c r="P401" s="43"/>
      <c r="Q401" s="43"/>
      <c r="R401" s="82"/>
      <c r="S401" s="69"/>
      <c r="T401" s="82"/>
    </row>
    <row r="402" spans="2:20" x14ac:dyDescent="0.35">
      <c r="B402" s="41"/>
      <c r="C402" s="80"/>
      <c r="D402" s="81"/>
      <c r="E402" s="81"/>
      <c r="F402" s="81"/>
      <c r="G402" s="82"/>
      <c r="H402" s="69"/>
      <c r="I402" s="69"/>
      <c r="J402" s="82"/>
      <c r="K402" s="82"/>
      <c r="L402" s="43"/>
      <c r="M402" s="43"/>
      <c r="N402" s="82"/>
      <c r="O402" s="82"/>
      <c r="P402" s="43"/>
      <c r="Q402" s="43"/>
      <c r="R402" s="82"/>
      <c r="S402" s="69"/>
      <c r="T402" s="82"/>
    </row>
    <row r="403" spans="2:20" x14ac:dyDescent="0.35">
      <c r="B403" s="41"/>
      <c r="C403" s="80"/>
      <c r="D403" s="81"/>
      <c r="E403" s="81"/>
      <c r="F403" s="81"/>
      <c r="G403" s="82"/>
      <c r="H403" s="69"/>
      <c r="I403" s="69"/>
      <c r="J403" s="82"/>
      <c r="K403" s="82"/>
      <c r="L403" s="43"/>
      <c r="M403" s="43"/>
      <c r="N403" s="82"/>
      <c r="O403" s="82"/>
      <c r="P403" s="43"/>
      <c r="Q403" s="43"/>
      <c r="R403" s="82"/>
      <c r="S403" s="69"/>
      <c r="T403" s="82"/>
    </row>
    <row r="404" spans="2:20" x14ac:dyDescent="0.35">
      <c r="B404" s="41"/>
      <c r="C404" s="80"/>
      <c r="D404" s="81"/>
      <c r="E404" s="81"/>
      <c r="F404" s="81"/>
      <c r="G404" s="82"/>
      <c r="H404" s="69"/>
      <c r="I404" s="69"/>
      <c r="J404" s="82"/>
      <c r="K404" s="82"/>
      <c r="L404" s="43"/>
      <c r="M404" s="43"/>
      <c r="N404" s="82"/>
      <c r="O404" s="82"/>
      <c r="P404" s="43"/>
      <c r="Q404" s="43"/>
      <c r="R404" s="82"/>
      <c r="S404" s="69"/>
      <c r="T404" s="82"/>
    </row>
    <row r="405" spans="2:20" x14ac:dyDescent="0.35">
      <c r="B405" s="41"/>
      <c r="C405" s="80"/>
      <c r="D405" s="81"/>
      <c r="E405" s="81"/>
      <c r="F405" s="81"/>
      <c r="G405" s="82"/>
      <c r="H405" s="69"/>
      <c r="I405" s="69"/>
      <c r="J405" s="82"/>
      <c r="K405" s="82"/>
      <c r="L405" s="43"/>
      <c r="M405" s="43"/>
      <c r="N405" s="82"/>
      <c r="O405" s="82"/>
      <c r="P405" s="43"/>
      <c r="Q405" s="43"/>
      <c r="R405" s="82"/>
      <c r="S405" s="69"/>
      <c r="T405" s="82"/>
    </row>
    <row r="406" spans="2:20" x14ac:dyDescent="0.35">
      <c r="B406" s="41"/>
      <c r="C406" s="80"/>
      <c r="D406" s="81"/>
      <c r="E406" s="81"/>
      <c r="F406" s="81"/>
      <c r="G406" s="82"/>
      <c r="H406" s="69"/>
      <c r="I406" s="69"/>
      <c r="J406" s="82"/>
      <c r="K406" s="82"/>
      <c r="L406" s="43"/>
      <c r="M406" s="43"/>
      <c r="N406" s="82"/>
      <c r="O406" s="82"/>
      <c r="P406" s="43"/>
      <c r="Q406" s="43"/>
      <c r="R406" s="82"/>
      <c r="S406" s="69"/>
      <c r="T406" s="82"/>
    </row>
    <row r="407" spans="2:20" x14ac:dyDescent="0.35">
      <c r="B407" s="41"/>
      <c r="C407" s="80"/>
      <c r="D407" s="81"/>
      <c r="E407" s="81"/>
      <c r="F407" s="81"/>
      <c r="G407" s="82"/>
      <c r="H407" s="69"/>
      <c r="I407" s="69"/>
      <c r="J407" s="82"/>
      <c r="K407" s="82"/>
      <c r="L407" s="43"/>
      <c r="M407" s="43"/>
      <c r="N407" s="82"/>
      <c r="O407" s="82"/>
      <c r="P407" s="43"/>
      <c r="Q407" s="43"/>
      <c r="R407" s="82"/>
      <c r="S407" s="69"/>
      <c r="T407" s="82"/>
    </row>
    <row r="408" spans="2:20" x14ac:dyDescent="0.35">
      <c r="B408" s="41"/>
      <c r="C408" s="80"/>
      <c r="D408" s="81"/>
      <c r="E408" s="81"/>
      <c r="F408" s="81"/>
      <c r="G408" s="82"/>
      <c r="H408" s="69"/>
      <c r="I408" s="69"/>
      <c r="J408" s="82"/>
      <c r="K408" s="82"/>
      <c r="L408" s="43"/>
      <c r="M408" s="43"/>
      <c r="N408" s="82"/>
      <c r="O408" s="82"/>
      <c r="P408" s="43"/>
      <c r="Q408" s="43"/>
      <c r="R408" s="82"/>
      <c r="S408" s="69"/>
      <c r="T408" s="82"/>
    </row>
    <row r="409" spans="2:20" x14ac:dyDescent="0.35">
      <c r="B409" s="41"/>
      <c r="C409" s="80"/>
      <c r="D409" s="81"/>
      <c r="E409" s="81"/>
      <c r="F409" s="81"/>
      <c r="G409" s="82"/>
      <c r="H409" s="69"/>
      <c r="I409" s="69"/>
      <c r="J409" s="82"/>
      <c r="K409" s="82"/>
      <c r="L409" s="43"/>
      <c r="M409" s="43"/>
      <c r="N409" s="82"/>
      <c r="O409" s="82"/>
      <c r="P409" s="43"/>
      <c r="Q409" s="43"/>
      <c r="R409" s="82"/>
      <c r="S409" s="69"/>
      <c r="T409" s="82"/>
    </row>
    <row r="410" spans="2:20" x14ac:dyDescent="0.35">
      <c r="B410" s="41"/>
      <c r="C410" s="80"/>
      <c r="D410" s="81"/>
      <c r="E410" s="81"/>
      <c r="F410" s="81"/>
      <c r="G410" s="82"/>
      <c r="H410" s="69"/>
      <c r="I410" s="69"/>
      <c r="J410" s="82"/>
      <c r="K410" s="82"/>
      <c r="L410" s="43"/>
      <c r="M410" s="43"/>
      <c r="N410" s="82"/>
      <c r="O410" s="82"/>
      <c r="P410" s="43"/>
      <c r="Q410" s="43"/>
      <c r="R410" s="82"/>
      <c r="S410" s="69"/>
      <c r="T410" s="82"/>
    </row>
    <row r="411" spans="2:20" x14ac:dyDescent="0.35">
      <c r="B411" s="41"/>
      <c r="C411" s="80"/>
      <c r="D411" s="81"/>
      <c r="E411" s="81"/>
      <c r="F411" s="81"/>
      <c r="G411" s="82"/>
      <c r="H411" s="69"/>
      <c r="I411" s="69"/>
      <c r="J411" s="82"/>
      <c r="K411" s="82"/>
      <c r="L411" s="43"/>
      <c r="M411" s="43"/>
      <c r="N411" s="82"/>
      <c r="O411" s="82"/>
      <c r="P411" s="43"/>
      <c r="Q411" s="43"/>
      <c r="R411" s="82"/>
      <c r="S411" s="69"/>
      <c r="T411" s="82"/>
    </row>
    <row r="412" spans="2:20" x14ac:dyDescent="0.35">
      <c r="B412" s="41"/>
      <c r="C412" s="80"/>
      <c r="D412" s="81"/>
      <c r="E412" s="81"/>
      <c r="F412" s="81"/>
      <c r="G412" s="82"/>
      <c r="H412" s="69"/>
      <c r="I412" s="69"/>
      <c r="J412" s="82"/>
      <c r="K412" s="82"/>
      <c r="L412" s="43"/>
      <c r="M412" s="43"/>
      <c r="N412" s="82"/>
      <c r="O412" s="82"/>
      <c r="P412" s="43"/>
      <c r="Q412" s="43"/>
      <c r="R412" s="82"/>
      <c r="S412" s="69"/>
      <c r="T412" s="82"/>
    </row>
    <row r="413" spans="2:20" x14ac:dyDescent="0.35">
      <c r="B413" s="41"/>
      <c r="C413" s="80"/>
      <c r="D413" s="81"/>
      <c r="E413" s="81"/>
      <c r="F413" s="81"/>
      <c r="G413" s="82"/>
      <c r="H413" s="69"/>
      <c r="I413" s="69"/>
      <c r="J413" s="82"/>
      <c r="K413" s="82"/>
      <c r="L413" s="43"/>
      <c r="M413" s="43"/>
      <c r="N413" s="82"/>
      <c r="O413" s="82"/>
      <c r="P413" s="43"/>
      <c r="Q413" s="43"/>
      <c r="R413" s="82"/>
      <c r="S413" s="69"/>
      <c r="T413" s="82"/>
    </row>
    <row r="414" spans="2:20" x14ac:dyDescent="0.35">
      <c r="B414" s="41"/>
      <c r="C414" s="80"/>
      <c r="D414" s="81"/>
      <c r="E414" s="81"/>
      <c r="F414" s="81"/>
      <c r="G414" s="82"/>
      <c r="H414" s="69"/>
      <c r="I414" s="69"/>
      <c r="J414" s="82"/>
      <c r="K414" s="82"/>
      <c r="L414" s="43"/>
      <c r="M414" s="43"/>
      <c r="N414" s="82"/>
      <c r="O414" s="82"/>
      <c r="P414" s="43"/>
      <c r="Q414" s="43"/>
      <c r="R414" s="82"/>
      <c r="S414" s="69"/>
      <c r="T414" s="82"/>
    </row>
    <row r="415" spans="2:20" x14ac:dyDescent="0.35">
      <c r="B415" s="41"/>
      <c r="C415" s="80"/>
      <c r="D415" s="81"/>
      <c r="E415" s="81"/>
      <c r="F415" s="81"/>
      <c r="G415" s="82"/>
      <c r="H415" s="69"/>
      <c r="I415" s="69"/>
      <c r="J415" s="82"/>
      <c r="K415" s="82"/>
      <c r="L415" s="43"/>
      <c r="M415" s="43"/>
      <c r="N415" s="82"/>
      <c r="O415" s="82"/>
      <c r="P415" s="43"/>
      <c r="Q415" s="43"/>
      <c r="R415" s="82"/>
      <c r="S415" s="69"/>
      <c r="T415" s="82"/>
    </row>
    <row r="416" spans="2:20" x14ac:dyDescent="0.35">
      <c r="B416" s="41"/>
      <c r="C416" s="80"/>
      <c r="D416" s="81"/>
      <c r="E416" s="81"/>
      <c r="F416" s="81"/>
      <c r="G416" s="82"/>
      <c r="H416" s="69"/>
      <c r="I416" s="69"/>
      <c r="J416" s="82"/>
      <c r="K416" s="82"/>
      <c r="L416" s="43"/>
      <c r="M416" s="43"/>
      <c r="N416" s="82"/>
      <c r="O416" s="82"/>
      <c r="P416" s="43"/>
      <c r="Q416" s="43"/>
      <c r="R416" s="82"/>
      <c r="S416" s="69"/>
      <c r="T416" s="82"/>
    </row>
    <row r="417" spans="2:20" x14ac:dyDescent="0.35">
      <c r="B417" s="41"/>
      <c r="C417" s="80"/>
      <c r="D417" s="81"/>
      <c r="E417" s="81"/>
      <c r="F417" s="81"/>
      <c r="G417" s="82"/>
      <c r="H417" s="69"/>
      <c r="I417" s="69"/>
      <c r="J417" s="82"/>
      <c r="K417" s="82"/>
      <c r="L417" s="43"/>
      <c r="M417" s="43"/>
      <c r="N417" s="82"/>
      <c r="O417" s="82"/>
      <c r="P417" s="43"/>
      <c r="Q417" s="43"/>
      <c r="R417" s="82"/>
      <c r="S417" s="69"/>
      <c r="T417" s="82"/>
    </row>
    <row r="418" spans="2:20" x14ac:dyDescent="0.35">
      <c r="B418" s="41"/>
      <c r="C418" s="80"/>
      <c r="D418" s="81"/>
      <c r="E418" s="81"/>
      <c r="F418" s="81"/>
      <c r="G418" s="82"/>
      <c r="H418" s="69"/>
      <c r="I418" s="69"/>
      <c r="J418" s="82"/>
      <c r="K418" s="82"/>
      <c r="L418" s="43"/>
      <c r="M418" s="43"/>
      <c r="N418" s="82"/>
      <c r="O418" s="82"/>
      <c r="P418" s="43"/>
      <c r="Q418" s="43"/>
      <c r="R418" s="82"/>
      <c r="S418" s="69"/>
      <c r="T418" s="82"/>
    </row>
    <row r="419" spans="2:20" x14ac:dyDescent="0.35">
      <c r="B419" s="41"/>
      <c r="C419" s="80"/>
      <c r="D419" s="81"/>
      <c r="E419" s="81"/>
      <c r="F419" s="81"/>
      <c r="G419" s="82"/>
      <c r="H419" s="69"/>
      <c r="I419" s="69"/>
      <c r="J419" s="82"/>
      <c r="K419" s="82"/>
      <c r="L419" s="43"/>
      <c r="M419" s="43"/>
      <c r="N419" s="82"/>
      <c r="O419" s="82"/>
      <c r="P419" s="43"/>
      <c r="Q419" s="43"/>
      <c r="R419" s="82"/>
      <c r="S419" s="69"/>
      <c r="T419" s="82"/>
    </row>
    <row r="420" spans="2:20" x14ac:dyDescent="0.35">
      <c r="B420" s="41"/>
      <c r="C420" s="80"/>
      <c r="D420" s="81"/>
      <c r="E420" s="81"/>
      <c r="F420" s="81"/>
      <c r="G420" s="82"/>
      <c r="H420" s="69"/>
      <c r="I420" s="69"/>
      <c r="J420" s="82"/>
      <c r="K420" s="82"/>
      <c r="L420" s="43"/>
      <c r="M420" s="43"/>
      <c r="N420" s="82"/>
      <c r="O420" s="82"/>
      <c r="P420" s="43"/>
      <c r="Q420" s="43"/>
      <c r="R420" s="82"/>
      <c r="S420" s="69"/>
      <c r="T420" s="82"/>
    </row>
    <row r="421" spans="2:20" x14ac:dyDescent="0.35">
      <c r="B421" s="41"/>
      <c r="C421" s="80"/>
      <c r="D421" s="81"/>
      <c r="E421" s="81"/>
      <c r="F421" s="81"/>
      <c r="G421" s="82"/>
      <c r="H421" s="69"/>
      <c r="I421" s="69"/>
      <c r="J421" s="82"/>
      <c r="K421" s="82"/>
      <c r="L421" s="43"/>
      <c r="M421" s="43"/>
      <c r="N421" s="82"/>
      <c r="O421" s="82"/>
      <c r="P421" s="43"/>
      <c r="Q421" s="43"/>
      <c r="R421" s="82"/>
      <c r="S421" s="69"/>
      <c r="T421" s="82"/>
    </row>
    <row r="422" spans="2:20" x14ac:dyDescent="0.35">
      <c r="B422" s="41"/>
      <c r="C422" s="80"/>
      <c r="D422" s="81"/>
      <c r="E422" s="81"/>
      <c r="F422" s="81"/>
      <c r="G422" s="82"/>
      <c r="H422" s="69"/>
      <c r="I422" s="69"/>
      <c r="J422" s="82"/>
      <c r="K422" s="82"/>
      <c r="L422" s="43"/>
      <c r="M422" s="43"/>
      <c r="N422" s="82"/>
      <c r="O422" s="82"/>
      <c r="P422" s="43"/>
      <c r="Q422" s="43"/>
      <c r="R422" s="82"/>
      <c r="S422" s="69"/>
      <c r="T422" s="82"/>
    </row>
    <row r="423" spans="2:20" x14ac:dyDescent="0.35">
      <c r="B423" s="41"/>
      <c r="C423" s="80"/>
      <c r="D423" s="81"/>
      <c r="E423" s="81"/>
      <c r="F423" s="81"/>
      <c r="G423" s="82"/>
      <c r="H423" s="69"/>
      <c r="I423" s="69"/>
      <c r="J423" s="82"/>
      <c r="K423" s="82"/>
      <c r="L423" s="43"/>
      <c r="M423" s="43"/>
      <c r="N423" s="82"/>
      <c r="O423" s="82"/>
      <c r="P423" s="43"/>
      <c r="Q423" s="43"/>
      <c r="R423" s="82"/>
      <c r="S423" s="69"/>
      <c r="T423" s="82"/>
    </row>
    <row r="424" spans="2:20" x14ac:dyDescent="0.35">
      <c r="B424" s="41"/>
      <c r="C424" s="80"/>
      <c r="D424" s="81"/>
      <c r="E424" s="81"/>
      <c r="F424" s="81"/>
      <c r="G424" s="82"/>
      <c r="H424" s="69"/>
      <c r="I424" s="69"/>
      <c r="J424" s="82"/>
      <c r="K424" s="82"/>
      <c r="L424" s="43"/>
      <c r="M424" s="43"/>
      <c r="N424" s="82"/>
      <c r="O424" s="82"/>
      <c r="P424" s="43"/>
      <c r="Q424" s="43"/>
      <c r="R424" s="82"/>
      <c r="S424" s="69"/>
      <c r="T424" s="82"/>
    </row>
    <row r="425" spans="2:20" x14ac:dyDescent="0.35">
      <c r="B425" s="41"/>
      <c r="C425" s="80"/>
      <c r="D425" s="81"/>
      <c r="E425" s="81"/>
      <c r="F425" s="81"/>
      <c r="G425" s="82"/>
      <c r="H425" s="69"/>
      <c r="I425" s="69"/>
      <c r="J425" s="82"/>
      <c r="K425" s="82"/>
      <c r="L425" s="43"/>
      <c r="M425" s="43"/>
      <c r="N425" s="82"/>
      <c r="O425" s="82"/>
      <c r="P425" s="43"/>
      <c r="Q425" s="43"/>
      <c r="R425" s="82"/>
      <c r="S425" s="69"/>
      <c r="T425" s="82"/>
    </row>
    <row r="426" spans="2:20" x14ac:dyDescent="0.35">
      <c r="B426" s="41"/>
      <c r="C426" s="80"/>
      <c r="D426" s="81"/>
      <c r="E426" s="81"/>
      <c r="F426" s="81"/>
      <c r="G426" s="82"/>
      <c r="H426" s="69"/>
      <c r="I426" s="69"/>
      <c r="J426" s="82"/>
      <c r="K426" s="82"/>
      <c r="L426" s="43"/>
      <c r="M426" s="43"/>
      <c r="N426" s="82"/>
      <c r="O426" s="82"/>
      <c r="P426" s="43"/>
      <c r="Q426" s="43"/>
      <c r="R426" s="82"/>
      <c r="S426" s="69"/>
      <c r="T426" s="82"/>
    </row>
    <row r="427" spans="2:20" x14ac:dyDescent="0.35">
      <c r="B427" s="41"/>
      <c r="C427" s="80"/>
      <c r="D427" s="81"/>
      <c r="E427" s="81"/>
      <c r="F427" s="81"/>
      <c r="G427" s="82"/>
      <c r="H427" s="69"/>
      <c r="I427" s="69"/>
      <c r="J427" s="82"/>
      <c r="K427" s="82"/>
      <c r="L427" s="43"/>
      <c r="M427" s="43"/>
      <c r="N427" s="82"/>
      <c r="O427" s="82"/>
      <c r="P427" s="43"/>
      <c r="Q427" s="43"/>
      <c r="R427" s="82"/>
      <c r="S427" s="69"/>
      <c r="T427" s="82"/>
    </row>
    <row r="428" spans="2:20" x14ac:dyDescent="0.35">
      <c r="B428" s="41"/>
      <c r="C428" s="80"/>
      <c r="D428" s="81"/>
      <c r="E428" s="81"/>
      <c r="F428" s="81"/>
      <c r="G428" s="82"/>
      <c r="H428" s="69"/>
      <c r="I428" s="69"/>
      <c r="J428" s="82"/>
      <c r="K428" s="82"/>
      <c r="L428" s="43"/>
      <c r="M428" s="43"/>
      <c r="N428" s="82"/>
      <c r="O428" s="82"/>
      <c r="P428" s="43"/>
      <c r="Q428" s="43"/>
      <c r="R428" s="82"/>
      <c r="S428" s="69"/>
      <c r="T428" s="82"/>
    </row>
    <row r="429" spans="2:20" x14ac:dyDescent="0.35">
      <c r="B429" s="41"/>
      <c r="C429" s="80"/>
      <c r="D429" s="81"/>
      <c r="E429" s="81"/>
      <c r="F429" s="81"/>
      <c r="G429" s="82"/>
      <c r="H429" s="69"/>
      <c r="I429" s="69"/>
      <c r="J429" s="82"/>
      <c r="K429" s="82"/>
      <c r="L429" s="43"/>
      <c r="M429" s="43"/>
      <c r="N429" s="82"/>
      <c r="O429" s="82"/>
      <c r="P429" s="43"/>
      <c r="Q429" s="43"/>
      <c r="R429" s="82"/>
      <c r="S429" s="69"/>
      <c r="T429" s="82"/>
    </row>
    <row r="430" spans="2:20" x14ac:dyDescent="0.35">
      <c r="B430" s="41"/>
      <c r="C430" s="80"/>
      <c r="D430" s="81"/>
      <c r="E430" s="81"/>
      <c r="F430" s="81"/>
      <c r="G430" s="82"/>
      <c r="H430" s="69"/>
      <c r="I430" s="69"/>
      <c r="J430" s="82"/>
      <c r="K430" s="82"/>
      <c r="L430" s="43"/>
      <c r="M430" s="43"/>
      <c r="N430" s="82"/>
      <c r="O430" s="82"/>
      <c r="P430" s="43"/>
      <c r="Q430" s="43"/>
      <c r="R430" s="82"/>
      <c r="S430" s="69"/>
      <c r="T430" s="82"/>
    </row>
    <row r="431" spans="2:20" x14ac:dyDescent="0.35">
      <c r="B431" s="41"/>
      <c r="C431" s="80"/>
      <c r="D431" s="81"/>
      <c r="E431" s="81"/>
      <c r="F431" s="81"/>
      <c r="G431" s="82"/>
      <c r="H431" s="69"/>
      <c r="I431" s="69"/>
      <c r="J431" s="82"/>
      <c r="K431" s="82"/>
      <c r="L431" s="43"/>
      <c r="M431" s="43"/>
      <c r="N431" s="82"/>
      <c r="O431" s="82"/>
      <c r="P431" s="43"/>
      <c r="Q431" s="43"/>
      <c r="R431" s="82"/>
      <c r="S431" s="69"/>
      <c r="T431" s="82"/>
    </row>
    <row r="432" spans="2:20" x14ac:dyDescent="0.35">
      <c r="B432" s="41"/>
      <c r="C432" s="80"/>
      <c r="D432" s="81"/>
      <c r="E432" s="81"/>
      <c r="F432" s="81"/>
      <c r="G432" s="82"/>
      <c r="H432" s="69"/>
      <c r="I432" s="69"/>
      <c r="J432" s="82"/>
      <c r="K432" s="82"/>
      <c r="L432" s="43"/>
      <c r="M432" s="43"/>
      <c r="N432" s="82"/>
      <c r="O432" s="82"/>
      <c r="P432" s="43"/>
      <c r="Q432" s="43"/>
      <c r="R432" s="82"/>
      <c r="S432" s="69"/>
      <c r="T432" s="82"/>
    </row>
    <row r="433" spans="2:20" x14ac:dyDescent="0.35">
      <c r="B433" s="41"/>
      <c r="C433" s="80"/>
      <c r="D433" s="81"/>
      <c r="E433" s="81"/>
      <c r="F433" s="81"/>
      <c r="G433" s="82"/>
      <c r="H433" s="69"/>
      <c r="I433" s="69"/>
      <c r="J433" s="82"/>
      <c r="K433" s="82"/>
      <c r="L433" s="43"/>
      <c r="M433" s="43"/>
      <c r="N433" s="82"/>
      <c r="O433" s="82"/>
      <c r="P433" s="43"/>
      <c r="Q433" s="43"/>
      <c r="R433" s="82"/>
      <c r="S433" s="69"/>
      <c r="T433" s="82"/>
    </row>
    <row r="434" spans="2:20" x14ac:dyDescent="0.35">
      <c r="B434" s="41"/>
      <c r="C434" s="80"/>
      <c r="D434" s="81"/>
      <c r="E434" s="81"/>
      <c r="F434" s="81"/>
      <c r="G434" s="82"/>
      <c r="H434" s="69"/>
      <c r="I434" s="69"/>
      <c r="J434" s="82"/>
      <c r="K434" s="82"/>
      <c r="L434" s="43"/>
      <c r="M434" s="43"/>
      <c r="N434" s="82"/>
      <c r="O434" s="82"/>
      <c r="P434" s="43"/>
      <c r="Q434" s="43"/>
      <c r="R434" s="82"/>
      <c r="S434" s="69"/>
      <c r="T434" s="82"/>
    </row>
    <row r="435" spans="2:20" x14ac:dyDescent="0.35">
      <c r="B435" s="41"/>
      <c r="C435" s="80"/>
      <c r="D435" s="81"/>
      <c r="E435" s="81"/>
      <c r="F435" s="81"/>
      <c r="G435" s="82"/>
      <c r="H435" s="69"/>
      <c r="I435" s="69"/>
      <c r="J435" s="82"/>
      <c r="K435" s="82"/>
      <c r="L435" s="43"/>
      <c r="M435" s="43"/>
      <c r="N435" s="82"/>
      <c r="O435" s="82"/>
      <c r="P435" s="43"/>
      <c r="Q435" s="43"/>
      <c r="R435" s="82"/>
      <c r="S435" s="69"/>
      <c r="T435" s="82"/>
    </row>
    <row r="436" spans="2:20" x14ac:dyDescent="0.35">
      <c r="B436" s="41"/>
      <c r="C436" s="80"/>
      <c r="D436" s="81"/>
      <c r="E436" s="81"/>
      <c r="F436" s="81"/>
      <c r="G436" s="82"/>
      <c r="H436" s="69"/>
      <c r="I436" s="69"/>
      <c r="J436" s="82"/>
      <c r="K436" s="82"/>
      <c r="L436" s="43"/>
      <c r="M436" s="43"/>
      <c r="N436" s="82"/>
      <c r="O436" s="82"/>
      <c r="P436" s="43"/>
      <c r="Q436" s="43"/>
      <c r="R436" s="82"/>
      <c r="S436" s="69"/>
      <c r="T436" s="82"/>
    </row>
    <row r="437" spans="2:20" x14ac:dyDescent="0.35">
      <c r="B437" s="41"/>
      <c r="C437" s="80"/>
      <c r="D437" s="81"/>
      <c r="E437" s="81"/>
      <c r="F437" s="81"/>
      <c r="G437" s="82"/>
      <c r="H437" s="69"/>
      <c r="I437" s="69"/>
      <c r="J437" s="82"/>
      <c r="K437" s="82"/>
      <c r="L437" s="43"/>
      <c r="M437" s="43"/>
      <c r="N437" s="82"/>
      <c r="O437" s="82"/>
      <c r="P437" s="43"/>
      <c r="Q437" s="43"/>
      <c r="R437" s="82"/>
      <c r="S437" s="69"/>
      <c r="T437" s="82"/>
    </row>
    <row r="438" spans="2:20" x14ac:dyDescent="0.35">
      <c r="B438" s="41"/>
      <c r="C438" s="80"/>
      <c r="D438" s="81"/>
      <c r="E438" s="81"/>
      <c r="F438" s="81"/>
      <c r="G438" s="82"/>
      <c r="H438" s="69"/>
      <c r="I438" s="69"/>
      <c r="J438" s="82"/>
      <c r="K438" s="82"/>
      <c r="L438" s="43"/>
      <c r="M438" s="43"/>
      <c r="N438" s="82"/>
      <c r="O438" s="82"/>
      <c r="P438" s="43"/>
      <c r="Q438" s="43"/>
      <c r="R438" s="82"/>
      <c r="S438" s="69"/>
      <c r="T438" s="82"/>
    </row>
    <row r="439" spans="2:20" x14ac:dyDescent="0.35">
      <c r="B439" s="41"/>
      <c r="C439" s="80"/>
      <c r="D439" s="81"/>
      <c r="E439" s="81"/>
      <c r="F439" s="81"/>
      <c r="G439" s="82"/>
      <c r="H439" s="69"/>
      <c r="I439" s="69"/>
      <c r="J439" s="82"/>
      <c r="K439" s="82"/>
      <c r="L439" s="43"/>
      <c r="M439" s="43"/>
      <c r="N439" s="82"/>
      <c r="O439" s="82"/>
      <c r="P439" s="43"/>
      <c r="Q439" s="43"/>
      <c r="R439" s="82"/>
      <c r="S439" s="69"/>
      <c r="T439" s="82"/>
    </row>
    <row r="440" spans="2:20" x14ac:dyDescent="0.35">
      <c r="B440" s="41"/>
      <c r="C440" s="80"/>
      <c r="D440" s="81"/>
      <c r="E440" s="81"/>
      <c r="F440" s="81"/>
      <c r="G440" s="82"/>
      <c r="H440" s="69"/>
      <c r="I440" s="69"/>
      <c r="J440" s="82"/>
      <c r="K440" s="82"/>
      <c r="L440" s="43"/>
      <c r="M440" s="43"/>
      <c r="N440" s="82"/>
      <c r="O440" s="82"/>
      <c r="P440" s="43"/>
      <c r="Q440" s="43"/>
      <c r="R440" s="82"/>
      <c r="S440" s="69"/>
      <c r="T440" s="82"/>
    </row>
    <row r="441" spans="2:20" x14ac:dyDescent="0.35">
      <c r="B441" s="41"/>
      <c r="C441" s="80"/>
      <c r="D441" s="81"/>
      <c r="E441" s="81"/>
      <c r="F441" s="81"/>
      <c r="G441" s="82"/>
      <c r="H441" s="69"/>
      <c r="I441" s="69"/>
      <c r="J441" s="82"/>
      <c r="K441" s="82"/>
      <c r="L441" s="43"/>
      <c r="M441" s="43"/>
      <c r="N441" s="82"/>
      <c r="O441" s="82"/>
      <c r="P441" s="43"/>
      <c r="Q441" s="43"/>
      <c r="R441" s="82"/>
      <c r="S441" s="69"/>
      <c r="T441" s="82"/>
    </row>
    <row r="442" spans="2:20" x14ac:dyDescent="0.35">
      <c r="B442" s="41"/>
      <c r="C442" s="80"/>
      <c r="D442" s="81"/>
      <c r="E442" s="81"/>
      <c r="F442" s="81"/>
      <c r="G442" s="82"/>
      <c r="H442" s="69"/>
      <c r="I442" s="69"/>
      <c r="J442" s="82"/>
      <c r="K442" s="82"/>
      <c r="L442" s="43"/>
      <c r="M442" s="43"/>
      <c r="N442" s="82"/>
      <c r="O442" s="82"/>
      <c r="P442" s="43"/>
      <c r="Q442" s="43"/>
      <c r="R442" s="82"/>
      <c r="S442" s="69"/>
      <c r="T442" s="82"/>
    </row>
    <row r="443" spans="2:20" x14ac:dyDescent="0.35">
      <c r="B443" s="41"/>
      <c r="C443" s="80"/>
      <c r="D443" s="81"/>
      <c r="E443" s="81"/>
      <c r="F443" s="81"/>
      <c r="G443" s="82"/>
      <c r="H443" s="69"/>
      <c r="I443" s="69"/>
      <c r="J443" s="82"/>
      <c r="K443" s="82"/>
      <c r="L443" s="43"/>
      <c r="M443" s="43"/>
      <c r="N443" s="82"/>
      <c r="O443" s="82"/>
      <c r="P443" s="43"/>
      <c r="Q443" s="43"/>
      <c r="R443" s="82"/>
      <c r="S443" s="69"/>
      <c r="T443" s="82"/>
    </row>
    <row r="444" spans="2:20" x14ac:dyDescent="0.35">
      <c r="B444" s="41"/>
      <c r="C444" s="80"/>
      <c r="D444" s="81"/>
      <c r="E444" s="81"/>
      <c r="F444" s="81"/>
      <c r="G444" s="82"/>
      <c r="H444" s="69"/>
      <c r="I444" s="69"/>
      <c r="J444" s="82"/>
      <c r="K444" s="82"/>
      <c r="L444" s="43"/>
      <c r="M444" s="43"/>
      <c r="N444" s="82"/>
      <c r="O444" s="82"/>
      <c r="P444" s="43"/>
      <c r="Q444" s="43"/>
      <c r="R444" s="82"/>
      <c r="S444" s="69"/>
      <c r="T444" s="82"/>
    </row>
    <row r="445" spans="2:20" x14ac:dyDescent="0.35">
      <c r="B445" s="41"/>
      <c r="C445" s="80"/>
      <c r="D445" s="81"/>
      <c r="E445" s="81"/>
      <c r="F445" s="81"/>
      <c r="G445" s="82"/>
      <c r="H445" s="69"/>
      <c r="I445" s="69"/>
      <c r="J445" s="82"/>
      <c r="K445" s="82"/>
      <c r="L445" s="43"/>
      <c r="M445" s="43"/>
      <c r="N445" s="82"/>
      <c r="O445" s="82"/>
      <c r="P445" s="43"/>
      <c r="Q445" s="43"/>
      <c r="R445" s="82"/>
      <c r="S445" s="69"/>
      <c r="T445" s="82"/>
    </row>
    <row r="446" spans="2:20" x14ac:dyDescent="0.35">
      <c r="B446" s="41"/>
      <c r="C446" s="80"/>
      <c r="D446" s="81"/>
      <c r="E446" s="81"/>
      <c r="F446" s="81"/>
      <c r="G446" s="82"/>
      <c r="H446" s="69"/>
      <c r="I446" s="69"/>
      <c r="J446" s="82"/>
      <c r="K446" s="82"/>
      <c r="L446" s="43"/>
      <c r="M446" s="43"/>
      <c r="N446" s="82"/>
      <c r="O446" s="82"/>
      <c r="P446" s="43"/>
      <c r="Q446" s="43"/>
      <c r="R446" s="82"/>
      <c r="S446" s="69"/>
      <c r="T446" s="82"/>
    </row>
    <row r="447" spans="2:20" x14ac:dyDescent="0.35">
      <c r="B447" s="41"/>
      <c r="C447" s="80"/>
      <c r="D447" s="81"/>
      <c r="E447" s="81"/>
      <c r="F447" s="81"/>
      <c r="G447" s="82"/>
      <c r="H447" s="69"/>
      <c r="I447" s="69"/>
      <c r="J447" s="82"/>
      <c r="K447" s="82"/>
      <c r="L447" s="43"/>
      <c r="M447" s="43"/>
      <c r="N447" s="82"/>
      <c r="O447" s="82"/>
      <c r="P447" s="43"/>
      <c r="Q447" s="43"/>
      <c r="R447" s="82"/>
      <c r="S447" s="69"/>
      <c r="T447" s="82"/>
    </row>
    <row r="448" spans="2:20" x14ac:dyDescent="0.35">
      <c r="B448" s="41"/>
      <c r="C448" s="80"/>
      <c r="D448" s="81"/>
      <c r="E448" s="81"/>
      <c r="F448" s="81"/>
      <c r="G448" s="82"/>
      <c r="H448" s="69"/>
      <c r="I448" s="69"/>
      <c r="J448" s="82"/>
      <c r="K448" s="82"/>
      <c r="L448" s="43"/>
      <c r="M448" s="43"/>
      <c r="N448" s="82"/>
      <c r="O448" s="82"/>
      <c r="P448" s="43"/>
      <c r="Q448" s="43"/>
      <c r="R448" s="82"/>
      <c r="S448" s="69"/>
      <c r="T448" s="82"/>
    </row>
    <row r="449" spans="2:20" x14ac:dyDescent="0.35">
      <c r="B449" s="41"/>
      <c r="C449" s="80"/>
      <c r="D449" s="81"/>
      <c r="E449" s="81"/>
      <c r="F449" s="81"/>
      <c r="G449" s="82"/>
      <c r="H449" s="69"/>
      <c r="I449" s="69"/>
      <c r="J449" s="82"/>
      <c r="K449" s="82"/>
      <c r="L449" s="43"/>
      <c r="M449" s="43"/>
      <c r="N449" s="82"/>
      <c r="O449" s="82"/>
      <c r="P449" s="43"/>
      <c r="Q449" s="43"/>
      <c r="R449" s="82"/>
      <c r="S449" s="69"/>
      <c r="T449" s="82"/>
    </row>
    <row r="450" spans="2:20" x14ac:dyDescent="0.35">
      <c r="B450" s="41"/>
      <c r="C450" s="80"/>
      <c r="D450" s="81"/>
      <c r="E450" s="81"/>
      <c r="F450" s="81"/>
      <c r="G450" s="82"/>
      <c r="H450" s="69"/>
      <c r="I450" s="69"/>
      <c r="J450" s="82"/>
      <c r="K450" s="82"/>
      <c r="L450" s="43"/>
      <c r="M450" s="43"/>
      <c r="N450" s="82"/>
      <c r="O450" s="82"/>
      <c r="P450" s="43"/>
      <c r="Q450" s="43"/>
      <c r="R450" s="82"/>
      <c r="S450" s="69"/>
      <c r="T450" s="82"/>
    </row>
    <row r="451" spans="2:20" x14ac:dyDescent="0.35">
      <c r="B451" s="41"/>
      <c r="C451" s="80"/>
      <c r="D451" s="81"/>
      <c r="E451" s="81"/>
      <c r="F451" s="81"/>
      <c r="G451" s="82"/>
      <c r="H451" s="69"/>
      <c r="I451" s="69"/>
      <c r="J451" s="82"/>
      <c r="K451" s="82"/>
      <c r="L451" s="43"/>
      <c r="M451" s="43"/>
      <c r="N451" s="82"/>
      <c r="O451" s="82"/>
      <c r="P451" s="43"/>
      <c r="Q451" s="43"/>
      <c r="R451" s="82"/>
      <c r="S451" s="69"/>
      <c r="T451" s="82"/>
    </row>
    <row r="452" spans="2:20" x14ac:dyDescent="0.35">
      <c r="B452" s="41"/>
      <c r="C452" s="80"/>
      <c r="D452" s="81"/>
      <c r="E452" s="81"/>
      <c r="F452" s="81"/>
      <c r="G452" s="82"/>
      <c r="H452" s="69"/>
      <c r="I452" s="69"/>
      <c r="J452" s="82"/>
      <c r="K452" s="82"/>
      <c r="L452" s="43"/>
      <c r="M452" s="43"/>
      <c r="N452" s="82"/>
      <c r="O452" s="82"/>
      <c r="P452" s="43"/>
      <c r="Q452" s="43"/>
      <c r="R452" s="82"/>
      <c r="S452" s="69"/>
      <c r="T452" s="82"/>
    </row>
    <row r="453" spans="2:20" x14ac:dyDescent="0.35">
      <c r="B453" s="41"/>
      <c r="C453" s="80"/>
      <c r="D453" s="81"/>
      <c r="E453" s="81"/>
      <c r="F453" s="81"/>
      <c r="G453" s="82"/>
      <c r="H453" s="69"/>
      <c r="I453" s="69"/>
      <c r="J453" s="82"/>
      <c r="K453" s="82"/>
      <c r="L453" s="43"/>
      <c r="M453" s="43"/>
      <c r="N453" s="82"/>
      <c r="O453" s="82"/>
      <c r="P453" s="43"/>
      <c r="Q453" s="43"/>
      <c r="R453" s="82"/>
      <c r="S453" s="69"/>
      <c r="T453" s="82"/>
    </row>
    <row r="454" spans="2:20" x14ac:dyDescent="0.35">
      <c r="B454" s="41"/>
      <c r="C454" s="80"/>
      <c r="D454" s="81"/>
      <c r="E454" s="81"/>
      <c r="F454" s="81"/>
      <c r="G454" s="82"/>
      <c r="H454" s="69"/>
      <c r="I454" s="69"/>
      <c r="J454" s="82"/>
      <c r="K454" s="82"/>
      <c r="L454" s="43"/>
      <c r="M454" s="43"/>
      <c r="N454" s="82"/>
      <c r="O454" s="82"/>
      <c r="P454" s="43"/>
      <c r="Q454" s="43"/>
      <c r="R454" s="82"/>
      <c r="S454" s="69"/>
      <c r="T454" s="82"/>
    </row>
    <row r="455" spans="2:20" x14ac:dyDescent="0.35">
      <c r="B455" s="41"/>
      <c r="C455" s="80"/>
      <c r="D455" s="81"/>
      <c r="E455" s="81"/>
      <c r="F455" s="81"/>
      <c r="G455" s="82"/>
      <c r="H455" s="69"/>
      <c r="I455" s="69"/>
      <c r="J455" s="82"/>
      <c r="K455" s="82"/>
      <c r="L455" s="43"/>
      <c r="M455" s="43"/>
      <c r="N455" s="82"/>
      <c r="O455" s="82"/>
      <c r="P455" s="43"/>
      <c r="Q455" s="43"/>
      <c r="R455" s="82"/>
      <c r="S455" s="69"/>
      <c r="T455" s="82"/>
    </row>
    <row r="456" spans="2:20" x14ac:dyDescent="0.35">
      <c r="B456" s="41"/>
      <c r="C456" s="80"/>
      <c r="D456" s="81"/>
      <c r="E456" s="81"/>
      <c r="F456" s="81"/>
      <c r="G456" s="82"/>
      <c r="H456" s="69"/>
      <c r="I456" s="69"/>
      <c r="J456" s="82"/>
      <c r="K456" s="82"/>
      <c r="L456" s="43"/>
      <c r="M456" s="43"/>
      <c r="N456" s="82"/>
      <c r="O456" s="82"/>
      <c r="P456" s="43"/>
      <c r="Q456" s="43"/>
      <c r="R456" s="82"/>
      <c r="S456" s="69"/>
      <c r="T456" s="82"/>
    </row>
    <row r="457" spans="2:20" x14ac:dyDescent="0.35">
      <c r="B457" s="41"/>
      <c r="C457" s="80"/>
      <c r="D457" s="81"/>
      <c r="E457" s="81"/>
      <c r="F457" s="81"/>
      <c r="G457" s="82"/>
      <c r="H457" s="69"/>
      <c r="I457" s="69"/>
      <c r="J457" s="82"/>
      <c r="K457" s="82"/>
      <c r="L457" s="43"/>
      <c r="M457" s="43"/>
      <c r="N457" s="82"/>
      <c r="O457" s="82"/>
      <c r="P457" s="43"/>
      <c r="Q457" s="43"/>
      <c r="R457" s="82"/>
      <c r="S457" s="69"/>
      <c r="T457" s="82"/>
    </row>
    <row r="458" spans="2:20" x14ac:dyDescent="0.35">
      <c r="B458" s="41"/>
      <c r="C458" s="80"/>
      <c r="D458" s="81"/>
      <c r="E458" s="81"/>
      <c r="F458" s="81"/>
      <c r="G458" s="82"/>
      <c r="H458" s="69"/>
      <c r="I458" s="69"/>
      <c r="J458" s="82"/>
      <c r="K458" s="82"/>
      <c r="L458" s="43"/>
      <c r="M458" s="43"/>
      <c r="N458" s="82"/>
      <c r="O458" s="82"/>
      <c r="P458" s="43"/>
      <c r="Q458" s="43"/>
      <c r="R458" s="82"/>
      <c r="S458" s="69"/>
      <c r="T458" s="82"/>
    </row>
    <row r="459" spans="2:20" x14ac:dyDescent="0.35">
      <c r="B459" s="41"/>
      <c r="C459" s="80"/>
      <c r="D459" s="81"/>
      <c r="E459" s="81"/>
      <c r="F459" s="81"/>
      <c r="G459" s="82"/>
      <c r="H459" s="69"/>
      <c r="I459" s="69"/>
      <c r="J459" s="82"/>
      <c r="K459" s="82"/>
      <c r="L459" s="43"/>
      <c r="M459" s="43"/>
      <c r="N459" s="82"/>
      <c r="O459" s="82"/>
      <c r="P459" s="43"/>
      <c r="Q459" s="43"/>
      <c r="R459" s="82"/>
      <c r="S459" s="69"/>
      <c r="T459" s="82"/>
    </row>
    <row r="460" spans="2:20" x14ac:dyDescent="0.35">
      <c r="B460" s="41"/>
      <c r="C460" s="80"/>
      <c r="D460" s="81"/>
      <c r="E460" s="81"/>
      <c r="F460" s="81"/>
      <c r="G460" s="82"/>
      <c r="H460" s="69"/>
      <c r="I460" s="69"/>
      <c r="J460" s="82"/>
      <c r="K460" s="82"/>
      <c r="L460" s="43"/>
      <c r="M460" s="43"/>
      <c r="N460" s="82"/>
      <c r="O460" s="82"/>
      <c r="P460" s="43"/>
      <c r="Q460" s="43"/>
      <c r="R460" s="82"/>
      <c r="S460" s="69"/>
      <c r="T460" s="82"/>
    </row>
    <row r="461" spans="2:20" x14ac:dyDescent="0.35">
      <c r="B461" s="41"/>
      <c r="C461" s="80"/>
      <c r="D461" s="81"/>
      <c r="E461" s="81"/>
      <c r="F461" s="81"/>
      <c r="G461" s="82"/>
      <c r="H461" s="69"/>
      <c r="I461" s="69"/>
      <c r="J461" s="82"/>
      <c r="K461" s="82"/>
      <c r="L461" s="43"/>
      <c r="M461" s="43"/>
      <c r="N461" s="82"/>
      <c r="O461" s="82"/>
      <c r="P461" s="43"/>
      <c r="Q461" s="43"/>
      <c r="R461" s="82"/>
      <c r="S461" s="69"/>
      <c r="T461" s="82"/>
    </row>
    <row r="462" spans="2:20" x14ac:dyDescent="0.35">
      <c r="B462" s="41"/>
      <c r="C462" s="80"/>
      <c r="D462" s="81"/>
      <c r="E462" s="81"/>
      <c r="F462" s="81"/>
      <c r="G462" s="82"/>
      <c r="H462" s="69"/>
      <c r="I462" s="69"/>
      <c r="J462" s="82"/>
      <c r="K462" s="82"/>
      <c r="L462" s="43"/>
      <c r="M462" s="43"/>
      <c r="N462" s="82"/>
      <c r="O462" s="82"/>
      <c r="P462" s="43"/>
      <c r="Q462" s="43"/>
      <c r="R462" s="82"/>
      <c r="S462" s="69"/>
      <c r="T462" s="82"/>
    </row>
    <row r="463" spans="2:20" x14ac:dyDescent="0.35">
      <c r="B463" s="41"/>
      <c r="C463" s="80"/>
      <c r="D463" s="81"/>
      <c r="E463" s="81"/>
      <c r="F463" s="81"/>
      <c r="G463" s="82"/>
      <c r="H463" s="69"/>
      <c r="I463" s="69"/>
      <c r="J463" s="82"/>
      <c r="K463" s="82"/>
      <c r="L463" s="43"/>
      <c r="M463" s="43"/>
      <c r="N463" s="82"/>
      <c r="O463" s="82"/>
      <c r="P463" s="43"/>
      <c r="Q463" s="43"/>
      <c r="R463" s="82"/>
      <c r="S463" s="69"/>
      <c r="T463" s="82"/>
    </row>
    <row r="464" spans="2:20" x14ac:dyDescent="0.35">
      <c r="B464" s="41"/>
      <c r="C464" s="80"/>
      <c r="D464" s="81"/>
      <c r="E464" s="81"/>
      <c r="F464" s="81"/>
      <c r="G464" s="82"/>
      <c r="H464" s="69"/>
      <c r="I464" s="69"/>
      <c r="J464" s="82"/>
      <c r="K464" s="82"/>
      <c r="L464" s="43"/>
      <c r="M464" s="43"/>
      <c r="N464" s="82"/>
      <c r="O464" s="82"/>
      <c r="P464" s="43"/>
      <c r="Q464" s="43"/>
      <c r="R464" s="82"/>
      <c r="S464" s="69"/>
      <c r="T464" s="82"/>
    </row>
    <row r="465" spans="2:20" x14ac:dyDescent="0.35">
      <c r="B465" s="41"/>
      <c r="C465" s="80"/>
      <c r="D465" s="81"/>
      <c r="E465" s="81"/>
      <c r="F465" s="81"/>
      <c r="G465" s="82"/>
      <c r="H465" s="69"/>
      <c r="I465" s="69"/>
      <c r="J465" s="82"/>
      <c r="K465" s="82"/>
      <c r="L465" s="43"/>
      <c r="M465" s="43"/>
      <c r="N465" s="82"/>
      <c r="O465" s="82"/>
      <c r="P465" s="43"/>
      <c r="Q465" s="43"/>
      <c r="R465" s="82"/>
      <c r="S465" s="69"/>
      <c r="T465" s="82"/>
    </row>
    <row r="466" spans="2:20" x14ac:dyDescent="0.35">
      <c r="B466" s="41"/>
      <c r="C466" s="80"/>
      <c r="D466" s="81"/>
      <c r="E466" s="81"/>
      <c r="F466" s="81"/>
      <c r="G466" s="82"/>
      <c r="H466" s="69"/>
      <c r="I466" s="69"/>
      <c r="J466" s="82"/>
      <c r="K466" s="82"/>
      <c r="L466" s="43"/>
      <c r="M466" s="43"/>
      <c r="N466" s="82"/>
      <c r="O466" s="82"/>
      <c r="P466" s="43"/>
      <c r="Q466" s="43"/>
      <c r="R466" s="82"/>
      <c r="S466" s="69"/>
      <c r="T466" s="82"/>
    </row>
    <row r="467" spans="2:20" x14ac:dyDescent="0.35">
      <c r="B467" s="41"/>
      <c r="C467" s="80"/>
      <c r="D467" s="81"/>
      <c r="E467" s="81"/>
      <c r="F467" s="81"/>
      <c r="G467" s="82"/>
      <c r="H467" s="69"/>
      <c r="I467" s="69"/>
      <c r="J467" s="82"/>
      <c r="K467" s="82"/>
      <c r="L467" s="43"/>
      <c r="M467" s="43"/>
      <c r="N467" s="82"/>
      <c r="O467" s="82"/>
      <c r="P467" s="43"/>
      <c r="Q467" s="43"/>
      <c r="R467" s="82"/>
      <c r="S467" s="69"/>
      <c r="T467" s="82"/>
    </row>
    <row r="468" spans="2:20" x14ac:dyDescent="0.35">
      <c r="B468" s="41"/>
      <c r="C468" s="80"/>
      <c r="D468" s="81"/>
      <c r="E468" s="81"/>
      <c r="F468" s="81"/>
      <c r="G468" s="82"/>
      <c r="H468" s="69"/>
      <c r="I468" s="69"/>
      <c r="J468" s="82"/>
      <c r="K468" s="82"/>
      <c r="L468" s="43"/>
      <c r="M468" s="43"/>
      <c r="N468" s="82"/>
      <c r="O468" s="82"/>
      <c r="P468" s="43"/>
      <c r="Q468" s="43"/>
      <c r="R468" s="82"/>
      <c r="S468" s="69"/>
      <c r="T468" s="82"/>
    </row>
    <row r="469" spans="2:20" x14ac:dyDescent="0.35">
      <c r="B469" s="41"/>
      <c r="C469" s="80"/>
      <c r="D469" s="81"/>
      <c r="E469" s="81"/>
      <c r="F469" s="81"/>
      <c r="G469" s="82"/>
      <c r="H469" s="69"/>
      <c r="I469" s="69"/>
      <c r="J469" s="82"/>
      <c r="K469" s="82"/>
      <c r="L469" s="43"/>
      <c r="M469" s="43"/>
      <c r="N469" s="82"/>
      <c r="O469" s="82"/>
      <c r="P469" s="43"/>
      <c r="Q469" s="43"/>
      <c r="R469" s="82"/>
      <c r="S469" s="69"/>
      <c r="T469" s="82"/>
    </row>
    <row r="470" spans="2:20" x14ac:dyDescent="0.35">
      <c r="B470" s="41"/>
      <c r="C470" s="80"/>
      <c r="D470" s="81"/>
      <c r="E470" s="81"/>
      <c r="F470" s="81"/>
      <c r="G470" s="82"/>
      <c r="H470" s="69"/>
      <c r="I470" s="69"/>
      <c r="J470" s="82"/>
      <c r="K470" s="82"/>
      <c r="L470" s="43"/>
      <c r="M470" s="43"/>
      <c r="N470" s="82"/>
      <c r="O470" s="82"/>
      <c r="P470" s="43"/>
      <c r="Q470" s="43"/>
      <c r="R470" s="82"/>
      <c r="S470" s="69"/>
      <c r="T470" s="82"/>
    </row>
    <row r="471" spans="2:20" x14ac:dyDescent="0.35">
      <c r="B471" s="41"/>
      <c r="C471" s="80"/>
      <c r="D471" s="81"/>
      <c r="E471" s="81"/>
      <c r="F471" s="81"/>
      <c r="G471" s="82"/>
      <c r="H471" s="69"/>
      <c r="I471" s="69"/>
      <c r="J471" s="82"/>
      <c r="K471" s="82"/>
      <c r="L471" s="43"/>
      <c r="M471" s="43"/>
      <c r="N471" s="82"/>
      <c r="O471" s="82"/>
      <c r="P471" s="43"/>
      <c r="Q471" s="43"/>
      <c r="R471" s="82"/>
      <c r="S471" s="69"/>
      <c r="T471" s="82"/>
    </row>
    <row r="472" spans="2:20" x14ac:dyDescent="0.35">
      <c r="B472" s="41"/>
      <c r="C472" s="80"/>
      <c r="D472" s="81"/>
      <c r="E472" s="81"/>
      <c r="F472" s="81"/>
      <c r="G472" s="82"/>
      <c r="H472" s="69"/>
      <c r="I472" s="69"/>
      <c r="J472" s="82"/>
      <c r="K472" s="82"/>
      <c r="L472" s="43"/>
      <c r="M472" s="43"/>
      <c r="N472" s="82"/>
      <c r="O472" s="82"/>
      <c r="P472" s="43"/>
      <c r="Q472" s="43"/>
      <c r="R472" s="82"/>
      <c r="S472" s="69"/>
      <c r="T472" s="82"/>
    </row>
    <row r="473" spans="2:20" x14ac:dyDescent="0.35">
      <c r="B473" s="41"/>
      <c r="C473" s="80"/>
      <c r="D473" s="81"/>
      <c r="E473" s="81"/>
      <c r="F473" s="81"/>
      <c r="G473" s="82"/>
      <c r="H473" s="69"/>
      <c r="I473" s="69"/>
      <c r="J473" s="82"/>
      <c r="K473" s="82"/>
      <c r="L473" s="43"/>
      <c r="M473" s="43"/>
      <c r="N473" s="82"/>
      <c r="O473" s="82"/>
      <c r="P473" s="43"/>
      <c r="Q473" s="43"/>
      <c r="R473" s="82"/>
      <c r="S473" s="69"/>
      <c r="T473" s="82"/>
    </row>
    <row r="474" spans="2:20" x14ac:dyDescent="0.35">
      <c r="B474" s="41"/>
      <c r="C474" s="80"/>
      <c r="D474" s="81"/>
      <c r="E474" s="81"/>
      <c r="F474" s="81"/>
      <c r="G474" s="82"/>
      <c r="H474" s="69"/>
      <c r="I474" s="69"/>
      <c r="J474" s="82"/>
      <c r="K474" s="82"/>
      <c r="L474" s="43"/>
      <c r="M474" s="43"/>
      <c r="N474" s="82"/>
      <c r="O474" s="82"/>
      <c r="P474" s="43"/>
      <c r="Q474" s="43"/>
      <c r="R474" s="82"/>
      <c r="S474" s="69"/>
      <c r="T474" s="82"/>
    </row>
    <row r="475" spans="2:20" x14ac:dyDescent="0.35">
      <c r="B475" s="41"/>
      <c r="C475" s="80"/>
      <c r="D475" s="81"/>
      <c r="E475" s="81"/>
      <c r="F475" s="81"/>
      <c r="G475" s="82"/>
      <c r="H475" s="69"/>
      <c r="I475" s="69"/>
      <c r="J475" s="82"/>
      <c r="K475" s="82"/>
      <c r="L475" s="43"/>
      <c r="M475" s="43"/>
      <c r="N475" s="82"/>
      <c r="O475" s="82"/>
      <c r="P475" s="43"/>
      <c r="Q475" s="43"/>
      <c r="R475" s="82"/>
      <c r="S475" s="69"/>
      <c r="T475" s="82"/>
    </row>
    <row r="476" spans="2:20" x14ac:dyDescent="0.35">
      <c r="B476" s="41"/>
      <c r="C476" s="80"/>
      <c r="D476" s="81"/>
      <c r="E476" s="81"/>
      <c r="F476" s="81"/>
      <c r="G476" s="82"/>
      <c r="H476" s="69"/>
      <c r="I476" s="69"/>
      <c r="J476" s="82"/>
      <c r="K476" s="82"/>
      <c r="L476" s="43"/>
      <c r="M476" s="43"/>
      <c r="N476" s="82"/>
      <c r="O476" s="82"/>
      <c r="P476" s="43"/>
      <c r="Q476" s="43"/>
      <c r="R476" s="82"/>
      <c r="S476" s="69"/>
      <c r="T476" s="82"/>
    </row>
    <row r="477" spans="2:20" x14ac:dyDescent="0.35">
      <c r="B477" s="41"/>
      <c r="C477" s="80"/>
      <c r="D477" s="81"/>
      <c r="E477" s="81"/>
      <c r="F477" s="81"/>
      <c r="G477" s="82"/>
      <c r="H477" s="69"/>
      <c r="I477" s="69"/>
      <c r="J477" s="82"/>
      <c r="K477" s="82"/>
      <c r="L477" s="43"/>
      <c r="M477" s="43"/>
      <c r="N477" s="82"/>
      <c r="O477" s="82"/>
      <c r="P477" s="43"/>
      <c r="Q477" s="43"/>
      <c r="R477" s="82"/>
      <c r="S477" s="69"/>
      <c r="T477" s="82"/>
    </row>
    <row r="478" spans="2:20" x14ac:dyDescent="0.35">
      <c r="B478" s="41"/>
      <c r="C478" s="80"/>
      <c r="D478" s="81"/>
      <c r="E478" s="81"/>
      <c r="F478" s="81"/>
      <c r="G478" s="82"/>
      <c r="H478" s="69"/>
      <c r="I478" s="69"/>
      <c r="J478" s="82"/>
      <c r="K478" s="82"/>
      <c r="L478" s="43"/>
      <c r="M478" s="43"/>
      <c r="N478" s="82"/>
      <c r="O478" s="82"/>
      <c r="P478" s="43"/>
      <c r="Q478" s="43"/>
      <c r="R478" s="82"/>
      <c r="S478" s="69"/>
      <c r="T478" s="82"/>
    </row>
    <row r="479" spans="2:20" x14ac:dyDescent="0.35">
      <c r="B479" s="41"/>
      <c r="C479" s="80"/>
      <c r="D479" s="81"/>
      <c r="E479" s="81"/>
      <c r="F479" s="81"/>
      <c r="G479" s="82"/>
      <c r="H479" s="69"/>
      <c r="I479" s="69"/>
      <c r="J479" s="82"/>
      <c r="K479" s="82"/>
      <c r="L479" s="43"/>
      <c r="M479" s="43"/>
      <c r="N479" s="82"/>
      <c r="O479" s="82"/>
      <c r="P479" s="43"/>
      <c r="Q479" s="43"/>
      <c r="R479" s="82"/>
      <c r="S479" s="69"/>
      <c r="T479" s="82"/>
    </row>
    <row r="480" spans="2:20" x14ac:dyDescent="0.35">
      <c r="B480" s="41"/>
      <c r="C480" s="80"/>
      <c r="D480" s="81"/>
      <c r="E480" s="81"/>
      <c r="F480" s="81"/>
      <c r="G480" s="82"/>
      <c r="H480" s="69"/>
      <c r="I480" s="69"/>
      <c r="J480" s="82"/>
      <c r="K480" s="82"/>
      <c r="L480" s="43"/>
      <c r="M480" s="43"/>
      <c r="N480" s="82"/>
      <c r="O480" s="82"/>
      <c r="P480" s="43"/>
      <c r="Q480" s="43"/>
      <c r="R480" s="82"/>
      <c r="S480" s="69"/>
      <c r="T480" s="82"/>
    </row>
    <row r="481" spans="2:20" x14ac:dyDescent="0.35">
      <c r="B481" s="41"/>
      <c r="C481" s="80"/>
      <c r="D481" s="81"/>
      <c r="E481" s="81"/>
      <c r="F481" s="81"/>
      <c r="G481" s="82"/>
      <c r="H481" s="69"/>
      <c r="I481" s="69"/>
      <c r="J481" s="82"/>
      <c r="K481" s="82"/>
      <c r="L481" s="43"/>
      <c r="M481" s="43"/>
      <c r="N481" s="82"/>
      <c r="O481" s="82"/>
      <c r="P481" s="43"/>
      <c r="Q481" s="43"/>
      <c r="R481" s="82"/>
      <c r="S481" s="69"/>
      <c r="T481" s="82"/>
    </row>
    <row r="482" spans="2:20" x14ac:dyDescent="0.35">
      <c r="B482" s="41"/>
      <c r="C482" s="80"/>
      <c r="D482" s="81"/>
      <c r="E482" s="81"/>
      <c r="F482" s="81"/>
      <c r="G482" s="82"/>
      <c r="H482" s="69"/>
      <c r="I482" s="69"/>
      <c r="J482" s="82"/>
      <c r="K482" s="82"/>
      <c r="L482" s="43"/>
      <c r="M482" s="43"/>
      <c r="N482" s="82"/>
      <c r="O482" s="82"/>
      <c r="P482" s="43"/>
      <c r="Q482" s="43"/>
      <c r="R482" s="82"/>
      <c r="S482" s="69"/>
      <c r="T482" s="82"/>
    </row>
    <row r="483" spans="2:20" x14ac:dyDescent="0.35">
      <c r="B483" s="41"/>
      <c r="C483" s="80"/>
      <c r="D483" s="81"/>
      <c r="E483" s="81"/>
      <c r="F483" s="81"/>
      <c r="G483" s="82"/>
      <c r="H483" s="69"/>
      <c r="I483" s="69"/>
      <c r="J483" s="82"/>
      <c r="K483" s="82"/>
      <c r="L483" s="43"/>
      <c r="M483" s="43"/>
      <c r="N483" s="82"/>
      <c r="O483" s="82"/>
      <c r="P483" s="43"/>
      <c r="Q483" s="43"/>
      <c r="R483" s="82"/>
      <c r="S483" s="69"/>
      <c r="T483" s="82"/>
    </row>
    <row r="484" spans="2:20" x14ac:dyDescent="0.35">
      <c r="B484" s="41"/>
      <c r="C484" s="80"/>
      <c r="D484" s="81"/>
      <c r="E484" s="81"/>
      <c r="F484" s="81"/>
      <c r="G484" s="82"/>
      <c r="H484" s="69"/>
      <c r="I484" s="69"/>
      <c r="J484" s="82"/>
      <c r="K484" s="82"/>
      <c r="L484" s="43"/>
      <c r="M484" s="43"/>
      <c r="N484" s="82"/>
      <c r="O484" s="82"/>
      <c r="P484" s="43"/>
      <c r="Q484" s="43"/>
      <c r="R484" s="82"/>
      <c r="S484" s="69"/>
      <c r="T484" s="82"/>
    </row>
    <row r="485" spans="2:20" x14ac:dyDescent="0.35">
      <c r="B485" s="41"/>
      <c r="C485" s="80"/>
      <c r="D485" s="81"/>
      <c r="E485" s="81"/>
      <c r="F485" s="81"/>
      <c r="G485" s="82"/>
      <c r="H485" s="69"/>
      <c r="I485" s="69"/>
      <c r="J485" s="82"/>
      <c r="K485" s="82"/>
      <c r="L485" s="43"/>
      <c r="M485" s="43"/>
      <c r="N485" s="82"/>
      <c r="O485" s="82"/>
      <c r="P485" s="43"/>
      <c r="Q485" s="43"/>
      <c r="R485" s="82"/>
      <c r="S485" s="69"/>
      <c r="T485" s="82"/>
    </row>
    <row r="486" spans="2:20" x14ac:dyDescent="0.35">
      <c r="B486" s="41"/>
      <c r="C486" s="80"/>
      <c r="D486" s="81"/>
      <c r="E486" s="81"/>
      <c r="F486" s="81"/>
      <c r="G486" s="82"/>
      <c r="H486" s="69"/>
      <c r="I486" s="69"/>
      <c r="J486" s="82"/>
      <c r="K486" s="82"/>
      <c r="L486" s="43"/>
      <c r="M486" s="43"/>
      <c r="N486" s="82"/>
      <c r="O486" s="82"/>
      <c r="P486" s="43"/>
      <c r="Q486" s="43"/>
      <c r="R486" s="82"/>
      <c r="S486" s="69"/>
      <c r="T486" s="82"/>
    </row>
    <row r="487" spans="2:20" x14ac:dyDescent="0.35">
      <c r="B487" s="41"/>
      <c r="C487" s="80"/>
      <c r="D487" s="81"/>
      <c r="E487" s="81"/>
      <c r="F487" s="81"/>
      <c r="G487" s="82"/>
      <c r="H487" s="69"/>
      <c r="I487" s="69"/>
      <c r="J487" s="82"/>
      <c r="K487" s="82"/>
      <c r="L487" s="43"/>
      <c r="M487" s="43"/>
      <c r="N487" s="82"/>
      <c r="O487" s="82"/>
      <c r="P487" s="43"/>
      <c r="Q487" s="43"/>
      <c r="R487" s="82"/>
      <c r="S487" s="69"/>
      <c r="T487" s="82"/>
    </row>
    <row r="488" spans="2:20" x14ac:dyDescent="0.35">
      <c r="B488" s="41"/>
      <c r="C488" s="80"/>
      <c r="D488" s="81"/>
      <c r="E488" s="81"/>
      <c r="F488" s="81"/>
      <c r="G488" s="82"/>
      <c r="H488" s="69"/>
      <c r="I488" s="69"/>
      <c r="J488" s="82"/>
      <c r="K488" s="82"/>
      <c r="L488" s="43"/>
      <c r="M488" s="43"/>
      <c r="N488" s="82"/>
      <c r="O488" s="82"/>
      <c r="P488" s="43"/>
      <c r="Q488" s="43"/>
      <c r="R488" s="82"/>
      <c r="S488" s="69"/>
      <c r="T488" s="82"/>
    </row>
    <row r="489" spans="2:20" x14ac:dyDescent="0.35">
      <c r="B489" s="41"/>
      <c r="C489" s="80"/>
      <c r="D489" s="81"/>
      <c r="E489" s="81"/>
      <c r="F489" s="81"/>
      <c r="G489" s="82"/>
      <c r="H489" s="69"/>
      <c r="I489" s="69"/>
      <c r="J489" s="82"/>
      <c r="K489" s="82"/>
      <c r="L489" s="43"/>
      <c r="M489" s="43"/>
      <c r="N489" s="82"/>
      <c r="O489" s="82"/>
      <c r="P489" s="43"/>
      <c r="Q489" s="43"/>
      <c r="R489" s="82"/>
      <c r="S489" s="69"/>
      <c r="T489" s="82"/>
    </row>
    <row r="490" spans="2:20" x14ac:dyDescent="0.35">
      <c r="B490" s="41"/>
      <c r="C490" s="80"/>
      <c r="D490" s="81"/>
      <c r="E490" s="81"/>
      <c r="F490" s="81"/>
      <c r="G490" s="82"/>
      <c r="H490" s="69"/>
      <c r="I490" s="69"/>
      <c r="J490" s="82"/>
      <c r="K490" s="82"/>
      <c r="L490" s="43"/>
      <c r="M490" s="43"/>
      <c r="N490" s="82"/>
      <c r="O490" s="82"/>
      <c r="P490" s="43"/>
      <c r="Q490" s="43"/>
      <c r="R490" s="82"/>
      <c r="S490" s="69"/>
      <c r="T490" s="82"/>
    </row>
    <row r="491" spans="2:20" x14ac:dyDescent="0.35">
      <c r="B491" s="41"/>
      <c r="C491" s="80"/>
      <c r="D491" s="81"/>
      <c r="E491" s="81"/>
      <c r="F491" s="81"/>
      <c r="G491" s="82"/>
      <c r="H491" s="69"/>
      <c r="I491" s="69"/>
      <c r="J491" s="82"/>
      <c r="K491" s="82"/>
      <c r="L491" s="43"/>
      <c r="M491" s="43"/>
      <c r="N491" s="82"/>
      <c r="O491" s="82"/>
      <c r="P491" s="43"/>
      <c r="Q491" s="43"/>
      <c r="R491" s="82"/>
      <c r="S491" s="69"/>
      <c r="T491" s="82"/>
    </row>
    <row r="492" spans="2:20" x14ac:dyDescent="0.35">
      <c r="B492" s="41"/>
      <c r="C492" s="80"/>
      <c r="D492" s="81"/>
      <c r="E492" s="81"/>
      <c r="F492" s="81"/>
      <c r="G492" s="82"/>
      <c r="H492" s="69"/>
      <c r="I492" s="69"/>
      <c r="J492" s="82"/>
      <c r="K492" s="82"/>
      <c r="L492" s="43"/>
      <c r="M492" s="43"/>
      <c r="N492" s="82"/>
      <c r="O492" s="82"/>
      <c r="P492" s="43"/>
      <c r="Q492" s="43"/>
      <c r="R492" s="82"/>
      <c r="S492" s="69"/>
      <c r="T492" s="82"/>
    </row>
    <row r="493" spans="2:20" x14ac:dyDescent="0.35">
      <c r="B493" s="41"/>
      <c r="C493" s="80"/>
      <c r="D493" s="81"/>
      <c r="E493" s="81"/>
      <c r="F493" s="81"/>
      <c r="G493" s="82"/>
      <c r="H493" s="69"/>
      <c r="I493" s="69"/>
      <c r="J493" s="82"/>
      <c r="K493" s="82"/>
      <c r="L493" s="43"/>
      <c r="M493" s="43"/>
      <c r="N493" s="82"/>
      <c r="O493" s="82"/>
      <c r="P493" s="43"/>
      <c r="Q493" s="43"/>
      <c r="R493" s="82"/>
      <c r="S493" s="69"/>
      <c r="T493" s="82"/>
    </row>
    <row r="494" spans="2:20" x14ac:dyDescent="0.35">
      <c r="B494" s="41"/>
      <c r="C494" s="80"/>
      <c r="D494" s="81"/>
      <c r="E494" s="81"/>
      <c r="F494" s="81"/>
      <c r="G494" s="82"/>
      <c r="H494" s="69"/>
      <c r="I494" s="69"/>
      <c r="J494" s="82"/>
      <c r="K494" s="82"/>
      <c r="L494" s="43"/>
      <c r="M494" s="43"/>
      <c r="N494" s="82"/>
      <c r="O494" s="82"/>
      <c r="P494" s="43"/>
      <c r="Q494" s="43"/>
      <c r="R494" s="82"/>
      <c r="S494" s="69"/>
      <c r="T494" s="82"/>
    </row>
    <row r="495" spans="2:20" x14ac:dyDescent="0.35">
      <c r="B495" s="41"/>
      <c r="C495" s="80"/>
      <c r="D495" s="81"/>
      <c r="E495" s="81"/>
      <c r="F495" s="81"/>
      <c r="G495" s="82"/>
      <c r="H495" s="69"/>
      <c r="I495" s="69"/>
      <c r="J495" s="82"/>
      <c r="K495" s="82"/>
      <c r="L495" s="43"/>
      <c r="M495" s="43"/>
      <c r="N495" s="82"/>
      <c r="O495" s="82"/>
      <c r="P495" s="43"/>
      <c r="Q495" s="43"/>
      <c r="R495" s="82"/>
      <c r="S495" s="69"/>
      <c r="T495" s="82"/>
    </row>
    <row r="496" spans="2:20" x14ac:dyDescent="0.35">
      <c r="B496" s="41"/>
      <c r="C496" s="80"/>
      <c r="D496" s="81"/>
      <c r="E496" s="81"/>
      <c r="F496" s="81"/>
      <c r="G496" s="82"/>
      <c r="H496" s="69"/>
      <c r="I496" s="69"/>
      <c r="J496" s="82"/>
      <c r="K496" s="82"/>
      <c r="L496" s="43"/>
      <c r="M496" s="43"/>
      <c r="N496" s="82"/>
      <c r="O496" s="82"/>
      <c r="P496" s="43"/>
      <c r="Q496" s="43"/>
      <c r="R496" s="82"/>
      <c r="S496" s="69"/>
      <c r="T496" s="82"/>
    </row>
    <row r="497" spans="2:20" x14ac:dyDescent="0.35">
      <c r="B497" s="41"/>
      <c r="C497" s="80"/>
      <c r="D497" s="81"/>
      <c r="E497" s="81"/>
      <c r="F497" s="81"/>
      <c r="G497" s="82"/>
      <c r="H497" s="69"/>
      <c r="I497" s="69"/>
      <c r="J497" s="82"/>
      <c r="K497" s="82"/>
      <c r="L497" s="43"/>
      <c r="M497" s="43"/>
      <c r="N497" s="82"/>
      <c r="O497" s="82"/>
      <c r="P497" s="43"/>
      <c r="Q497" s="43"/>
      <c r="R497" s="82"/>
      <c r="S497" s="69"/>
      <c r="T497" s="82"/>
    </row>
    <row r="498" spans="2:20" x14ac:dyDescent="0.35">
      <c r="B498" s="41"/>
      <c r="C498" s="80"/>
      <c r="D498" s="81"/>
      <c r="E498" s="81"/>
      <c r="F498" s="81"/>
      <c r="G498" s="82"/>
      <c r="H498" s="69"/>
      <c r="I498" s="69"/>
      <c r="J498" s="82"/>
      <c r="K498" s="82"/>
      <c r="L498" s="43"/>
      <c r="M498" s="43"/>
      <c r="N498" s="82"/>
      <c r="O498" s="82"/>
      <c r="P498" s="43"/>
      <c r="Q498" s="43"/>
      <c r="R498" s="82"/>
      <c r="S498" s="69"/>
      <c r="T498" s="82"/>
    </row>
    <row r="499" spans="2:20" x14ac:dyDescent="0.35">
      <c r="B499" s="41"/>
      <c r="C499" s="80"/>
      <c r="D499" s="81"/>
      <c r="E499" s="81"/>
      <c r="F499" s="81"/>
      <c r="G499" s="82"/>
      <c r="H499" s="69"/>
      <c r="I499" s="69"/>
      <c r="J499" s="82"/>
      <c r="K499" s="82"/>
      <c r="L499" s="43"/>
      <c r="M499" s="43"/>
      <c r="N499" s="82"/>
      <c r="O499" s="82"/>
      <c r="P499" s="43"/>
      <c r="Q499" s="43"/>
      <c r="R499" s="82"/>
      <c r="S499" s="69"/>
      <c r="T499" s="82"/>
    </row>
    <row r="500" spans="2:20" x14ac:dyDescent="0.35">
      <c r="B500" s="41"/>
      <c r="C500" s="80"/>
      <c r="D500" s="81"/>
      <c r="E500" s="81"/>
      <c r="F500" s="81"/>
      <c r="G500" s="82"/>
      <c r="H500" s="69"/>
      <c r="I500" s="69"/>
      <c r="J500" s="82"/>
      <c r="K500" s="82"/>
      <c r="L500" s="43"/>
      <c r="M500" s="43"/>
      <c r="N500" s="82"/>
      <c r="O500" s="82"/>
      <c r="P500" s="43"/>
      <c r="Q500" s="43"/>
      <c r="R500" s="82"/>
      <c r="S500" s="69"/>
      <c r="T500" s="82"/>
    </row>
    <row r="501" spans="2:20" x14ac:dyDescent="0.35">
      <c r="B501" s="41"/>
      <c r="C501" s="80"/>
      <c r="D501" s="81"/>
      <c r="E501" s="81"/>
      <c r="F501" s="81"/>
      <c r="G501" s="82"/>
      <c r="H501" s="69"/>
      <c r="I501" s="69"/>
      <c r="J501" s="82"/>
      <c r="K501" s="82"/>
      <c r="L501" s="43"/>
      <c r="M501" s="43"/>
      <c r="N501" s="82"/>
      <c r="O501" s="82"/>
      <c r="P501" s="43"/>
      <c r="Q501" s="43"/>
      <c r="R501" s="82"/>
      <c r="S501" s="69"/>
      <c r="T501" s="82"/>
    </row>
    <row r="502" spans="2:20" x14ac:dyDescent="0.35">
      <c r="B502" s="41"/>
      <c r="C502" s="80"/>
      <c r="D502" s="81"/>
      <c r="E502" s="81"/>
      <c r="F502" s="81"/>
      <c r="G502" s="82"/>
      <c r="H502" s="69"/>
      <c r="I502" s="69"/>
      <c r="J502" s="82"/>
      <c r="K502" s="82"/>
      <c r="L502" s="43"/>
      <c r="M502" s="43"/>
      <c r="N502" s="82"/>
      <c r="O502" s="82"/>
      <c r="P502" s="43"/>
      <c r="Q502" s="43"/>
      <c r="R502" s="82"/>
      <c r="S502" s="69"/>
      <c r="T502" s="82"/>
    </row>
    <row r="503" spans="2:20" x14ac:dyDescent="0.35">
      <c r="B503" s="41"/>
      <c r="C503" s="80"/>
      <c r="D503" s="81"/>
      <c r="E503" s="81"/>
      <c r="F503" s="81"/>
      <c r="G503" s="82"/>
      <c r="H503" s="69"/>
      <c r="I503" s="69"/>
      <c r="J503" s="82"/>
      <c r="K503" s="82"/>
      <c r="L503" s="43"/>
      <c r="M503" s="43"/>
      <c r="N503" s="82"/>
      <c r="O503" s="82"/>
      <c r="P503" s="43"/>
      <c r="Q503" s="43"/>
      <c r="R503" s="82"/>
      <c r="S503" s="69"/>
      <c r="T503" s="82"/>
    </row>
    <row r="504" spans="2:20" x14ac:dyDescent="0.35">
      <c r="B504" s="41"/>
      <c r="C504" s="80"/>
      <c r="D504" s="81"/>
      <c r="E504" s="81"/>
      <c r="F504" s="81"/>
      <c r="G504" s="82"/>
      <c r="H504" s="69"/>
      <c r="I504" s="69"/>
      <c r="J504" s="82"/>
      <c r="K504" s="82"/>
      <c r="L504" s="43"/>
      <c r="M504" s="43"/>
      <c r="N504" s="82"/>
      <c r="O504" s="82"/>
      <c r="P504" s="43"/>
      <c r="Q504" s="43"/>
      <c r="R504" s="82"/>
      <c r="S504" s="69"/>
      <c r="T504" s="82"/>
    </row>
    <row r="505" spans="2:20" x14ac:dyDescent="0.35">
      <c r="B505" s="41"/>
      <c r="C505" s="80"/>
      <c r="D505" s="81"/>
      <c r="E505" s="81"/>
      <c r="F505" s="81"/>
      <c r="G505" s="82"/>
      <c r="H505" s="69"/>
      <c r="I505" s="69"/>
      <c r="J505" s="82"/>
      <c r="K505" s="82"/>
      <c r="L505" s="43"/>
      <c r="M505" s="43"/>
      <c r="N505" s="82"/>
      <c r="O505" s="82"/>
      <c r="P505" s="43"/>
      <c r="Q505" s="43"/>
      <c r="R505" s="82"/>
      <c r="S505" s="69"/>
      <c r="T505" s="82"/>
    </row>
    <row r="506" spans="2:20" x14ac:dyDescent="0.35">
      <c r="B506" s="41"/>
      <c r="C506" s="80"/>
      <c r="D506" s="81"/>
      <c r="E506" s="81"/>
      <c r="F506" s="81"/>
      <c r="G506" s="82"/>
      <c r="H506" s="69"/>
      <c r="I506" s="69"/>
      <c r="J506" s="82"/>
      <c r="K506" s="82"/>
      <c r="L506" s="43"/>
      <c r="M506" s="43"/>
      <c r="N506" s="82"/>
      <c r="O506" s="82"/>
      <c r="P506" s="43"/>
      <c r="Q506" s="43"/>
      <c r="R506" s="82"/>
      <c r="S506" s="69"/>
      <c r="T506" s="82"/>
    </row>
    <row r="507" spans="2:20" x14ac:dyDescent="0.35">
      <c r="B507" s="41"/>
      <c r="C507" s="80"/>
      <c r="D507" s="81"/>
      <c r="E507" s="81"/>
      <c r="F507" s="81"/>
      <c r="G507" s="82"/>
      <c r="H507" s="69"/>
      <c r="I507" s="69"/>
      <c r="J507" s="82"/>
      <c r="K507" s="82"/>
      <c r="L507" s="43"/>
      <c r="M507" s="43"/>
      <c r="N507" s="82"/>
      <c r="O507" s="82"/>
      <c r="P507" s="43"/>
      <c r="Q507" s="43"/>
      <c r="R507" s="82"/>
      <c r="S507" s="69"/>
      <c r="T507" s="82"/>
    </row>
    <row r="508" spans="2:20" x14ac:dyDescent="0.35">
      <c r="B508" s="41"/>
      <c r="C508" s="80"/>
      <c r="D508" s="81"/>
      <c r="E508" s="81"/>
      <c r="F508" s="81"/>
      <c r="G508" s="82"/>
      <c r="H508" s="69"/>
      <c r="I508" s="69"/>
      <c r="J508" s="82"/>
      <c r="K508" s="82"/>
      <c r="L508" s="43"/>
      <c r="M508" s="43"/>
      <c r="N508" s="82"/>
      <c r="O508" s="82"/>
      <c r="P508" s="43"/>
      <c r="Q508" s="43"/>
      <c r="R508" s="82"/>
      <c r="S508" s="69"/>
      <c r="T508" s="82"/>
    </row>
    <row r="509" spans="2:20" x14ac:dyDescent="0.35">
      <c r="B509" s="41"/>
      <c r="C509" s="80"/>
      <c r="D509" s="81"/>
      <c r="E509" s="81"/>
      <c r="F509" s="81"/>
      <c r="G509" s="82"/>
      <c r="H509" s="69"/>
      <c r="I509" s="69"/>
      <c r="J509" s="82"/>
      <c r="K509" s="82"/>
      <c r="L509" s="43"/>
      <c r="M509" s="43"/>
      <c r="N509" s="82"/>
      <c r="O509" s="82"/>
      <c r="P509" s="43"/>
      <c r="Q509" s="43"/>
      <c r="R509" s="82"/>
      <c r="S509" s="69"/>
      <c r="T509" s="82"/>
    </row>
    <row r="510" spans="2:20" x14ac:dyDescent="0.35">
      <c r="B510" s="41"/>
      <c r="C510" s="80"/>
      <c r="D510" s="81"/>
      <c r="E510" s="81"/>
      <c r="F510" s="81"/>
      <c r="G510" s="82"/>
      <c r="H510" s="69"/>
      <c r="I510" s="69"/>
      <c r="J510" s="82"/>
      <c r="K510" s="82"/>
      <c r="L510" s="43"/>
      <c r="M510" s="43"/>
      <c r="N510" s="82"/>
      <c r="O510" s="82"/>
      <c r="P510" s="43"/>
      <c r="Q510" s="43"/>
      <c r="R510" s="82"/>
      <c r="S510" s="69"/>
      <c r="T510" s="82"/>
    </row>
    <row r="511" spans="2:20" x14ac:dyDescent="0.35">
      <c r="B511" s="41"/>
      <c r="C511" s="80"/>
      <c r="D511" s="81"/>
      <c r="E511" s="81"/>
      <c r="F511" s="81"/>
      <c r="G511" s="82"/>
      <c r="H511" s="69"/>
      <c r="I511" s="69"/>
      <c r="J511" s="82"/>
      <c r="K511" s="82"/>
      <c r="L511" s="43"/>
      <c r="M511" s="43"/>
      <c r="N511" s="82"/>
      <c r="O511" s="82"/>
      <c r="P511" s="43"/>
      <c r="Q511" s="43"/>
      <c r="R511" s="82"/>
      <c r="S511" s="69"/>
      <c r="T511" s="82"/>
    </row>
    <row r="512" spans="2:20" x14ac:dyDescent="0.35">
      <c r="B512" s="41"/>
      <c r="C512" s="80"/>
      <c r="D512" s="81"/>
      <c r="E512" s="81"/>
      <c r="F512" s="81"/>
      <c r="G512" s="82"/>
      <c r="H512" s="69"/>
      <c r="I512" s="69"/>
      <c r="J512" s="82"/>
      <c r="K512" s="82"/>
      <c r="L512" s="43"/>
      <c r="M512" s="43"/>
      <c r="N512" s="82"/>
      <c r="O512" s="82"/>
      <c r="P512" s="43"/>
      <c r="Q512" s="43"/>
      <c r="R512" s="82"/>
      <c r="S512" s="69"/>
      <c r="T512" s="82"/>
    </row>
    <row r="513" spans="2:20" x14ac:dyDescent="0.35">
      <c r="B513" s="41"/>
      <c r="C513" s="80"/>
      <c r="D513" s="81"/>
      <c r="E513" s="81"/>
      <c r="F513" s="81"/>
      <c r="G513" s="82"/>
      <c r="H513" s="69"/>
      <c r="I513" s="69"/>
      <c r="J513" s="82"/>
      <c r="K513" s="82"/>
      <c r="L513" s="43"/>
      <c r="M513" s="43"/>
      <c r="N513" s="82"/>
      <c r="O513" s="82"/>
      <c r="P513" s="43"/>
      <c r="Q513" s="43"/>
      <c r="R513" s="82"/>
      <c r="S513" s="69"/>
      <c r="T513" s="82"/>
    </row>
    <row r="514" spans="2:20" x14ac:dyDescent="0.35">
      <c r="B514" s="41"/>
      <c r="C514" s="80"/>
      <c r="D514" s="81"/>
      <c r="E514" s="81"/>
      <c r="F514" s="81"/>
      <c r="G514" s="82"/>
      <c r="H514" s="69"/>
      <c r="I514" s="69"/>
      <c r="J514" s="82"/>
      <c r="K514" s="82"/>
      <c r="L514" s="43"/>
      <c r="M514" s="43"/>
      <c r="N514" s="82"/>
      <c r="O514" s="82"/>
      <c r="P514" s="43"/>
      <c r="Q514" s="43"/>
      <c r="R514" s="82"/>
      <c r="S514" s="69"/>
      <c r="T514" s="82"/>
    </row>
    <row r="515" spans="2:20" x14ac:dyDescent="0.35">
      <c r="B515" s="41"/>
      <c r="C515" s="80"/>
      <c r="D515" s="81"/>
      <c r="E515" s="81"/>
      <c r="F515" s="81"/>
      <c r="G515" s="82"/>
      <c r="H515" s="69"/>
      <c r="I515" s="69"/>
      <c r="J515" s="82"/>
      <c r="K515" s="82"/>
      <c r="L515" s="43"/>
      <c r="M515" s="43"/>
      <c r="N515" s="82"/>
      <c r="O515" s="82"/>
      <c r="P515" s="43"/>
      <c r="Q515" s="43"/>
      <c r="R515" s="82"/>
      <c r="S515" s="69"/>
      <c r="T515" s="82"/>
    </row>
    <row r="516" spans="2:20" x14ac:dyDescent="0.35">
      <c r="B516" s="41"/>
      <c r="C516" s="80"/>
      <c r="D516" s="81"/>
      <c r="E516" s="81"/>
      <c r="F516" s="81"/>
      <c r="G516" s="82"/>
      <c r="H516" s="69"/>
      <c r="I516" s="69"/>
      <c r="J516" s="82"/>
      <c r="K516" s="82"/>
      <c r="L516" s="43"/>
      <c r="M516" s="43"/>
      <c r="N516" s="82"/>
      <c r="O516" s="82"/>
      <c r="P516" s="43"/>
      <c r="Q516" s="43"/>
      <c r="R516" s="82"/>
      <c r="S516" s="69"/>
      <c r="T516" s="82"/>
    </row>
    <row r="517" spans="2:20" x14ac:dyDescent="0.35">
      <c r="B517" s="41"/>
      <c r="C517" s="80"/>
      <c r="D517" s="81"/>
      <c r="E517" s="81"/>
      <c r="F517" s="81"/>
      <c r="G517" s="82"/>
      <c r="H517" s="69"/>
      <c r="I517" s="69"/>
      <c r="J517" s="82"/>
      <c r="K517" s="82"/>
      <c r="L517" s="43"/>
      <c r="M517" s="43"/>
      <c r="N517" s="82"/>
      <c r="O517" s="82"/>
      <c r="P517" s="43"/>
      <c r="Q517" s="43"/>
      <c r="R517" s="82"/>
      <c r="S517" s="69"/>
      <c r="T517" s="82"/>
    </row>
    <row r="518" spans="2:20" x14ac:dyDescent="0.35">
      <c r="B518" s="41"/>
      <c r="C518" s="80"/>
      <c r="D518" s="81"/>
      <c r="E518" s="81"/>
      <c r="F518" s="81"/>
      <c r="G518" s="82"/>
      <c r="H518" s="69"/>
      <c r="I518" s="69"/>
      <c r="J518" s="82"/>
      <c r="K518" s="82"/>
      <c r="L518" s="43"/>
      <c r="M518" s="43"/>
      <c r="N518" s="82"/>
      <c r="O518" s="82"/>
      <c r="P518" s="43"/>
      <c r="Q518" s="43"/>
      <c r="R518" s="82"/>
      <c r="S518" s="69"/>
      <c r="T518" s="82"/>
    </row>
    <row r="519" spans="2:20" x14ac:dyDescent="0.35">
      <c r="B519" s="41"/>
      <c r="C519" s="80"/>
      <c r="D519" s="81"/>
      <c r="E519" s="81"/>
      <c r="F519" s="81"/>
      <c r="G519" s="82"/>
      <c r="H519" s="69"/>
      <c r="I519" s="69"/>
      <c r="J519" s="82"/>
      <c r="K519" s="82"/>
      <c r="L519" s="43"/>
      <c r="M519" s="43"/>
      <c r="N519" s="82"/>
      <c r="O519" s="82"/>
      <c r="P519" s="43"/>
      <c r="Q519" s="43"/>
      <c r="R519" s="82"/>
      <c r="S519" s="69"/>
      <c r="T519" s="82"/>
    </row>
    <row r="520" spans="2:20" x14ac:dyDescent="0.35">
      <c r="B520" s="41"/>
      <c r="C520" s="80"/>
      <c r="D520" s="81"/>
      <c r="E520" s="81"/>
      <c r="F520" s="81"/>
      <c r="G520" s="82"/>
      <c r="H520" s="69"/>
      <c r="I520" s="69"/>
      <c r="J520" s="82"/>
      <c r="K520" s="82"/>
      <c r="L520" s="43"/>
      <c r="M520" s="43"/>
      <c r="N520" s="82"/>
      <c r="O520" s="82"/>
      <c r="P520" s="43"/>
      <c r="Q520" s="43"/>
      <c r="R520" s="82"/>
      <c r="S520" s="69"/>
      <c r="T520" s="82"/>
    </row>
    <row r="521" spans="2:20" x14ac:dyDescent="0.35">
      <c r="B521" s="41"/>
      <c r="C521" s="80"/>
      <c r="D521" s="81"/>
      <c r="E521" s="81"/>
      <c r="F521" s="81"/>
      <c r="G521" s="82"/>
      <c r="H521" s="69"/>
      <c r="I521" s="69"/>
      <c r="J521" s="82"/>
      <c r="K521" s="82"/>
      <c r="L521" s="43"/>
      <c r="M521" s="43"/>
      <c r="N521" s="82"/>
      <c r="O521" s="82"/>
      <c r="P521" s="43"/>
      <c r="Q521" s="43"/>
      <c r="R521" s="82"/>
      <c r="S521" s="69"/>
      <c r="T521" s="82"/>
    </row>
    <row r="522" spans="2:20" x14ac:dyDescent="0.35">
      <c r="B522" s="41"/>
      <c r="C522" s="80"/>
      <c r="D522" s="81"/>
      <c r="E522" s="81"/>
      <c r="F522" s="81"/>
      <c r="G522" s="82"/>
      <c r="H522" s="69"/>
      <c r="I522" s="69"/>
      <c r="J522" s="82"/>
      <c r="K522" s="82"/>
      <c r="L522" s="43"/>
      <c r="M522" s="43"/>
      <c r="N522" s="82"/>
      <c r="O522" s="82"/>
      <c r="P522" s="43"/>
      <c r="Q522" s="43"/>
      <c r="R522" s="82"/>
      <c r="S522" s="69"/>
      <c r="T522" s="82"/>
    </row>
    <row r="523" spans="2:20" x14ac:dyDescent="0.35">
      <c r="B523" s="41"/>
      <c r="C523" s="80"/>
      <c r="D523" s="81"/>
      <c r="E523" s="81"/>
      <c r="F523" s="81"/>
      <c r="G523" s="82"/>
      <c r="H523" s="69"/>
      <c r="I523" s="69"/>
      <c r="J523" s="82"/>
      <c r="K523" s="82"/>
      <c r="L523" s="43"/>
      <c r="M523" s="43"/>
      <c r="N523" s="82"/>
      <c r="O523" s="82"/>
      <c r="P523" s="43"/>
      <c r="Q523" s="43"/>
      <c r="R523" s="82"/>
      <c r="S523" s="69"/>
      <c r="T523" s="82"/>
    </row>
    <row r="524" spans="2:20" x14ac:dyDescent="0.35">
      <c r="B524" s="41"/>
      <c r="C524" s="80"/>
      <c r="D524" s="81"/>
      <c r="E524" s="81"/>
      <c r="F524" s="81"/>
      <c r="G524" s="82"/>
      <c r="H524" s="69"/>
      <c r="I524" s="69"/>
      <c r="J524" s="82"/>
      <c r="K524" s="82"/>
      <c r="L524" s="43"/>
      <c r="M524" s="43"/>
      <c r="N524" s="82"/>
      <c r="O524" s="82"/>
      <c r="P524" s="43"/>
      <c r="Q524" s="43"/>
      <c r="R524" s="82"/>
      <c r="S524" s="69"/>
      <c r="T524" s="82"/>
    </row>
    <row r="525" spans="2:20" x14ac:dyDescent="0.35">
      <c r="B525" s="41"/>
      <c r="C525" s="80"/>
      <c r="D525" s="81"/>
      <c r="E525" s="81"/>
      <c r="F525" s="81"/>
      <c r="G525" s="82"/>
      <c r="H525" s="69"/>
      <c r="I525" s="69"/>
      <c r="J525" s="82"/>
      <c r="K525" s="82"/>
      <c r="L525" s="43"/>
      <c r="M525" s="43"/>
      <c r="N525" s="82"/>
      <c r="O525" s="82"/>
      <c r="P525" s="43"/>
      <c r="Q525" s="43"/>
      <c r="R525" s="82"/>
      <c r="S525" s="69"/>
      <c r="T525" s="82"/>
    </row>
    <row r="526" spans="2:20" x14ac:dyDescent="0.35">
      <c r="B526" s="41"/>
      <c r="C526" s="80"/>
      <c r="D526" s="81"/>
      <c r="E526" s="81"/>
      <c r="F526" s="81"/>
      <c r="G526" s="82"/>
      <c r="H526" s="69"/>
      <c r="I526" s="69"/>
      <c r="J526" s="82"/>
      <c r="K526" s="82"/>
      <c r="L526" s="43"/>
      <c r="M526" s="43"/>
      <c r="N526" s="82"/>
      <c r="O526" s="82"/>
      <c r="P526" s="43"/>
      <c r="Q526" s="43"/>
      <c r="R526" s="82"/>
      <c r="S526" s="69"/>
      <c r="T526" s="82"/>
    </row>
    <row r="527" spans="2:20" x14ac:dyDescent="0.35">
      <c r="B527" s="41"/>
      <c r="C527" s="80"/>
      <c r="D527" s="81"/>
      <c r="E527" s="81"/>
      <c r="F527" s="81"/>
      <c r="G527" s="82"/>
      <c r="H527" s="69"/>
      <c r="I527" s="69"/>
      <c r="J527" s="82"/>
      <c r="K527" s="82"/>
      <c r="L527" s="43"/>
      <c r="M527" s="43"/>
      <c r="N527" s="82"/>
      <c r="O527" s="82"/>
      <c r="P527" s="43"/>
      <c r="Q527" s="43"/>
      <c r="R527" s="82"/>
      <c r="S527" s="69"/>
      <c r="T527" s="82"/>
    </row>
    <row r="528" spans="2:20" x14ac:dyDescent="0.35">
      <c r="B528" s="41"/>
      <c r="C528" s="80"/>
      <c r="D528" s="81"/>
      <c r="E528" s="81"/>
      <c r="F528" s="81"/>
      <c r="G528" s="82"/>
      <c r="H528" s="69"/>
      <c r="I528" s="69"/>
      <c r="J528" s="82"/>
      <c r="K528" s="82"/>
      <c r="L528" s="43"/>
      <c r="M528" s="43"/>
      <c r="N528" s="82"/>
      <c r="O528" s="82"/>
      <c r="P528" s="43"/>
      <c r="Q528" s="43"/>
      <c r="R528" s="82"/>
      <c r="S528" s="69"/>
      <c r="T528" s="82"/>
    </row>
    <row r="529" spans="2:20" x14ac:dyDescent="0.35">
      <c r="B529" s="41"/>
      <c r="C529" s="80"/>
      <c r="D529" s="81"/>
      <c r="E529" s="81"/>
      <c r="F529" s="81"/>
      <c r="G529" s="82"/>
      <c r="H529" s="69"/>
      <c r="I529" s="69"/>
      <c r="J529" s="82"/>
      <c r="K529" s="82"/>
      <c r="L529" s="43"/>
      <c r="M529" s="43"/>
      <c r="N529" s="82"/>
      <c r="O529" s="82"/>
      <c r="P529" s="43"/>
      <c r="Q529" s="43"/>
      <c r="R529" s="82"/>
      <c r="S529" s="69"/>
      <c r="T529" s="82"/>
    </row>
    <row r="530" spans="2:20" x14ac:dyDescent="0.35">
      <c r="B530" s="41"/>
      <c r="C530" s="80"/>
      <c r="D530" s="81"/>
      <c r="E530" s="81"/>
      <c r="F530" s="81"/>
      <c r="G530" s="82"/>
      <c r="H530" s="69"/>
      <c r="I530" s="69"/>
      <c r="J530" s="82"/>
      <c r="K530" s="82"/>
      <c r="L530" s="43"/>
      <c r="M530" s="43"/>
      <c r="N530" s="82"/>
      <c r="O530" s="82"/>
      <c r="P530" s="43"/>
      <c r="Q530" s="43"/>
      <c r="R530" s="82"/>
      <c r="S530" s="69"/>
      <c r="T530" s="82"/>
    </row>
    <row r="531" spans="2:20" x14ac:dyDescent="0.35">
      <c r="B531" s="41"/>
      <c r="C531" s="80"/>
      <c r="D531" s="81"/>
      <c r="E531" s="81"/>
      <c r="F531" s="81"/>
      <c r="G531" s="82"/>
      <c r="H531" s="69"/>
      <c r="I531" s="69"/>
      <c r="J531" s="82"/>
      <c r="K531" s="82"/>
      <c r="L531" s="43"/>
      <c r="M531" s="43"/>
      <c r="N531" s="82"/>
      <c r="O531" s="82"/>
      <c r="P531" s="43"/>
      <c r="Q531" s="43"/>
      <c r="R531" s="82"/>
      <c r="S531" s="69"/>
      <c r="T531" s="82"/>
    </row>
    <row r="532" spans="2:20" x14ac:dyDescent="0.35">
      <c r="B532" s="41"/>
      <c r="C532" s="80"/>
      <c r="D532" s="81"/>
      <c r="E532" s="81"/>
      <c r="F532" s="81"/>
      <c r="G532" s="82"/>
      <c r="H532" s="69"/>
      <c r="I532" s="69"/>
      <c r="J532" s="82"/>
      <c r="K532" s="82"/>
      <c r="L532" s="43"/>
      <c r="M532" s="43"/>
      <c r="N532" s="82"/>
      <c r="O532" s="82"/>
      <c r="P532" s="43"/>
      <c r="Q532" s="43"/>
      <c r="R532" s="82"/>
      <c r="S532" s="69"/>
      <c r="T532" s="82"/>
    </row>
    <row r="533" spans="2:20" x14ac:dyDescent="0.35">
      <c r="B533" s="41"/>
      <c r="C533" s="80"/>
      <c r="D533" s="81"/>
      <c r="E533" s="81"/>
      <c r="F533" s="81"/>
      <c r="G533" s="82"/>
      <c r="H533" s="69"/>
      <c r="I533" s="69"/>
      <c r="J533" s="82"/>
      <c r="K533" s="82"/>
      <c r="L533" s="43"/>
      <c r="M533" s="43"/>
      <c r="N533" s="82"/>
      <c r="O533" s="82"/>
      <c r="P533" s="43"/>
      <c r="Q533" s="43"/>
      <c r="R533" s="82"/>
      <c r="S533" s="69"/>
      <c r="T533" s="82"/>
    </row>
    <row r="534" spans="2:20" x14ac:dyDescent="0.35">
      <c r="B534" s="41"/>
      <c r="C534" s="80"/>
      <c r="D534" s="81"/>
      <c r="E534" s="81"/>
      <c r="F534" s="81"/>
      <c r="G534" s="82"/>
      <c r="H534" s="69"/>
      <c r="I534" s="69"/>
      <c r="J534" s="82"/>
      <c r="K534" s="82"/>
      <c r="L534" s="43"/>
      <c r="M534" s="43"/>
      <c r="N534" s="82"/>
      <c r="O534" s="82"/>
      <c r="P534" s="43"/>
      <c r="Q534" s="43"/>
      <c r="R534" s="82"/>
      <c r="S534" s="69"/>
      <c r="T534" s="82"/>
    </row>
    <row r="535" spans="2:20" x14ac:dyDescent="0.35">
      <c r="B535" s="41"/>
      <c r="C535" s="80"/>
      <c r="D535" s="81"/>
      <c r="E535" s="81"/>
      <c r="F535" s="81"/>
      <c r="G535" s="82"/>
      <c r="H535" s="69"/>
      <c r="I535" s="69"/>
      <c r="J535" s="82"/>
      <c r="K535" s="82"/>
      <c r="L535" s="43"/>
      <c r="M535" s="43"/>
      <c r="N535" s="82"/>
      <c r="O535" s="82"/>
      <c r="P535" s="43"/>
      <c r="Q535" s="43"/>
      <c r="R535" s="82"/>
      <c r="S535" s="69"/>
      <c r="T535" s="82"/>
    </row>
    <row r="536" spans="2:20" x14ac:dyDescent="0.35">
      <c r="B536" s="41"/>
      <c r="C536" s="80"/>
      <c r="D536" s="81"/>
      <c r="E536" s="81"/>
      <c r="F536" s="81"/>
      <c r="G536" s="82"/>
      <c r="H536" s="69"/>
      <c r="I536" s="69"/>
      <c r="J536" s="82"/>
      <c r="K536" s="82"/>
      <c r="L536" s="43"/>
      <c r="M536" s="43"/>
      <c r="N536" s="82"/>
      <c r="O536" s="82"/>
      <c r="P536" s="43"/>
      <c r="Q536" s="43"/>
      <c r="R536" s="82"/>
      <c r="S536" s="69"/>
      <c r="T536" s="82"/>
    </row>
    <row r="537" spans="2:20" x14ac:dyDescent="0.35">
      <c r="B537" s="41"/>
      <c r="C537" s="80"/>
      <c r="D537" s="81"/>
      <c r="E537" s="81"/>
      <c r="F537" s="81"/>
      <c r="G537" s="82"/>
      <c r="H537" s="69"/>
      <c r="I537" s="69"/>
      <c r="J537" s="82"/>
      <c r="K537" s="82"/>
      <c r="L537" s="43"/>
      <c r="M537" s="43"/>
      <c r="N537" s="82"/>
      <c r="O537" s="82"/>
      <c r="P537" s="43"/>
      <c r="Q537" s="43"/>
      <c r="R537" s="82"/>
      <c r="S537" s="69"/>
      <c r="T537" s="82"/>
    </row>
    <row r="538" spans="2:20" x14ac:dyDescent="0.35">
      <c r="B538" s="41"/>
      <c r="C538" s="80"/>
      <c r="D538" s="81"/>
      <c r="E538" s="81"/>
      <c r="F538" s="81"/>
      <c r="G538" s="82"/>
      <c r="H538" s="69"/>
      <c r="I538" s="69"/>
      <c r="J538" s="82"/>
      <c r="K538" s="82"/>
      <c r="L538" s="43"/>
      <c r="M538" s="43"/>
      <c r="N538" s="82"/>
      <c r="O538" s="82"/>
      <c r="P538" s="43"/>
      <c r="Q538" s="43"/>
      <c r="R538" s="82"/>
      <c r="S538" s="69"/>
      <c r="T538" s="82"/>
    </row>
    <row r="539" spans="2:20" x14ac:dyDescent="0.35">
      <c r="B539" s="41"/>
      <c r="C539" s="80"/>
      <c r="D539" s="81"/>
      <c r="E539" s="81"/>
      <c r="F539" s="81"/>
      <c r="G539" s="82"/>
      <c r="H539" s="69"/>
      <c r="I539" s="69"/>
      <c r="J539" s="82"/>
      <c r="K539" s="82"/>
      <c r="L539" s="43"/>
      <c r="M539" s="43"/>
      <c r="N539" s="82"/>
      <c r="O539" s="82"/>
      <c r="P539" s="43"/>
      <c r="Q539" s="43"/>
      <c r="R539" s="82"/>
      <c r="S539" s="69"/>
      <c r="T539" s="82"/>
    </row>
    <row r="540" spans="2:20" x14ac:dyDescent="0.35">
      <c r="B540" s="41"/>
      <c r="C540" s="80"/>
      <c r="D540" s="81"/>
      <c r="E540" s="81"/>
      <c r="F540" s="81"/>
      <c r="G540" s="82"/>
      <c r="H540" s="69"/>
      <c r="I540" s="69"/>
      <c r="J540" s="82"/>
      <c r="K540" s="82"/>
      <c r="L540" s="43"/>
      <c r="M540" s="43"/>
      <c r="N540" s="82"/>
      <c r="O540" s="82"/>
      <c r="P540" s="43"/>
      <c r="Q540" s="43"/>
      <c r="R540" s="82"/>
      <c r="S540" s="69"/>
      <c r="T540" s="82"/>
    </row>
    <row r="541" spans="2:20" x14ac:dyDescent="0.35">
      <c r="B541" s="41"/>
      <c r="C541" s="80"/>
      <c r="D541" s="81"/>
      <c r="E541" s="81"/>
      <c r="F541" s="81"/>
      <c r="G541" s="82"/>
      <c r="H541" s="69"/>
      <c r="I541" s="69"/>
      <c r="J541" s="82"/>
      <c r="K541" s="82"/>
      <c r="L541" s="43"/>
      <c r="M541" s="43"/>
      <c r="N541" s="82"/>
      <c r="O541" s="82"/>
      <c r="P541" s="43"/>
      <c r="Q541" s="43"/>
      <c r="R541" s="82"/>
      <c r="S541" s="69"/>
      <c r="T541" s="82"/>
    </row>
    <row r="542" spans="2:20" x14ac:dyDescent="0.35">
      <c r="B542" s="41"/>
      <c r="C542" s="80"/>
      <c r="D542" s="81"/>
      <c r="E542" s="81"/>
      <c r="F542" s="81"/>
      <c r="G542" s="82"/>
      <c r="H542" s="69"/>
      <c r="I542" s="69"/>
      <c r="J542" s="82"/>
      <c r="K542" s="82"/>
      <c r="L542" s="43"/>
      <c r="M542" s="43"/>
      <c r="N542" s="82"/>
      <c r="O542" s="82"/>
      <c r="P542" s="43"/>
      <c r="Q542" s="43"/>
      <c r="R542" s="82"/>
      <c r="S542" s="69"/>
      <c r="T542" s="82"/>
    </row>
    <row r="543" spans="2:20" x14ac:dyDescent="0.35">
      <c r="B543" s="41"/>
      <c r="C543" s="80"/>
      <c r="D543" s="81"/>
      <c r="E543" s="81"/>
      <c r="F543" s="81"/>
      <c r="G543" s="82"/>
      <c r="H543" s="69"/>
      <c r="I543" s="69"/>
      <c r="J543" s="82"/>
      <c r="K543" s="82"/>
      <c r="L543" s="43"/>
      <c r="M543" s="43"/>
      <c r="N543" s="82"/>
      <c r="O543" s="82"/>
      <c r="P543" s="43"/>
      <c r="Q543" s="43"/>
      <c r="R543" s="82"/>
      <c r="S543" s="69"/>
      <c r="T543" s="82"/>
    </row>
    <row r="544" spans="2:20" x14ac:dyDescent="0.35">
      <c r="B544" s="41"/>
      <c r="C544" s="80"/>
      <c r="D544" s="81"/>
      <c r="E544" s="81"/>
      <c r="F544" s="81"/>
      <c r="G544" s="82"/>
      <c r="H544" s="69"/>
      <c r="I544" s="69"/>
      <c r="J544" s="82"/>
      <c r="K544" s="82"/>
      <c r="L544" s="43"/>
      <c r="M544" s="43"/>
      <c r="N544" s="82"/>
      <c r="O544" s="82"/>
      <c r="P544" s="43"/>
      <c r="Q544" s="43"/>
      <c r="R544" s="82"/>
      <c r="S544" s="69"/>
      <c r="T544" s="82"/>
    </row>
    <row r="545" spans="2:20" x14ac:dyDescent="0.35">
      <c r="B545" s="41"/>
      <c r="C545" s="80"/>
      <c r="D545" s="81"/>
      <c r="E545" s="81"/>
      <c r="F545" s="81"/>
      <c r="G545" s="82"/>
      <c r="H545" s="69"/>
      <c r="I545" s="69"/>
      <c r="J545" s="82"/>
      <c r="K545" s="82"/>
      <c r="L545" s="43"/>
      <c r="M545" s="43"/>
      <c r="N545" s="82"/>
      <c r="O545" s="82"/>
      <c r="P545" s="43"/>
      <c r="Q545" s="43"/>
      <c r="R545" s="82"/>
      <c r="S545" s="69"/>
      <c r="T545" s="82"/>
    </row>
    <row r="546" spans="2:20" x14ac:dyDescent="0.35">
      <c r="B546" s="41"/>
      <c r="C546" s="80"/>
      <c r="D546" s="81"/>
      <c r="E546" s="81"/>
      <c r="F546" s="81"/>
      <c r="G546" s="82"/>
      <c r="H546" s="69"/>
      <c r="I546" s="69"/>
      <c r="J546" s="82"/>
      <c r="K546" s="82"/>
      <c r="L546" s="43"/>
      <c r="M546" s="43"/>
      <c r="N546" s="82"/>
      <c r="O546" s="82"/>
      <c r="P546" s="43"/>
      <c r="Q546" s="43"/>
      <c r="R546" s="82"/>
      <c r="S546" s="69"/>
      <c r="T546" s="82"/>
    </row>
    <row r="547" spans="2:20" x14ac:dyDescent="0.35">
      <c r="B547" s="41"/>
      <c r="C547" s="80"/>
      <c r="D547" s="81"/>
      <c r="E547" s="81"/>
      <c r="F547" s="81"/>
      <c r="G547" s="82"/>
      <c r="H547" s="69"/>
      <c r="I547" s="69"/>
      <c r="J547" s="82"/>
      <c r="K547" s="82"/>
      <c r="L547" s="43"/>
      <c r="M547" s="43"/>
      <c r="N547" s="82"/>
      <c r="O547" s="82"/>
      <c r="P547" s="43"/>
      <c r="Q547" s="43"/>
      <c r="R547" s="82"/>
      <c r="S547" s="69"/>
      <c r="T547" s="82"/>
    </row>
    <row r="548" spans="2:20" x14ac:dyDescent="0.35">
      <c r="B548" s="41"/>
      <c r="C548" s="80"/>
      <c r="D548" s="81"/>
      <c r="E548" s="81"/>
      <c r="F548" s="81"/>
      <c r="G548" s="82"/>
      <c r="H548" s="69"/>
      <c r="I548" s="69"/>
      <c r="J548" s="82"/>
      <c r="K548" s="82"/>
      <c r="L548" s="43"/>
      <c r="M548" s="43"/>
      <c r="N548" s="82"/>
      <c r="O548" s="82"/>
      <c r="P548" s="43"/>
      <c r="Q548" s="43"/>
      <c r="R548" s="82"/>
      <c r="S548" s="69"/>
      <c r="T548" s="82"/>
    </row>
    <row r="549" spans="2:20" x14ac:dyDescent="0.35">
      <c r="B549" s="41"/>
      <c r="C549" s="80"/>
      <c r="D549" s="81"/>
      <c r="E549" s="81"/>
      <c r="F549" s="81"/>
      <c r="G549" s="82"/>
      <c r="H549" s="69"/>
      <c r="I549" s="69"/>
      <c r="J549" s="82"/>
      <c r="K549" s="82"/>
      <c r="L549" s="43"/>
      <c r="M549" s="43"/>
      <c r="N549" s="82"/>
      <c r="O549" s="82"/>
      <c r="P549" s="43"/>
      <c r="Q549" s="43"/>
      <c r="R549" s="82"/>
      <c r="S549" s="69"/>
      <c r="T549" s="82"/>
    </row>
    <row r="550" spans="2:20" x14ac:dyDescent="0.35">
      <c r="B550" s="41"/>
      <c r="C550" s="80"/>
      <c r="D550" s="81"/>
      <c r="E550" s="81"/>
      <c r="F550" s="81"/>
      <c r="G550" s="82"/>
      <c r="H550" s="69"/>
      <c r="I550" s="69"/>
      <c r="J550" s="82"/>
      <c r="K550" s="82"/>
      <c r="L550" s="43"/>
      <c r="M550" s="43"/>
      <c r="N550" s="82"/>
      <c r="O550" s="82"/>
      <c r="P550" s="43"/>
      <c r="Q550" s="43"/>
      <c r="R550" s="82"/>
      <c r="S550" s="69"/>
      <c r="T550" s="82"/>
    </row>
    <row r="551" spans="2:20" x14ac:dyDescent="0.35">
      <c r="B551" s="41"/>
      <c r="C551" s="80"/>
      <c r="D551" s="81"/>
      <c r="E551" s="81"/>
      <c r="F551" s="81"/>
      <c r="G551" s="82"/>
      <c r="H551" s="69"/>
      <c r="I551" s="69"/>
      <c r="J551" s="82"/>
      <c r="K551" s="82"/>
      <c r="L551" s="43"/>
      <c r="M551" s="43"/>
      <c r="N551" s="82"/>
      <c r="O551" s="82"/>
      <c r="P551" s="43"/>
      <c r="Q551" s="43"/>
      <c r="R551" s="82"/>
      <c r="S551" s="69"/>
      <c r="T551" s="82"/>
    </row>
    <row r="552" spans="2:20" x14ac:dyDescent="0.35">
      <c r="B552" s="41"/>
      <c r="C552" s="80"/>
      <c r="D552" s="81"/>
      <c r="E552" s="81"/>
      <c r="F552" s="81"/>
      <c r="G552" s="82"/>
      <c r="H552" s="69"/>
      <c r="I552" s="69"/>
      <c r="J552" s="82"/>
      <c r="K552" s="82"/>
      <c r="L552" s="43"/>
      <c r="M552" s="43"/>
      <c r="N552" s="82"/>
      <c r="O552" s="82"/>
      <c r="P552" s="43"/>
      <c r="Q552" s="43"/>
      <c r="R552" s="82"/>
      <c r="S552" s="69"/>
      <c r="T552" s="82"/>
    </row>
    <row r="553" spans="2:20" x14ac:dyDescent="0.35">
      <c r="B553" s="41"/>
      <c r="C553" s="80"/>
      <c r="D553" s="81"/>
      <c r="E553" s="81"/>
      <c r="F553" s="81"/>
      <c r="G553" s="82"/>
      <c r="H553" s="69"/>
      <c r="I553" s="69"/>
      <c r="J553" s="82"/>
      <c r="K553" s="82"/>
      <c r="L553" s="43"/>
      <c r="M553" s="43"/>
      <c r="N553" s="82"/>
      <c r="O553" s="82"/>
      <c r="P553" s="43"/>
      <c r="Q553" s="43"/>
      <c r="R553" s="82"/>
      <c r="S553" s="69"/>
      <c r="T553" s="82"/>
    </row>
    <row r="554" spans="2:20" x14ac:dyDescent="0.35">
      <c r="B554" s="41"/>
      <c r="C554" s="80"/>
      <c r="D554" s="81"/>
      <c r="E554" s="81"/>
      <c r="F554" s="81"/>
      <c r="G554" s="82"/>
      <c r="H554" s="69"/>
      <c r="I554" s="69"/>
      <c r="J554" s="82"/>
      <c r="K554" s="82"/>
      <c r="L554" s="43"/>
      <c r="M554" s="43"/>
      <c r="N554" s="82"/>
      <c r="O554" s="82"/>
      <c r="P554" s="43"/>
      <c r="Q554" s="43"/>
      <c r="R554" s="82"/>
      <c r="S554" s="69"/>
      <c r="T554" s="82"/>
    </row>
    <row r="555" spans="2:20" x14ac:dyDescent="0.35">
      <c r="B555" s="41"/>
      <c r="C555" s="80"/>
      <c r="D555" s="81"/>
      <c r="E555" s="81"/>
      <c r="F555" s="81"/>
      <c r="G555" s="82"/>
      <c r="H555" s="69"/>
      <c r="I555" s="69"/>
      <c r="J555" s="82"/>
      <c r="K555" s="82"/>
      <c r="L555" s="43"/>
      <c r="M555" s="43"/>
      <c r="N555" s="82"/>
      <c r="O555" s="82"/>
      <c r="P555" s="43"/>
      <c r="Q555" s="43"/>
      <c r="R555" s="82"/>
      <c r="S555" s="69"/>
      <c r="T555" s="82"/>
    </row>
    <row r="556" spans="2:20" x14ac:dyDescent="0.35">
      <c r="B556" s="41"/>
      <c r="C556" s="80"/>
      <c r="D556" s="81"/>
      <c r="E556" s="81"/>
      <c r="F556" s="81"/>
      <c r="G556" s="82"/>
      <c r="H556" s="69"/>
      <c r="I556" s="69"/>
      <c r="J556" s="82"/>
      <c r="K556" s="82"/>
      <c r="L556" s="43"/>
      <c r="M556" s="43"/>
      <c r="N556" s="82"/>
      <c r="O556" s="82"/>
      <c r="P556" s="43"/>
      <c r="Q556" s="43"/>
      <c r="R556" s="82"/>
      <c r="S556" s="69"/>
      <c r="T556" s="82"/>
    </row>
    <row r="557" spans="2:20" x14ac:dyDescent="0.35">
      <c r="B557" s="41"/>
      <c r="C557" s="80"/>
      <c r="D557" s="81"/>
      <c r="E557" s="81"/>
      <c r="F557" s="81"/>
      <c r="G557" s="82"/>
      <c r="H557" s="69"/>
      <c r="I557" s="69"/>
      <c r="J557" s="82"/>
      <c r="K557" s="82"/>
      <c r="L557" s="43"/>
      <c r="M557" s="43"/>
      <c r="N557" s="82"/>
      <c r="O557" s="82"/>
      <c r="P557" s="43"/>
      <c r="Q557" s="43"/>
      <c r="R557" s="82"/>
      <c r="S557" s="69"/>
      <c r="T557" s="82"/>
    </row>
    <row r="558" spans="2:20" x14ac:dyDescent="0.35">
      <c r="B558" s="41"/>
      <c r="C558" s="80"/>
      <c r="D558" s="81"/>
      <c r="E558" s="81"/>
      <c r="F558" s="81"/>
      <c r="G558" s="82"/>
      <c r="H558" s="69"/>
      <c r="I558" s="69"/>
      <c r="J558" s="82"/>
      <c r="K558" s="82"/>
      <c r="L558" s="43"/>
      <c r="M558" s="43"/>
      <c r="N558" s="82"/>
      <c r="O558" s="82"/>
      <c r="P558" s="43"/>
      <c r="Q558" s="43"/>
      <c r="R558" s="82"/>
      <c r="S558" s="69"/>
      <c r="T558" s="82"/>
    </row>
    <row r="559" spans="2:20" x14ac:dyDescent="0.35">
      <c r="B559" s="41"/>
      <c r="C559" s="80"/>
      <c r="D559" s="81"/>
      <c r="E559" s="81"/>
      <c r="F559" s="81"/>
      <c r="G559" s="82"/>
      <c r="H559" s="69"/>
      <c r="I559" s="69"/>
      <c r="J559" s="82"/>
      <c r="K559" s="82"/>
      <c r="L559" s="43"/>
      <c r="M559" s="43"/>
      <c r="N559" s="82"/>
      <c r="O559" s="82"/>
      <c r="P559" s="43"/>
      <c r="Q559" s="43"/>
      <c r="R559" s="82"/>
      <c r="S559" s="69"/>
      <c r="T559" s="82"/>
    </row>
    <row r="560" spans="2:20" x14ac:dyDescent="0.35">
      <c r="B560" s="41"/>
      <c r="C560" s="80"/>
      <c r="D560" s="81"/>
      <c r="E560" s="81"/>
      <c r="F560" s="81"/>
      <c r="G560" s="82"/>
      <c r="H560" s="69"/>
      <c r="I560" s="69"/>
      <c r="J560" s="82"/>
      <c r="K560" s="82"/>
      <c r="L560" s="43"/>
      <c r="M560" s="43"/>
      <c r="N560" s="82"/>
      <c r="O560" s="82"/>
      <c r="P560" s="43"/>
      <c r="Q560" s="43"/>
      <c r="R560" s="82"/>
      <c r="S560" s="69"/>
      <c r="T560" s="82"/>
    </row>
    <row r="561" spans="2:20" x14ac:dyDescent="0.35">
      <c r="B561" s="41"/>
      <c r="C561" s="80"/>
      <c r="D561" s="81"/>
      <c r="E561" s="81"/>
      <c r="F561" s="81"/>
      <c r="G561" s="82"/>
      <c r="H561" s="69"/>
      <c r="I561" s="69"/>
      <c r="J561" s="82"/>
      <c r="K561" s="82"/>
      <c r="L561" s="43"/>
      <c r="M561" s="43"/>
      <c r="N561" s="82"/>
      <c r="O561" s="82"/>
      <c r="P561" s="43"/>
      <c r="Q561" s="43"/>
      <c r="R561" s="82"/>
      <c r="S561" s="69"/>
      <c r="T561" s="82"/>
    </row>
    <row r="562" spans="2:20" x14ac:dyDescent="0.35">
      <c r="B562" s="41"/>
      <c r="C562" s="80"/>
      <c r="D562" s="81"/>
      <c r="E562" s="81"/>
      <c r="F562" s="81"/>
      <c r="G562" s="82"/>
      <c r="H562" s="69"/>
      <c r="I562" s="69"/>
      <c r="J562" s="82"/>
      <c r="K562" s="82"/>
      <c r="L562" s="43"/>
      <c r="M562" s="43"/>
      <c r="N562" s="82"/>
      <c r="O562" s="82"/>
      <c r="P562" s="43"/>
      <c r="Q562" s="43"/>
      <c r="R562" s="82"/>
      <c r="S562" s="69"/>
      <c r="T562" s="82"/>
    </row>
    <row r="563" spans="2:20" x14ac:dyDescent="0.35">
      <c r="B563" s="41"/>
      <c r="C563" s="80"/>
      <c r="D563" s="81"/>
      <c r="E563" s="81"/>
      <c r="F563" s="81"/>
      <c r="G563" s="82"/>
      <c r="H563" s="69"/>
      <c r="I563" s="69"/>
      <c r="J563" s="82"/>
      <c r="K563" s="82"/>
      <c r="L563" s="43"/>
      <c r="M563" s="43"/>
      <c r="N563" s="82"/>
      <c r="O563" s="82"/>
      <c r="P563" s="43"/>
      <c r="Q563" s="43"/>
      <c r="R563" s="82"/>
      <c r="S563" s="69"/>
      <c r="T563" s="82"/>
    </row>
    <row r="564" spans="2:20" x14ac:dyDescent="0.35">
      <c r="B564" s="41"/>
      <c r="C564" s="80"/>
      <c r="D564" s="81"/>
      <c r="E564" s="81"/>
      <c r="F564" s="81"/>
      <c r="G564" s="82"/>
      <c r="H564" s="69"/>
      <c r="I564" s="69"/>
      <c r="J564" s="82"/>
      <c r="K564" s="82"/>
      <c r="L564" s="43"/>
      <c r="M564" s="43"/>
      <c r="N564" s="82"/>
      <c r="O564" s="82"/>
      <c r="P564" s="43"/>
      <c r="Q564" s="43"/>
      <c r="R564" s="82"/>
      <c r="S564" s="69"/>
      <c r="T564" s="82"/>
    </row>
    <row r="565" spans="2:20" x14ac:dyDescent="0.35">
      <c r="B565" s="41"/>
      <c r="C565" s="80"/>
      <c r="D565" s="81"/>
      <c r="E565" s="81"/>
      <c r="F565" s="81"/>
      <c r="G565" s="82"/>
      <c r="H565" s="69"/>
      <c r="I565" s="69"/>
      <c r="J565" s="82"/>
      <c r="K565" s="82"/>
      <c r="L565" s="43"/>
      <c r="M565" s="43"/>
      <c r="N565" s="82"/>
      <c r="O565" s="82"/>
      <c r="P565" s="43"/>
      <c r="Q565" s="43"/>
      <c r="R565" s="82"/>
      <c r="S565" s="69"/>
      <c r="T565" s="82"/>
    </row>
    <row r="566" spans="2:20" x14ac:dyDescent="0.35">
      <c r="B566" s="41"/>
      <c r="C566" s="80"/>
      <c r="D566" s="81"/>
      <c r="E566" s="81"/>
      <c r="F566" s="81"/>
      <c r="G566" s="82"/>
      <c r="H566" s="69"/>
      <c r="I566" s="69"/>
      <c r="J566" s="82"/>
      <c r="K566" s="82"/>
      <c r="L566" s="43"/>
      <c r="M566" s="43"/>
      <c r="N566" s="82"/>
      <c r="O566" s="82"/>
      <c r="P566" s="43"/>
      <c r="Q566" s="43"/>
      <c r="R566" s="82"/>
      <c r="S566" s="69"/>
      <c r="T566" s="82"/>
    </row>
    <row r="567" spans="2:20" x14ac:dyDescent="0.35">
      <c r="B567" s="41"/>
      <c r="C567" s="80"/>
      <c r="D567" s="81"/>
      <c r="E567" s="81"/>
      <c r="F567" s="81"/>
      <c r="G567" s="82"/>
      <c r="H567" s="69"/>
      <c r="I567" s="69"/>
      <c r="J567" s="82"/>
      <c r="K567" s="82"/>
      <c r="L567" s="43"/>
      <c r="M567" s="43"/>
      <c r="N567" s="82"/>
      <c r="O567" s="82"/>
      <c r="P567" s="43"/>
      <c r="Q567" s="43"/>
      <c r="R567" s="82"/>
      <c r="S567" s="69"/>
      <c r="T567" s="82"/>
    </row>
    <row r="568" spans="2:20" x14ac:dyDescent="0.35">
      <c r="B568" s="41"/>
      <c r="C568" s="80"/>
      <c r="D568" s="81"/>
      <c r="E568" s="81"/>
      <c r="F568" s="81"/>
      <c r="G568" s="82"/>
      <c r="H568" s="69"/>
      <c r="I568" s="69"/>
      <c r="J568" s="82"/>
      <c r="K568" s="82"/>
      <c r="L568" s="43"/>
      <c r="M568" s="43"/>
      <c r="N568" s="82"/>
      <c r="O568" s="82"/>
      <c r="P568" s="43"/>
      <c r="Q568" s="43"/>
      <c r="R568" s="82"/>
      <c r="S568" s="69"/>
      <c r="T568" s="82"/>
    </row>
    <row r="569" spans="2:20" x14ac:dyDescent="0.35">
      <c r="B569" s="41"/>
      <c r="C569" s="80"/>
      <c r="D569" s="81"/>
      <c r="E569" s="81"/>
      <c r="F569" s="81"/>
      <c r="G569" s="82"/>
      <c r="H569" s="69"/>
      <c r="I569" s="69"/>
      <c r="J569" s="82"/>
      <c r="K569" s="82"/>
      <c r="L569" s="43"/>
      <c r="M569" s="43"/>
      <c r="N569" s="82"/>
      <c r="O569" s="82"/>
      <c r="P569" s="43"/>
      <c r="Q569" s="43"/>
      <c r="R569" s="82"/>
      <c r="S569" s="69"/>
      <c r="T569" s="82"/>
    </row>
    <row r="570" spans="2:20" x14ac:dyDescent="0.35">
      <c r="B570" s="41"/>
      <c r="C570" s="80"/>
      <c r="D570" s="81"/>
      <c r="E570" s="81"/>
      <c r="F570" s="81"/>
      <c r="G570" s="82"/>
      <c r="H570" s="69"/>
      <c r="I570" s="69"/>
      <c r="J570" s="82"/>
      <c r="K570" s="82"/>
      <c r="L570" s="43"/>
      <c r="M570" s="43"/>
      <c r="N570" s="82"/>
      <c r="O570" s="82"/>
      <c r="P570" s="43"/>
      <c r="Q570" s="43"/>
      <c r="R570" s="82"/>
      <c r="S570" s="69"/>
      <c r="T570" s="82"/>
    </row>
    <row r="571" spans="2:20" x14ac:dyDescent="0.35">
      <c r="B571" s="41"/>
      <c r="C571" s="80"/>
      <c r="D571" s="81"/>
      <c r="E571" s="81"/>
      <c r="F571" s="81"/>
      <c r="G571" s="82"/>
      <c r="H571" s="69"/>
      <c r="I571" s="69"/>
      <c r="J571" s="82"/>
      <c r="K571" s="82"/>
      <c r="L571" s="43"/>
      <c r="M571" s="43"/>
      <c r="N571" s="82"/>
      <c r="O571" s="82"/>
      <c r="P571" s="43"/>
      <c r="Q571" s="43"/>
      <c r="R571" s="82"/>
      <c r="S571" s="69"/>
      <c r="T571" s="82"/>
    </row>
    <row r="572" spans="2:20" x14ac:dyDescent="0.35">
      <c r="B572" s="41"/>
      <c r="C572" s="80"/>
      <c r="D572" s="81"/>
      <c r="E572" s="81"/>
      <c r="F572" s="81"/>
      <c r="G572" s="82"/>
      <c r="H572" s="69"/>
      <c r="I572" s="69"/>
      <c r="J572" s="82"/>
      <c r="K572" s="82"/>
      <c r="L572" s="43"/>
      <c r="M572" s="43"/>
      <c r="N572" s="82"/>
      <c r="O572" s="82"/>
      <c r="P572" s="43"/>
      <c r="Q572" s="43"/>
      <c r="R572" s="82"/>
      <c r="S572" s="69"/>
      <c r="T572" s="82"/>
    </row>
    <row r="573" spans="2:20" x14ac:dyDescent="0.35">
      <c r="B573" s="41"/>
      <c r="C573" s="80"/>
      <c r="D573" s="81"/>
      <c r="E573" s="81"/>
      <c r="F573" s="81"/>
      <c r="G573" s="82"/>
      <c r="H573" s="69"/>
      <c r="I573" s="69"/>
      <c r="J573" s="82"/>
      <c r="K573" s="82"/>
      <c r="L573" s="43"/>
      <c r="M573" s="43"/>
      <c r="N573" s="82"/>
      <c r="O573" s="82"/>
      <c r="P573" s="43"/>
      <c r="Q573" s="43"/>
      <c r="R573" s="82"/>
      <c r="S573" s="69"/>
      <c r="T573" s="82"/>
    </row>
    <row r="574" spans="2:20" x14ac:dyDescent="0.35">
      <c r="B574" s="41"/>
      <c r="C574" s="80"/>
      <c r="D574" s="81"/>
      <c r="E574" s="81"/>
      <c r="F574" s="81"/>
      <c r="G574" s="82"/>
      <c r="H574" s="69"/>
      <c r="I574" s="69"/>
      <c r="J574" s="82"/>
      <c r="K574" s="82"/>
      <c r="L574" s="43"/>
      <c r="M574" s="43"/>
      <c r="N574" s="82"/>
      <c r="O574" s="82"/>
      <c r="P574" s="43"/>
      <c r="Q574" s="43"/>
      <c r="R574" s="82"/>
      <c r="S574" s="69"/>
      <c r="T574" s="82"/>
    </row>
    <row r="575" spans="2:20" x14ac:dyDescent="0.35">
      <c r="B575" s="41"/>
      <c r="C575" s="80"/>
      <c r="D575" s="81"/>
      <c r="E575" s="81"/>
      <c r="F575" s="81"/>
      <c r="G575" s="82"/>
      <c r="H575" s="69"/>
      <c r="I575" s="69"/>
      <c r="J575" s="82"/>
      <c r="K575" s="82"/>
      <c r="L575" s="43"/>
      <c r="M575" s="43"/>
      <c r="N575" s="82"/>
      <c r="O575" s="82"/>
      <c r="P575" s="43"/>
      <c r="Q575" s="43"/>
      <c r="R575" s="82"/>
      <c r="S575" s="69"/>
      <c r="T575" s="82"/>
    </row>
    <row r="576" spans="2:20" x14ac:dyDescent="0.35">
      <c r="B576" s="41"/>
      <c r="C576" s="80"/>
      <c r="D576" s="81"/>
      <c r="E576" s="81"/>
      <c r="F576" s="81"/>
      <c r="G576" s="82"/>
      <c r="H576" s="69"/>
      <c r="I576" s="69"/>
      <c r="J576" s="82"/>
      <c r="K576" s="82"/>
      <c r="L576" s="43"/>
      <c r="M576" s="43"/>
      <c r="N576" s="82"/>
      <c r="O576" s="82"/>
      <c r="P576" s="43"/>
      <c r="Q576" s="43"/>
      <c r="R576" s="82"/>
      <c r="S576" s="69"/>
      <c r="T576" s="82"/>
    </row>
    <row r="577" spans="2:20" x14ac:dyDescent="0.35">
      <c r="B577" s="41"/>
      <c r="C577" s="80"/>
      <c r="D577" s="81"/>
      <c r="E577" s="81"/>
      <c r="F577" s="81"/>
      <c r="G577" s="82"/>
      <c r="H577" s="69"/>
      <c r="I577" s="69"/>
      <c r="J577" s="82"/>
      <c r="K577" s="82"/>
      <c r="L577" s="43"/>
      <c r="M577" s="43"/>
      <c r="N577" s="82"/>
      <c r="O577" s="82"/>
      <c r="P577" s="43"/>
      <c r="Q577" s="43"/>
      <c r="R577" s="82"/>
      <c r="S577" s="69"/>
      <c r="T577" s="82"/>
    </row>
    <row r="578" spans="2:20" x14ac:dyDescent="0.35">
      <c r="B578" s="41"/>
      <c r="C578" s="80"/>
      <c r="D578" s="81"/>
      <c r="E578" s="81"/>
      <c r="F578" s="81"/>
      <c r="G578" s="82"/>
      <c r="H578" s="69"/>
      <c r="I578" s="69"/>
      <c r="J578" s="82"/>
      <c r="K578" s="82"/>
      <c r="L578" s="43"/>
      <c r="M578" s="43"/>
      <c r="N578" s="82"/>
      <c r="O578" s="82"/>
      <c r="P578" s="43"/>
      <c r="Q578" s="43"/>
      <c r="R578" s="82"/>
      <c r="S578" s="69"/>
      <c r="T578" s="82"/>
    </row>
    <row r="579" spans="2:20" x14ac:dyDescent="0.35">
      <c r="B579" s="41"/>
      <c r="C579" s="80"/>
      <c r="D579" s="81"/>
      <c r="E579" s="81"/>
      <c r="F579" s="81"/>
      <c r="G579" s="82"/>
      <c r="H579" s="69"/>
      <c r="I579" s="69"/>
      <c r="J579" s="82"/>
      <c r="K579" s="82"/>
      <c r="L579" s="43"/>
      <c r="M579" s="43"/>
      <c r="N579" s="82"/>
      <c r="O579" s="82"/>
      <c r="P579" s="43"/>
      <c r="Q579" s="43"/>
      <c r="R579" s="82"/>
      <c r="S579" s="69"/>
      <c r="T579" s="82"/>
    </row>
    <row r="580" spans="2:20" x14ac:dyDescent="0.35">
      <c r="B580" s="41"/>
      <c r="C580" s="80"/>
      <c r="D580" s="81"/>
      <c r="E580" s="81"/>
      <c r="F580" s="81"/>
      <c r="G580" s="82"/>
      <c r="H580" s="69"/>
      <c r="I580" s="69"/>
      <c r="J580" s="82"/>
      <c r="K580" s="82"/>
      <c r="L580" s="43"/>
      <c r="M580" s="43"/>
      <c r="N580" s="82"/>
      <c r="O580" s="82"/>
      <c r="P580" s="43"/>
      <c r="Q580" s="43"/>
      <c r="R580" s="82"/>
      <c r="S580" s="69"/>
      <c r="T580" s="82"/>
    </row>
    <row r="581" spans="2:20" x14ac:dyDescent="0.35">
      <c r="B581" s="41"/>
      <c r="C581" s="80"/>
      <c r="D581" s="81"/>
      <c r="E581" s="81"/>
      <c r="F581" s="81"/>
      <c r="G581" s="82"/>
      <c r="H581" s="69"/>
      <c r="I581" s="69"/>
      <c r="J581" s="82"/>
      <c r="K581" s="82"/>
      <c r="L581" s="43"/>
      <c r="M581" s="43"/>
      <c r="N581" s="82"/>
      <c r="O581" s="82"/>
      <c r="P581" s="43"/>
      <c r="Q581" s="43"/>
      <c r="R581" s="82"/>
      <c r="S581" s="69"/>
      <c r="T581" s="82"/>
    </row>
    <row r="582" spans="2:20" x14ac:dyDescent="0.35">
      <c r="B582" s="41"/>
      <c r="C582" s="80"/>
      <c r="D582" s="81"/>
      <c r="E582" s="81"/>
      <c r="F582" s="81"/>
      <c r="G582" s="82"/>
      <c r="H582" s="69"/>
      <c r="I582" s="69"/>
      <c r="J582" s="82"/>
      <c r="K582" s="82"/>
      <c r="L582" s="43"/>
      <c r="M582" s="43"/>
      <c r="N582" s="82"/>
      <c r="O582" s="82"/>
      <c r="P582" s="43"/>
      <c r="Q582" s="43"/>
      <c r="R582" s="82"/>
      <c r="S582" s="69"/>
      <c r="T582" s="82"/>
    </row>
    <row r="583" spans="2:20" x14ac:dyDescent="0.35">
      <c r="B583" s="41"/>
      <c r="C583" s="80"/>
      <c r="D583" s="81"/>
      <c r="E583" s="81"/>
      <c r="F583" s="81"/>
      <c r="G583" s="82"/>
      <c r="H583" s="69"/>
      <c r="I583" s="69"/>
      <c r="J583" s="82"/>
      <c r="K583" s="82"/>
      <c r="L583" s="43"/>
      <c r="M583" s="43"/>
      <c r="N583" s="82"/>
      <c r="O583" s="82"/>
      <c r="P583" s="43"/>
      <c r="Q583" s="43"/>
      <c r="R583" s="82"/>
      <c r="S583" s="69"/>
      <c r="T583" s="82"/>
    </row>
    <row r="584" spans="2:20" x14ac:dyDescent="0.35">
      <c r="B584" s="41"/>
      <c r="C584" s="80"/>
      <c r="D584" s="81"/>
      <c r="E584" s="81"/>
      <c r="F584" s="81"/>
      <c r="G584" s="82"/>
      <c r="H584" s="69"/>
      <c r="I584" s="69"/>
      <c r="J584" s="82"/>
      <c r="K584" s="82"/>
      <c r="L584" s="43"/>
      <c r="M584" s="43"/>
      <c r="N584" s="82"/>
      <c r="O584" s="82"/>
      <c r="P584" s="43"/>
      <c r="Q584" s="43"/>
      <c r="R584" s="82"/>
      <c r="S584" s="69"/>
      <c r="T584" s="82"/>
    </row>
    <row r="585" spans="2:20" x14ac:dyDescent="0.35">
      <c r="B585" s="41"/>
      <c r="C585" s="80"/>
      <c r="D585" s="81"/>
      <c r="E585" s="81"/>
      <c r="F585" s="81"/>
      <c r="G585" s="82"/>
      <c r="H585" s="69"/>
      <c r="I585" s="69"/>
      <c r="J585" s="82"/>
      <c r="K585" s="82"/>
      <c r="L585" s="43"/>
      <c r="M585" s="43"/>
      <c r="N585" s="82"/>
      <c r="O585" s="82"/>
      <c r="P585" s="43"/>
      <c r="Q585" s="43"/>
      <c r="R585" s="82"/>
      <c r="S585" s="69"/>
      <c r="T585" s="82"/>
    </row>
    <row r="586" spans="2:20" x14ac:dyDescent="0.35">
      <c r="B586" s="41"/>
      <c r="C586" s="80"/>
      <c r="D586" s="81"/>
      <c r="E586" s="81"/>
      <c r="F586" s="81"/>
      <c r="G586" s="82"/>
      <c r="H586" s="69"/>
      <c r="I586" s="69"/>
      <c r="J586" s="82"/>
      <c r="K586" s="82"/>
      <c r="L586" s="43"/>
      <c r="M586" s="43"/>
      <c r="N586" s="82"/>
      <c r="O586" s="82"/>
      <c r="P586" s="43"/>
      <c r="Q586" s="43"/>
      <c r="R586" s="82"/>
      <c r="S586" s="69"/>
      <c r="T586" s="82"/>
    </row>
    <row r="587" spans="2:20" x14ac:dyDescent="0.35">
      <c r="B587" s="41"/>
      <c r="C587" s="80"/>
      <c r="D587" s="81"/>
      <c r="E587" s="81"/>
      <c r="F587" s="81"/>
      <c r="G587" s="82"/>
      <c r="H587" s="69"/>
      <c r="I587" s="69"/>
      <c r="J587" s="82"/>
      <c r="K587" s="82"/>
      <c r="L587" s="43"/>
      <c r="M587" s="43"/>
      <c r="N587" s="82"/>
      <c r="O587" s="82"/>
      <c r="P587" s="43"/>
      <c r="Q587" s="43"/>
      <c r="R587" s="82"/>
      <c r="S587" s="69"/>
      <c r="T587" s="82"/>
    </row>
    <row r="588" spans="2:20" x14ac:dyDescent="0.35">
      <c r="B588" s="41"/>
      <c r="C588" s="80"/>
      <c r="D588" s="81"/>
      <c r="E588" s="81"/>
      <c r="F588" s="81"/>
      <c r="G588" s="82"/>
      <c r="H588" s="69"/>
      <c r="I588" s="69"/>
      <c r="J588" s="82"/>
      <c r="K588" s="82"/>
      <c r="L588" s="43"/>
      <c r="M588" s="43"/>
      <c r="N588" s="82"/>
      <c r="O588" s="82"/>
      <c r="P588" s="43"/>
      <c r="Q588" s="43"/>
      <c r="R588" s="82"/>
      <c r="S588" s="69"/>
      <c r="T588" s="82"/>
    </row>
    <row r="589" spans="2:20" x14ac:dyDescent="0.35">
      <c r="B589" s="41"/>
      <c r="C589" s="80"/>
      <c r="D589" s="81"/>
      <c r="E589" s="81"/>
      <c r="F589" s="81"/>
      <c r="G589" s="82"/>
      <c r="H589" s="69"/>
      <c r="I589" s="69"/>
      <c r="J589" s="82"/>
      <c r="K589" s="82"/>
      <c r="L589" s="43"/>
      <c r="M589" s="43"/>
      <c r="N589" s="82"/>
      <c r="O589" s="82"/>
      <c r="P589" s="43"/>
      <c r="Q589" s="43"/>
      <c r="R589" s="82"/>
      <c r="S589" s="69"/>
      <c r="T589" s="82"/>
    </row>
    <row r="590" spans="2:20" x14ac:dyDescent="0.35">
      <c r="B590" s="41"/>
      <c r="C590" s="80"/>
      <c r="D590" s="81"/>
      <c r="E590" s="81"/>
      <c r="F590" s="81"/>
      <c r="G590" s="82"/>
      <c r="H590" s="69"/>
      <c r="I590" s="69"/>
      <c r="J590" s="82"/>
      <c r="K590" s="82"/>
      <c r="L590" s="43"/>
      <c r="M590" s="43"/>
      <c r="N590" s="82"/>
      <c r="O590" s="82"/>
      <c r="P590" s="43"/>
      <c r="Q590" s="43"/>
      <c r="R590" s="82"/>
      <c r="S590" s="69"/>
      <c r="T590" s="82"/>
    </row>
    <row r="591" spans="2:20" x14ac:dyDescent="0.35">
      <c r="B591" s="41"/>
      <c r="C591" s="80"/>
      <c r="D591" s="81"/>
      <c r="E591" s="81"/>
      <c r="F591" s="81"/>
      <c r="G591" s="82"/>
      <c r="H591" s="69"/>
      <c r="I591" s="69"/>
      <c r="J591" s="82"/>
      <c r="K591" s="82"/>
      <c r="L591" s="43"/>
      <c r="M591" s="43"/>
      <c r="N591" s="82"/>
      <c r="O591" s="82"/>
      <c r="P591" s="43"/>
      <c r="Q591" s="43"/>
      <c r="R591" s="82"/>
      <c r="S591" s="69"/>
      <c r="T591" s="82"/>
    </row>
    <row r="592" spans="2:20" x14ac:dyDescent="0.35">
      <c r="B592" s="41"/>
      <c r="C592" s="80"/>
      <c r="D592" s="81"/>
      <c r="E592" s="81"/>
      <c r="F592" s="81"/>
      <c r="G592" s="82"/>
      <c r="H592" s="69"/>
      <c r="I592" s="69"/>
      <c r="J592" s="82"/>
      <c r="K592" s="82"/>
      <c r="L592" s="43"/>
      <c r="M592" s="43"/>
      <c r="N592" s="82"/>
      <c r="O592" s="82"/>
      <c r="P592" s="43"/>
      <c r="Q592" s="43"/>
      <c r="R592" s="82"/>
      <c r="S592" s="69"/>
      <c r="T592" s="82"/>
    </row>
    <row r="593" spans="2:20" x14ac:dyDescent="0.35">
      <c r="B593" s="41"/>
      <c r="C593" s="80"/>
      <c r="D593" s="81"/>
      <c r="E593" s="81"/>
      <c r="F593" s="81"/>
      <c r="G593" s="82"/>
      <c r="H593" s="69"/>
      <c r="I593" s="69"/>
      <c r="J593" s="82"/>
      <c r="K593" s="82"/>
      <c r="L593" s="43"/>
      <c r="M593" s="43"/>
      <c r="N593" s="82"/>
      <c r="O593" s="82"/>
      <c r="P593" s="43"/>
      <c r="Q593" s="43"/>
      <c r="R593" s="82"/>
      <c r="S593" s="69"/>
      <c r="T593" s="82"/>
    </row>
    <row r="594" spans="2:20" x14ac:dyDescent="0.35">
      <c r="B594" s="41"/>
      <c r="C594" s="80"/>
      <c r="D594" s="81"/>
      <c r="E594" s="81"/>
      <c r="F594" s="81"/>
      <c r="G594" s="82"/>
      <c r="H594" s="69"/>
      <c r="I594" s="69"/>
      <c r="J594" s="82"/>
      <c r="K594" s="82"/>
      <c r="L594" s="43"/>
      <c r="M594" s="43"/>
      <c r="N594" s="82"/>
      <c r="O594" s="82"/>
      <c r="P594" s="43"/>
      <c r="Q594" s="43"/>
      <c r="R594" s="82"/>
      <c r="S594" s="69"/>
      <c r="T594" s="82"/>
    </row>
    <row r="595" spans="2:20" x14ac:dyDescent="0.35">
      <c r="B595" s="41"/>
      <c r="C595" s="80"/>
      <c r="D595" s="81"/>
      <c r="E595" s="81"/>
      <c r="F595" s="81"/>
      <c r="G595" s="82"/>
      <c r="H595" s="69"/>
      <c r="I595" s="69"/>
      <c r="J595" s="82"/>
      <c r="K595" s="82"/>
      <c r="L595" s="43"/>
      <c r="M595" s="43"/>
      <c r="N595" s="82"/>
      <c r="O595" s="82"/>
      <c r="P595" s="43"/>
      <c r="Q595" s="43"/>
      <c r="R595" s="82"/>
      <c r="S595" s="69"/>
      <c r="T595" s="82"/>
    </row>
    <row r="596" spans="2:20" x14ac:dyDescent="0.35">
      <c r="B596" s="41"/>
      <c r="C596" s="80"/>
      <c r="D596" s="81"/>
      <c r="E596" s="81"/>
      <c r="F596" s="81"/>
      <c r="G596" s="82"/>
      <c r="H596" s="69"/>
      <c r="I596" s="69"/>
      <c r="J596" s="82"/>
      <c r="K596" s="82"/>
      <c r="L596" s="43"/>
      <c r="M596" s="43"/>
      <c r="N596" s="82"/>
      <c r="O596" s="82"/>
      <c r="P596" s="43"/>
      <c r="Q596" s="43"/>
      <c r="R596" s="82"/>
      <c r="S596" s="69"/>
      <c r="T596" s="82"/>
    </row>
    <row r="597" spans="2:20" x14ac:dyDescent="0.35">
      <c r="B597" s="41"/>
      <c r="C597" s="80"/>
      <c r="D597" s="81"/>
      <c r="E597" s="81"/>
      <c r="F597" s="81"/>
      <c r="G597" s="82"/>
      <c r="H597" s="69"/>
      <c r="I597" s="69"/>
      <c r="J597" s="82"/>
      <c r="K597" s="82"/>
      <c r="L597" s="43"/>
      <c r="M597" s="43"/>
      <c r="N597" s="82"/>
      <c r="O597" s="82"/>
      <c r="P597" s="43"/>
      <c r="Q597" s="43"/>
      <c r="R597" s="82"/>
      <c r="S597" s="69"/>
      <c r="T597" s="82"/>
    </row>
    <row r="598" spans="2:20" x14ac:dyDescent="0.35">
      <c r="B598" s="41"/>
      <c r="C598" s="80"/>
      <c r="D598" s="81"/>
      <c r="E598" s="81"/>
      <c r="F598" s="81"/>
      <c r="G598" s="82"/>
      <c r="H598" s="69"/>
      <c r="I598" s="69"/>
      <c r="J598" s="82"/>
      <c r="K598" s="82"/>
      <c r="L598" s="43"/>
      <c r="M598" s="43"/>
      <c r="N598" s="82"/>
      <c r="O598" s="82"/>
      <c r="P598" s="43"/>
      <c r="Q598" s="43"/>
      <c r="R598" s="82"/>
      <c r="S598" s="69"/>
      <c r="T598" s="82"/>
    </row>
    <row r="599" spans="2:20" x14ac:dyDescent="0.35">
      <c r="B599" s="41"/>
      <c r="C599" s="80"/>
      <c r="D599" s="81"/>
      <c r="E599" s="81"/>
      <c r="F599" s="81"/>
      <c r="G599" s="82"/>
      <c r="H599" s="69"/>
      <c r="I599" s="69"/>
      <c r="J599" s="82"/>
      <c r="K599" s="82"/>
      <c r="L599" s="43"/>
      <c r="M599" s="43"/>
      <c r="N599" s="82"/>
      <c r="O599" s="82"/>
      <c r="P599" s="43"/>
      <c r="Q599" s="43"/>
      <c r="R599" s="82"/>
      <c r="S599" s="69"/>
      <c r="T599" s="82"/>
    </row>
    <row r="600" spans="2:20" x14ac:dyDescent="0.35">
      <c r="B600" s="41"/>
      <c r="C600" s="80"/>
      <c r="D600" s="81"/>
      <c r="E600" s="81"/>
      <c r="F600" s="81"/>
      <c r="G600" s="82"/>
      <c r="H600" s="69"/>
      <c r="I600" s="69"/>
      <c r="J600" s="82"/>
      <c r="K600" s="82"/>
      <c r="L600" s="43"/>
      <c r="M600" s="43"/>
      <c r="N600" s="82"/>
      <c r="O600" s="82"/>
      <c r="P600" s="43"/>
      <c r="Q600" s="43"/>
      <c r="R600" s="82"/>
      <c r="S600" s="69"/>
      <c r="T600" s="82"/>
    </row>
    <row r="601" spans="2:20" x14ac:dyDescent="0.35">
      <c r="B601" s="41"/>
      <c r="C601" s="80"/>
      <c r="D601" s="81"/>
      <c r="E601" s="81"/>
      <c r="F601" s="81"/>
      <c r="G601" s="82"/>
      <c r="H601" s="69"/>
      <c r="I601" s="69"/>
      <c r="J601" s="82"/>
      <c r="K601" s="82"/>
      <c r="L601" s="43"/>
      <c r="M601" s="43"/>
      <c r="N601" s="82"/>
      <c r="O601" s="82"/>
      <c r="P601" s="43"/>
      <c r="Q601" s="43"/>
      <c r="R601" s="82"/>
      <c r="S601" s="69"/>
      <c r="T601" s="82"/>
    </row>
    <row r="602" spans="2:20" x14ac:dyDescent="0.35">
      <c r="B602" s="41"/>
      <c r="C602" s="80"/>
      <c r="D602" s="81"/>
      <c r="E602" s="81"/>
      <c r="F602" s="81"/>
      <c r="G602" s="82"/>
      <c r="H602" s="69"/>
      <c r="I602" s="69"/>
      <c r="J602" s="82"/>
      <c r="K602" s="82"/>
      <c r="L602" s="43"/>
      <c r="M602" s="43"/>
      <c r="N602" s="82"/>
      <c r="O602" s="82"/>
      <c r="P602" s="43"/>
      <c r="Q602" s="43"/>
      <c r="R602" s="82"/>
      <c r="S602" s="69"/>
      <c r="T602" s="82"/>
    </row>
    <row r="603" spans="2:20" x14ac:dyDescent="0.35">
      <c r="B603" s="41"/>
      <c r="C603" s="80"/>
      <c r="D603" s="81"/>
      <c r="E603" s="81"/>
      <c r="F603" s="81"/>
      <c r="G603" s="82"/>
      <c r="H603" s="69"/>
      <c r="I603" s="69"/>
      <c r="J603" s="82"/>
      <c r="K603" s="82"/>
      <c r="L603" s="43"/>
      <c r="M603" s="43"/>
      <c r="N603" s="82"/>
      <c r="O603" s="82"/>
      <c r="P603" s="43"/>
      <c r="Q603" s="43"/>
      <c r="R603" s="82"/>
      <c r="S603" s="69"/>
      <c r="T603" s="82"/>
    </row>
    <row r="604" spans="2:20" x14ac:dyDescent="0.35">
      <c r="B604" s="41"/>
      <c r="C604" s="80"/>
      <c r="D604" s="81"/>
      <c r="E604" s="81"/>
      <c r="F604" s="81"/>
      <c r="G604" s="82"/>
      <c r="H604" s="69"/>
      <c r="I604" s="69"/>
      <c r="J604" s="82"/>
      <c r="K604" s="82"/>
      <c r="L604" s="43"/>
      <c r="M604" s="43"/>
      <c r="N604" s="82"/>
      <c r="O604" s="82"/>
      <c r="P604" s="43"/>
      <c r="Q604" s="43"/>
      <c r="R604" s="82"/>
      <c r="S604" s="69"/>
      <c r="T604" s="82"/>
    </row>
    <row r="605" spans="2:20" x14ac:dyDescent="0.35">
      <c r="B605" s="41"/>
      <c r="C605" s="80"/>
      <c r="D605" s="81"/>
      <c r="E605" s="81"/>
      <c r="F605" s="81"/>
      <c r="G605" s="82"/>
      <c r="H605" s="69"/>
      <c r="I605" s="69"/>
      <c r="J605" s="82"/>
      <c r="K605" s="82"/>
      <c r="L605" s="43"/>
      <c r="M605" s="43"/>
      <c r="N605" s="82"/>
      <c r="O605" s="82"/>
      <c r="P605" s="43"/>
      <c r="Q605" s="43"/>
      <c r="R605" s="82"/>
      <c r="S605" s="69"/>
      <c r="T605" s="82"/>
    </row>
    <row r="606" spans="2:20" x14ac:dyDescent="0.35">
      <c r="B606" s="41"/>
      <c r="C606" s="80"/>
      <c r="D606" s="81"/>
      <c r="E606" s="81"/>
      <c r="F606" s="81"/>
      <c r="G606" s="82"/>
      <c r="H606" s="69"/>
      <c r="I606" s="69"/>
      <c r="J606" s="82"/>
      <c r="K606" s="82"/>
      <c r="L606" s="43"/>
      <c r="M606" s="43"/>
      <c r="N606" s="82"/>
      <c r="O606" s="82"/>
      <c r="P606" s="43"/>
      <c r="Q606" s="43"/>
      <c r="R606" s="82"/>
      <c r="S606" s="69"/>
      <c r="T606" s="82"/>
    </row>
    <row r="607" spans="2:20" x14ac:dyDescent="0.35">
      <c r="B607" s="41"/>
      <c r="C607" s="80"/>
      <c r="D607" s="81"/>
      <c r="E607" s="81"/>
      <c r="F607" s="81"/>
      <c r="G607" s="82"/>
      <c r="H607" s="69"/>
      <c r="I607" s="69"/>
      <c r="J607" s="82"/>
      <c r="K607" s="82"/>
      <c r="L607" s="43"/>
      <c r="M607" s="43"/>
      <c r="N607" s="82"/>
      <c r="O607" s="82"/>
      <c r="P607" s="43"/>
      <c r="Q607" s="43"/>
      <c r="R607" s="82"/>
      <c r="S607" s="69"/>
      <c r="T607" s="82"/>
    </row>
    <row r="608" spans="2:20" x14ac:dyDescent="0.35">
      <c r="B608" s="41"/>
      <c r="C608" s="80"/>
      <c r="D608" s="81"/>
      <c r="E608" s="81"/>
      <c r="F608" s="81"/>
      <c r="G608" s="82"/>
      <c r="H608" s="69"/>
      <c r="I608" s="69"/>
      <c r="J608" s="82"/>
      <c r="K608" s="82"/>
      <c r="L608" s="43"/>
      <c r="M608" s="43"/>
      <c r="N608" s="82"/>
      <c r="O608" s="82"/>
      <c r="P608" s="43"/>
      <c r="Q608" s="43"/>
      <c r="R608" s="82"/>
      <c r="S608" s="69"/>
      <c r="T608" s="82"/>
    </row>
    <row r="609" spans="2:20" x14ac:dyDescent="0.35">
      <c r="B609" s="41"/>
      <c r="C609" s="80"/>
      <c r="D609" s="81"/>
      <c r="E609" s="81"/>
      <c r="F609" s="81"/>
      <c r="G609" s="82"/>
      <c r="H609" s="69"/>
      <c r="I609" s="69"/>
      <c r="J609" s="82"/>
      <c r="K609" s="82"/>
      <c r="L609" s="43"/>
      <c r="M609" s="43"/>
      <c r="N609" s="82"/>
      <c r="O609" s="82"/>
      <c r="P609" s="43"/>
      <c r="Q609" s="43"/>
      <c r="R609" s="82"/>
      <c r="S609" s="69"/>
      <c r="T609" s="82"/>
    </row>
    <row r="610" spans="2:20" x14ac:dyDescent="0.35">
      <c r="B610" s="41"/>
      <c r="C610" s="80"/>
      <c r="D610" s="81"/>
      <c r="E610" s="81"/>
      <c r="F610" s="81"/>
      <c r="G610" s="82"/>
      <c r="H610" s="69"/>
      <c r="I610" s="69"/>
      <c r="J610" s="82"/>
      <c r="K610" s="82"/>
      <c r="L610" s="43"/>
      <c r="M610" s="43"/>
      <c r="N610" s="82"/>
      <c r="O610" s="82"/>
      <c r="P610" s="43"/>
      <c r="Q610" s="43"/>
      <c r="R610" s="82"/>
      <c r="S610" s="69"/>
      <c r="T610" s="82"/>
    </row>
    <row r="611" spans="2:20" x14ac:dyDescent="0.35">
      <c r="B611" s="41"/>
      <c r="C611" s="80"/>
      <c r="D611" s="81"/>
      <c r="E611" s="81"/>
      <c r="F611" s="81"/>
      <c r="G611" s="82"/>
      <c r="H611" s="69"/>
      <c r="I611" s="69"/>
      <c r="J611" s="82"/>
      <c r="K611" s="82"/>
      <c r="L611" s="43"/>
      <c r="M611" s="43"/>
      <c r="N611" s="82"/>
      <c r="O611" s="82"/>
      <c r="P611" s="43"/>
      <c r="Q611" s="43"/>
      <c r="R611" s="82"/>
      <c r="S611" s="69"/>
      <c r="T611" s="82"/>
    </row>
    <row r="612" spans="2:20" x14ac:dyDescent="0.35">
      <c r="B612" s="41"/>
      <c r="C612" s="80"/>
      <c r="D612" s="81"/>
      <c r="E612" s="81"/>
      <c r="F612" s="81"/>
      <c r="G612" s="82"/>
      <c r="H612" s="69"/>
      <c r="I612" s="69"/>
      <c r="J612" s="82"/>
      <c r="K612" s="82"/>
      <c r="L612" s="43"/>
      <c r="M612" s="43"/>
      <c r="N612" s="82"/>
      <c r="O612" s="82"/>
      <c r="P612" s="43"/>
      <c r="Q612" s="43"/>
      <c r="R612" s="82"/>
      <c r="S612" s="69"/>
      <c r="T612" s="82"/>
    </row>
    <row r="613" spans="2:20" x14ac:dyDescent="0.35">
      <c r="B613" s="41"/>
      <c r="C613" s="80"/>
      <c r="D613" s="81"/>
      <c r="E613" s="81"/>
      <c r="F613" s="81"/>
      <c r="G613" s="82"/>
      <c r="H613" s="69"/>
      <c r="I613" s="69"/>
      <c r="J613" s="82"/>
      <c r="K613" s="82"/>
      <c r="L613" s="43"/>
      <c r="M613" s="43"/>
      <c r="N613" s="82"/>
      <c r="O613" s="82"/>
      <c r="P613" s="43"/>
      <c r="Q613" s="43"/>
      <c r="R613" s="82"/>
      <c r="S613" s="69"/>
      <c r="T613" s="82"/>
    </row>
    <row r="614" spans="2:20" x14ac:dyDescent="0.35">
      <c r="B614" s="41"/>
      <c r="C614" s="80"/>
      <c r="D614" s="81"/>
      <c r="E614" s="81"/>
      <c r="F614" s="81"/>
      <c r="G614" s="82"/>
      <c r="H614" s="69"/>
      <c r="I614" s="69"/>
      <c r="J614" s="82"/>
      <c r="K614" s="82"/>
      <c r="L614" s="43"/>
      <c r="M614" s="43"/>
      <c r="N614" s="82"/>
      <c r="O614" s="82"/>
      <c r="P614" s="43"/>
      <c r="Q614" s="43"/>
      <c r="R614" s="82"/>
      <c r="S614" s="69"/>
      <c r="T614" s="82"/>
    </row>
    <row r="615" spans="2:20" x14ac:dyDescent="0.35">
      <c r="B615" s="41"/>
      <c r="C615" s="80"/>
      <c r="D615" s="81"/>
      <c r="E615" s="81"/>
      <c r="F615" s="81"/>
      <c r="G615" s="82"/>
      <c r="H615" s="69"/>
      <c r="I615" s="69"/>
      <c r="J615" s="82"/>
      <c r="K615" s="82"/>
      <c r="L615" s="43"/>
      <c r="M615" s="43"/>
      <c r="N615" s="82"/>
      <c r="O615" s="82"/>
      <c r="P615" s="43"/>
      <c r="Q615" s="43"/>
      <c r="R615" s="82"/>
      <c r="S615" s="69"/>
      <c r="T615" s="82"/>
    </row>
    <row r="616" spans="2:20" x14ac:dyDescent="0.35">
      <c r="B616" s="41"/>
      <c r="C616" s="80"/>
      <c r="D616" s="81"/>
      <c r="E616" s="81"/>
      <c r="F616" s="81"/>
      <c r="G616" s="82"/>
      <c r="H616" s="69"/>
      <c r="I616" s="69"/>
      <c r="J616" s="82"/>
      <c r="K616" s="82"/>
      <c r="L616" s="43"/>
      <c r="M616" s="43"/>
      <c r="N616" s="82"/>
      <c r="O616" s="82"/>
      <c r="P616" s="43"/>
      <c r="Q616" s="43"/>
      <c r="R616" s="82"/>
      <c r="S616" s="69"/>
      <c r="T616" s="82"/>
    </row>
    <row r="617" spans="2:20" x14ac:dyDescent="0.35">
      <c r="B617" s="41"/>
      <c r="C617" s="80"/>
      <c r="D617" s="81"/>
      <c r="E617" s="81"/>
      <c r="F617" s="81"/>
      <c r="G617" s="82"/>
      <c r="H617" s="69"/>
      <c r="I617" s="69"/>
      <c r="J617" s="82"/>
      <c r="K617" s="82"/>
      <c r="L617" s="43"/>
      <c r="M617" s="43"/>
      <c r="N617" s="82"/>
      <c r="O617" s="82"/>
      <c r="P617" s="43"/>
      <c r="Q617" s="43"/>
      <c r="R617" s="82"/>
      <c r="S617" s="69"/>
      <c r="T617" s="82"/>
    </row>
    <row r="618" spans="2:20" x14ac:dyDescent="0.35">
      <c r="B618" s="41"/>
      <c r="C618" s="80"/>
      <c r="D618" s="81"/>
      <c r="E618" s="81"/>
      <c r="F618" s="81"/>
      <c r="G618" s="82"/>
      <c r="H618" s="69"/>
      <c r="I618" s="69"/>
      <c r="J618" s="82"/>
      <c r="K618" s="82"/>
      <c r="L618" s="43"/>
      <c r="M618" s="43"/>
      <c r="N618" s="82"/>
      <c r="O618" s="82"/>
      <c r="P618" s="43"/>
      <c r="Q618" s="43"/>
      <c r="R618" s="82"/>
      <c r="S618" s="69"/>
      <c r="T618" s="82"/>
    </row>
    <row r="619" spans="2:20" x14ac:dyDescent="0.35">
      <c r="B619" s="41"/>
      <c r="C619" s="80"/>
      <c r="D619" s="81"/>
      <c r="E619" s="81"/>
      <c r="F619" s="81"/>
      <c r="G619" s="82"/>
      <c r="H619" s="69"/>
      <c r="I619" s="69"/>
      <c r="J619" s="82"/>
      <c r="K619" s="82"/>
      <c r="L619" s="43"/>
      <c r="M619" s="43"/>
      <c r="N619" s="82"/>
      <c r="O619" s="82"/>
      <c r="P619" s="43"/>
      <c r="Q619" s="43"/>
      <c r="R619" s="82"/>
      <c r="S619" s="69"/>
      <c r="T619" s="82"/>
    </row>
    <row r="620" spans="2:20" x14ac:dyDescent="0.35">
      <c r="B620" s="41"/>
      <c r="C620" s="80"/>
      <c r="D620" s="81"/>
      <c r="E620" s="81"/>
      <c r="F620" s="81"/>
      <c r="G620" s="82"/>
      <c r="H620" s="69"/>
      <c r="I620" s="69"/>
      <c r="J620" s="82"/>
      <c r="K620" s="82"/>
      <c r="L620" s="43"/>
      <c r="M620" s="43"/>
      <c r="N620" s="82"/>
      <c r="O620" s="82"/>
      <c r="P620" s="43"/>
      <c r="Q620" s="43"/>
      <c r="R620" s="82"/>
      <c r="S620" s="69"/>
      <c r="T620" s="82"/>
    </row>
    <row r="621" spans="2:20" x14ac:dyDescent="0.35">
      <c r="B621" s="41"/>
      <c r="C621" s="80"/>
      <c r="D621" s="81"/>
      <c r="E621" s="81"/>
      <c r="F621" s="81"/>
      <c r="G621" s="82"/>
      <c r="H621" s="69"/>
      <c r="I621" s="69"/>
      <c r="J621" s="82"/>
      <c r="K621" s="82"/>
      <c r="L621" s="43"/>
      <c r="M621" s="43"/>
      <c r="N621" s="82"/>
      <c r="O621" s="82"/>
      <c r="P621" s="43"/>
      <c r="Q621" s="43"/>
      <c r="R621" s="82"/>
      <c r="S621" s="69"/>
      <c r="T621" s="82"/>
    </row>
    <row r="622" spans="2:20" x14ac:dyDescent="0.35">
      <c r="B622" s="41"/>
      <c r="C622" s="80"/>
      <c r="D622" s="81"/>
      <c r="E622" s="81"/>
      <c r="F622" s="81"/>
      <c r="G622" s="82"/>
      <c r="H622" s="69"/>
      <c r="I622" s="69"/>
      <c r="J622" s="82"/>
      <c r="K622" s="82"/>
      <c r="L622" s="43"/>
      <c r="M622" s="43"/>
      <c r="N622" s="82"/>
      <c r="O622" s="82"/>
      <c r="P622" s="43"/>
      <c r="Q622" s="43"/>
      <c r="R622" s="82"/>
      <c r="S622" s="69"/>
      <c r="T622" s="82"/>
    </row>
    <row r="623" spans="2:20" x14ac:dyDescent="0.35">
      <c r="B623" s="41"/>
      <c r="C623" s="80"/>
      <c r="D623" s="81"/>
      <c r="E623" s="81"/>
      <c r="F623" s="81"/>
      <c r="G623" s="82"/>
      <c r="H623" s="69"/>
      <c r="I623" s="69"/>
      <c r="J623" s="82"/>
      <c r="K623" s="82"/>
      <c r="L623" s="43"/>
      <c r="M623" s="43"/>
      <c r="N623" s="82"/>
      <c r="O623" s="82"/>
      <c r="P623" s="43"/>
      <c r="Q623" s="43"/>
      <c r="R623" s="82"/>
      <c r="S623" s="69"/>
      <c r="T623" s="82"/>
    </row>
    <row r="624" spans="2:20" x14ac:dyDescent="0.35">
      <c r="B624" s="41"/>
      <c r="C624" s="80"/>
      <c r="D624" s="81"/>
      <c r="E624" s="81"/>
      <c r="F624" s="81"/>
      <c r="G624" s="82"/>
      <c r="H624" s="69"/>
      <c r="I624" s="69"/>
      <c r="J624" s="82"/>
      <c r="K624" s="82"/>
      <c r="L624" s="43"/>
      <c r="M624" s="43"/>
      <c r="N624" s="82"/>
      <c r="O624" s="82"/>
      <c r="P624" s="43"/>
      <c r="Q624" s="43"/>
      <c r="R624" s="82"/>
      <c r="S624" s="69"/>
      <c r="T624" s="82"/>
    </row>
    <row r="625" spans="2:20" x14ac:dyDescent="0.35">
      <c r="B625" s="41"/>
      <c r="C625" s="80"/>
      <c r="D625" s="81"/>
      <c r="E625" s="81"/>
      <c r="F625" s="81"/>
      <c r="G625" s="82"/>
      <c r="H625" s="69"/>
      <c r="I625" s="69"/>
      <c r="J625" s="82"/>
      <c r="K625" s="82"/>
      <c r="L625" s="43"/>
      <c r="M625" s="43"/>
      <c r="N625" s="82"/>
      <c r="O625" s="82"/>
      <c r="P625" s="43"/>
      <c r="Q625" s="43"/>
      <c r="R625" s="82"/>
      <c r="S625" s="69"/>
      <c r="T625" s="82"/>
    </row>
    <row r="626" spans="2:20" x14ac:dyDescent="0.35">
      <c r="B626" s="41"/>
      <c r="C626" s="80"/>
      <c r="D626" s="81"/>
      <c r="E626" s="81"/>
      <c r="F626" s="81"/>
      <c r="G626" s="82"/>
      <c r="H626" s="69"/>
      <c r="I626" s="69"/>
      <c r="J626" s="82"/>
      <c r="K626" s="82"/>
      <c r="L626" s="43"/>
      <c r="M626" s="43"/>
      <c r="N626" s="82"/>
      <c r="O626" s="82"/>
      <c r="P626" s="43"/>
      <c r="Q626" s="43"/>
      <c r="R626" s="82"/>
      <c r="S626" s="69"/>
      <c r="T626" s="82"/>
    </row>
    <row r="627" spans="2:20" x14ac:dyDescent="0.35">
      <c r="B627" s="41"/>
      <c r="C627" s="80"/>
      <c r="D627" s="81"/>
      <c r="E627" s="81"/>
      <c r="F627" s="81"/>
      <c r="G627" s="82"/>
      <c r="H627" s="69"/>
      <c r="I627" s="69"/>
      <c r="J627" s="82"/>
      <c r="K627" s="82"/>
      <c r="L627" s="43"/>
      <c r="M627" s="43"/>
      <c r="N627" s="82"/>
      <c r="O627" s="82"/>
      <c r="P627" s="43"/>
      <c r="Q627" s="43"/>
      <c r="R627" s="82"/>
      <c r="S627" s="69"/>
      <c r="T627" s="82"/>
    </row>
    <row r="628" spans="2:20" x14ac:dyDescent="0.35">
      <c r="B628" s="41"/>
      <c r="C628" s="80"/>
      <c r="D628" s="81"/>
      <c r="E628" s="81"/>
      <c r="F628" s="81"/>
      <c r="G628" s="82"/>
      <c r="H628" s="69"/>
      <c r="I628" s="69"/>
      <c r="J628" s="82"/>
      <c r="K628" s="82"/>
      <c r="L628" s="43"/>
      <c r="M628" s="43"/>
      <c r="N628" s="82"/>
      <c r="O628" s="82"/>
      <c r="P628" s="43"/>
      <c r="Q628" s="43"/>
      <c r="R628" s="82"/>
      <c r="S628" s="69"/>
      <c r="T628" s="82"/>
    </row>
    <row r="629" spans="2:20" x14ac:dyDescent="0.35">
      <c r="B629" s="41"/>
      <c r="C629" s="80"/>
      <c r="D629" s="81"/>
      <c r="E629" s="81"/>
      <c r="F629" s="81"/>
      <c r="G629" s="82"/>
      <c r="H629" s="69"/>
      <c r="I629" s="69"/>
      <c r="J629" s="82"/>
      <c r="K629" s="82"/>
      <c r="L629" s="43"/>
      <c r="M629" s="43"/>
      <c r="N629" s="82"/>
      <c r="O629" s="82"/>
      <c r="P629" s="43"/>
      <c r="Q629" s="43"/>
      <c r="R629" s="82"/>
      <c r="S629" s="69"/>
      <c r="T629" s="82"/>
    </row>
    <row r="630" spans="2:20" x14ac:dyDescent="0.35">
      <c r="B630" s="41"/>
      <c r="C630" s="80"/>
      <c r="D630" s="81"/>
      <c r="E630" s="81"/>
      <c r="F630" s="81"/>
      <c r="G630" s="82"/>
      <c r="H630" s="69"/>
      <c r="I630" s="69"/>
      <c r="J630" s="82"/>
      <c r="K630" s="82"/>
      <c r="L630" s="43"/>
      <c r="M630" s="43"/>
      <c r="N630" s="82"/>
      <c r="O630" s="82"/>
      <c r="P630" s="43"/>
      <c r="Q630" s="43"/>
      <c r="R630" s="82"/>
      <c r="S630" s="69"/>
      <c r="T630" s="82"/>
    </row>
    <row r="631" spans="2:20" x14ac:dyDescent="0.35">
      <c r="B631" s="41"/>
      <c r="C631" s="80"/>
      <c r="D631" s="81"/>
      <c r="E631" s="81"/>
      <c r="F631" s="81"/>
      <c r="G631" s="82"/>
      <c r="H631" s="69"/>
      <c r="I631" s="69"/>
      <c r="J631" s="82"/>
      <c r="K631" s="82"/>
      <c r="L631" s="43"/>
      <c r="M631" s="43"/>
      <c r="N631" s="82"/>
      <c r="O631" s="82"/>
      <c r="P631" s="43"/>
      <c r="Q631" s="43"/>
      <c r="R631" s="82"/>
      <c r="S631" s="69"/>
      <c r="T631" s="82"/>
    </row>
    <row r="632" spans="2:20" x14ac:dyDescent="0.35">
      <c r="B632" s="41"/>
      <c r="C632" s="80"/>
      <c r="D632" s="81"/>
      <c r="E632" s="81"/>
      <c r="F632" s="81"/>
      <c r="G632" s="82"/>
      <c r="H632" s="69"/>
      <c r="I632" s="69"/>
      <c r="J632" s="82"/>
      <c r="K632" s="82"/>
      <c r="L632" s="43"/>
      <c r="M632" s="43"/>
      <c r="N632" s="82"/>
      <c r="O632" s="82"/>
      <c r="P632" s="43"/>
      <c r="Q632" s="43"/>
      <c r="R632" s="82"/>
      <c r="S632" s="69"/>
      <c r="T632" s="82"/>
    </row>
    <row r="633" spans="2:20" x14ac:dyDescent="0.35">
      <c r="B633" s="41"/>
      <c r="C633" s="80"/>
      <c r="D633" s="81"/>
      <c r="E633" s="81"/>
      <c r="F633" s="81"/>
      <c r="G633" s="82"/>
      <c r="H633" s="69"/>
      <c r="I633" s="69"/>
      <c r="J633" s="82"/>
      <c r="K633" s="82"/>
      <c r="L633" s="43"/>
      <c r="M633" s="43"/>
      <c r="N633" s="82"/>
      <c r="O633" s="82"/>
      <c r="P633" s="43"/>
      <c r="Q633" s="43"/>
      <c r="R633" s="82"/>
      <c r="S633" s="69"/>
      <c r="T633" s="82"/>
    </row>
    <row r="634" spans="2:20" x14ac:dyDescent="0.35">
      <c r="B634" s="41"/>
      <c r="C634" s="80"/>
      <c r="D634" s="81"/>
      <c r="E634" s="81"/>
      <c r="F634" s="81"/>
      <c r="G634" s="82"/>
      <c r="H634" s="69"/>
      <c r="I634" s="69"/>
      <c r="J634" s="82"/>
      <c r="K634" s="82"/>
      <c r="L634" s="43"/>
      <c r="M634" s="43"/>
      <c r="N634" s="82"/>
      <c r="O634" s="82"/>
      <c r="P634" s="43"/>
      <c r="Q634" s="43"/>
      <c r="R634" s="82"/>
      <c r="S634" s="69"/>
      <c r="T634" s="82"/>
    </row>
    <row r="635" spans="2:20" x14ac:dyDescent="0.35">
      <c r="B635" s="41"/>
      <c r="C635" s="80"/>
      <c r="D635" s="81"/>
      <c r="E635" s="81"/>
      <c r="F635" s="81"/>
      <c r="G635" s="82"/>
      <c r="H635" s="69"/>
      <c r="I635" s="69"/>
      <c r="J635" s="82"/>
      <c r="K635" s="82"/>
      <c r="L635" s="43"/>
      <c r="M635" s="43"/>
      <c r="N635" s="82"/>
      <c r="O635" s="82"/>
      <c r="P635" s="43"/>
      <c r="Q635" s="43"/>
      <c r="R635" s="82"/>
      <c r="S635" s="69"/>
      <c r="T635" s="82"/>
    </row>
    <row r="636" spans="2:20" x14ac:dyDescent="0.35">
      <c r="B636" s="41"/>
      <c r="C636" s="80"/>
      <c r="D636" s="81"/>
      <c r="E636" s="81"/>
      <c r="F636" s="81"/>
      <c r="G636" s="82"/>
      <c r="H636" s="69"/>
      <c r="I636" s="69"/>
      <c r="J636" s="82"/>
      <c r="K636" s="82"/>
      <c r="L636" s="43"/>
      <c r="M636" s="43"/>
      <c r="N636" s="82"/>
      <c r="O636" s="82"/>
      <c r="P636" s="43"/>
      <c r="Q636" s="43"/>
      <c r="R636" s="82"/>
      <c r="S636" s="69"/>
      <c r="T636" s="82"/>
    </row>
    <row r="637" spans="2:20" x14ac:dyDescent="0.35">
      <c r="B637" s="41"/>
      <c r="C637" s="80"/>
      <c r="D637" s="81"/>
      <c r="E637" s="81"/>
      <c r="F637" s="81"/>
      <c r="G637" s="82"/>
      <c r="H637" s="69"/>
      <c r="I637" s="69"/>
      <c r="J637" s="82"/>
      <c r="K637" s="82"/>
      <c r="L637" s="43"/>
      <c r="M637" s="43"/>
      <c r="N637" s="82"/>
      <c r="O637" s="82"/>
      <c r="P637" s="43"/>
      <c r="Q637" s="43"/>
      <c r="R637" s="82"/>
      <c r="S637" s="69"/>
      <c r="T637" s="82"/>
    </row>
    <row r="638" spans="2:20" x14ac:dyDescent="0.35">
      <c r="B638" s="41"/>
      <c r="C638" s="80"/>
      <c r="D638" s="81"/>
      <c r="E638" s="81"/>
      <c r="F638" s="81"/>
      <c r="G638" s="82"/>
      <c r="H638" s="69"/>
      <c r="I638" s="69"/>
      <c r="J638" s="82"/>
      <c r="K638" s="82"/>
      <c r="L638" s="43"/>
      <c r="M638" s="43"/>
      <c r="N638" s="82"/>
      <c r="O638" s="82"/>
      <c r="P638" s="43"/>
      <c r="Q638" s="43"/>
      <c r="R638" s="82"/>
      <c r="S638" s="69"/>
      <c r="T638" s="82"/>
    </row>
    <row r="639" spans="2:20" x14ac:dyDescent="0.35">
      <c r="B639" s="41"/>
      <c r="C639" s="80"/>
      <c r="D639" s="81"/>
      <c r="E639" s="81"/>
      <c r="F639" s="81"/>
      <c r="G639" s="82"/>
      <c r="H639" s="69"/>
      <c r="I639" s="69"/>
      <c r="J639" s="82"/>
      <c r="K639" s="82"/>
      <c r="L639" s="43"/>
      <c r="M639" s="43"/>
      <c r="N639" s="82"/>
      <c r="O639" s="82"/>
      <c r="P639" s="43"/>
      <c r="Q639" s="43"/>
      <c r="R639" s="82"/>
      <c r="S639" s="69"/>
      <c r="T639" s="82"/>
    </row>
    <row r="640" spans="2:20" x14ac:dyDescent="0.35">
      <c r="B640" s="41"/>
      <c r="C640" s="80"/>
      <c r="D640" s="81"/>
      <c r="E640" s="81"/>
      <c r="F640" s="81"/>
      <c r="G640" s="82"/>
      <c r="H640" s="69"/>
      <c r="I640" s="69"/>
      <c r="J640" s="82"/>
      <c r="K640" s="82"/>
      <c r="L640" s="43"/>
      <c r="M640" s="43"/>
      <c r="N640" s="82"/>
      <c r="O640" s="82"/>
      <c r="P640" s="43"/>
      <c r="Q640" s="43"/>
      <c r="R640" s="82"/>
      <c r="S640" s="69"/>
      <c r="T640" s="82"/>
    </row>
    <row r="641" spans="2:20" x14ac:dyDescent="0.35">
      <c r="B641" s="41"/>
      <c r="C641" s="80"/>
      <c r="D641" s="81"/>
      <c r="E641" s="81"/>
      <c r="F641" s="81"/>
      <c r="G641" s="82"/>
      <c r="H641" s="69"/>
      <c r="I641" s="69"/>
      <c r="J641" s="82"/>
      <c r="K641" s="82"/>
      <c r="L641" s="43"/>
      <c r="M641" s="43"/>
      <c r="N641" s="82"/>
      <c r="O641" s="82"/>
      <c r="P641" s="43"/>
      <c r="Q641" s="43"/>
      <c r="R641" s="82"/>
      <c r="S641" s="69"/>
      <c r="T641" s="82"/>
    </row>
    <row r="642" spans="2:20" x14ac:dyDescent="0.35">
      <c r="B642" s="41"/>
      <c r="C642" s="80"/>
      <c r="D642" s="81"/>
      <c r="E642" s="81"/>
      <c r="F642" s="81"/>
      <c r="G642" s="82"/>
      <c r="H642" s="69"/>
      <c r="I642" s="69"/>
      <c r="J642" s="82"/>
      <c r="K642" s="82"/>
      <c r="L642" s="43"/>
      <c r="M642" s="43"/>
      <c r="N642" s="82"/>
      <c r="O642" s="82"/>
      <c r="P642" s="43"/>
      <c r="Q642" s="43"/>
      <c r="R642" s="82"/>
      <c r="S642" s="69"/>
      <c r="T642" s="82"/>
    </row>
    <row r="643" spans="2:20" x14ac:dyDescent="0.35">
      <c r="B643" s="41"/>
      <c r="C643" s="80"/>
      <c r="D643" s="81"/>
      <c r="E643" s="81"/>
      <c r="F643" s="81"/>
      <c r="G643" s="82"/>
      <c r="H643" s="69"/>
      <c r="I643" s="69"/>
      <c r="J643" s="82"/>
      <c r="K643" s="82"/>
      <c r="L643" s="43"/>
      <c r="M643" s="43"/>
      <c r="N643" s="82"/>
      <c r="O643" s="82"/>
      <c r="P643" s="43"/>
      <c r="Q643" s="43"/>
      <c r="R643" s="82"/>
      <c r="S643" s="69"/>
      <c r="T643" s="82"/>
    </row>
    <row r="644" spans="2:20" x14ac:dyDescent="0.35">
      <c r="B644" s="41"/>
      <c r="C644" s="80"/>
      <c r="D644" s="81"/>
      <c r="E644" s="81"/>
      <c r="F644" s="81"/>
      <c r="G644" s="82"/>
      <c r="H644" s="69"/>
      <c r="I644" s="69"/>
      <c r="J644" s="82"/>
      <c r="K644" s="82"/>
      <c r="L644" s="43"/>
      <c r="M644" s="43"/>
      <c r="N644" s="82"/>
      <c r="O644" s="82"/>
      <c r="P644" s="43"/>
      <c r="Q644" s="43"/>
      <c r="R644" s="82"/>
      <c r="S644" s="69"/>
      <c r="T644" s="82"/>
    </row>
    <row r="645" spans="2:20" x14ac:dyDescent="0.35">
      <c r="B645" s="41"/>
      <c r="C645" s="80"/>
      <c r="D645" s="81"/>
      <c r="E645" s="81"/>
      <c r="F645" s="81"/>
      <c r="G645" s="82"/>
      <c r="H645" s="69"/>
      <c r="I645" s="69"/>
      <c r="J645" s="82"/>
      <c r="K645" s="82"/>
      <c r="L645" s="43"/>
      <c r="M645" s="43"/>
      <c r="N645" s="82"/>
      <c r="O645" s="82"/>
      <c r="P645" s="43"/>
      <c r="Q645" s="43"/>
      <c r="R645" s="82"/>
      <c r="S645" s="69"/>
      <c r="T645" s="82"/>
    </row>
    <row r="646" spans="2:20" x14ac:dyDescent="0.35">
      <c r="B646" s="41"/>
      <c r="C646" s="80"/>
      <c r="D646" s="81"/>
      <c r="E646" s="81"/>
      <c r="F646" s="81"/>
      <c r="G646" s="82"/>
      <c r="H646" s="69"/>
      <c r="I646" s="69"/>
      <c r="J646" s="82"/>
      <c r="K646" s="82"/>
      <c r="L646" s="43"/>
      <c r="M646" s="43"/>
      <c r="N646" s="82"/>
      <c r="O646" s="82"/>
      <c r="P646" s="43"/>
      <c r="Q646" s="43"/>
      <c r="R646" s="82"/>
      <c r="S646" s="69"/>
      <c r="T646" s="82"/>
    </row>
    <row r="647" spans="2:20" x14ac:dyDescent="0.35">
      <c r="B647" s="41"/>
      <c r="C647" s="80"/>
      <c r="D647" s="81"/>
      <c r="E647" s="81"/>
      <c r="F647" s="81"/>
      <c r="G647" s="82"/>
      <c r="H647" s="69"/>
      <c r="I647" s="69"/>
      <c r="J647" s="82"/>
      <c r="K647" s="82"/>
      <c r="L647" s="43"/>
      <c r="M647" s="43"/>
      <c r="N647" s="82"/>
      <c r="O647" s="82"/>
      <c r="P647" s="43"/>
      <c r="Q647" s="43"/>
      <c r="R647" s="82"/>
      <c r="S647" s="69"/>
      <c r="T647" s="82"/>
    </row>
    <row r="648" spans="2:20" x14ac:dyDescent="0.35">
      <c r="B648" s="41"/>
      <c r="C648" s="80"/>
      <c r="D648" s="81"/>
      <c r="E648" s="81"/>
      <c r="F648" s="81"/>
      <c r="G648" s="82"/>
      <c r="H648" s="69"/>
      <c r="I648" s="69"/>
      <c r="J648" s="82"/>
      <c r="K648" s="82"/>
      <c r="L648" s="43"/>
      <c r="M648" s="43"/>
      <c r="N648" s="82"/>
      <c r="O648" s="82"/>
      <c r="P648" s="43"/>
      <c r="Q648" s="43"/>
      <c r="R648" s="82"/>
      <c r="S648" s="69"/>
      <c r="T648" s="82"/>
    </row>
    <row r="649" spans="2:20" x14ac:dyDescent="0.35">
      <c r="B649" s="41"/>
      <c r="C649" s="80"/>
      <c r="D649" s="81"/>
      <c r="E649" s="81"/>
      <c r="F649" s="81"/>
      <c r="G649" s="82"/>
      <c r="H649" s="69"/>
      <c r="I649" s="69"/>
      <c r="J649" s="82"/>
      <c r="K649" s="82"/>
      <c r="L649" s="43"/>
      <c r="M649" s="43"/>
      <c r="N649" s="82"/>
      <c r="O649" s="82"/>
      <c r="P649" s="43"/>
      <c r="Q649" s="43"/>
      <c r="R649" s="82"/>
      <c r="S649" s="69"/>
      <c r="T649" s="82"/>
    </row>
    <row r="650" spans="2:20" x14ac:dyDescent="0.35">
      <c r="B650" s="41"/>
      <c r="C650" s="80"/>
      <c r="D650" s="81"/>
      <c r="E650" s="81"/>
      <c r="F650" s="81"/>
      <c r="G650" s="82"/>
      <c r="H650" s="69"/>
      <c r="I650" s="69"/>
      <c r="J650" s="82"/>
      <c r="K650" s="82"/>
      <c r="L650" s="43"/>
      <c r="M650" s="43"/>
      <c r="N650" s="82"/>
      <c r="O650" s="82"/>
      <c r="P650" s="43"/>
      <c r="Q650" s="43"/>
      <c r="R650" s="82"/>
      <c r="S650" s="69"/>
      <c r="T650" s="82"/>
    </row>
    <row r="651" spans="2:20" x14ac:dyDescent="0.35">
      <c r="B651" s="41"/>
      <c r="C651" s="80"/>
      <c r="D651" s="81"/>
      <c r="E651" s="81"/>
      <c r="F651" s="81"/>
      <c r="G651" s="82"/>
      <c r="H651" s="69"/>
      <c r="I651" s="69"/>
      <c r="J651" s="82"/>
      <c r="K651" s="82"/>
      <c r="L651" s="43"/>
      <c r="M651" s="43"/>
      <c r="N651" s="82"/>
      <c r="O651" s="82"/>
      <c r="P651" s="43"/>
      <c r="Q651" s="43"/>
      <c r="R651" s="82"/>
      <c r="S651" s="69"/>
      <c r="T651" s="82"/>
    </row>
    <row r="652" spans="2:20" x14ac:dyDescent="0.35">
      <c r="B652" s="41"/>
      <c r="C652" s="80"/>
      <c r="D652" s="81"/>
      <c r="E652" s="81"/>
      <c r="F652" s="81"/>
      <c r="G652" s="82"/>
      <c r="H652" s="69"/>
      <c r="I652" s="69"/>
      <c r="J652" s="82"/>
      <c r="K652" s="82"/>
      <c r="L652" s="43"/>
      <c r="M652" s="43"/>
      <c r="N652" s="82"/>
      <c r="O652" s="82"/>
      <c r="P652" s="43"/>
      <c r="Q652" s="43"/>
      <c r="R652" s="82"/>
      <c r="S652" s="69"/>
      <c r="T652" s="82"/>
    </row>
    <row r="653" spans="2:20" x14ac:dyDescent="0.35">
      <c r="B653" s="41"/>
      <c r="C653" s="80"/>
      <c r="D653" s="81"/>
      <c r="E653" s="81"/>
      <c r="F653" s="81"/>
      <c r="G653" s="82"/>
      <c r="H653" s="69"/>
      <c r="I653" s="69"/>
      <c r="J653" s="82"/>
      <c r="K653" s="82"/>
      <c r="L653" s="43"/>
      <c r="M653" s="43"/>
      <c r="N653" s="82"/>
      <c r="O653" s="82"/>
      <c r="P653" s="43"/>
      <c r="Q653" s="43"/>
      <c r="R653" s="82"/>
      <c r="S653" s="69"/>
      <c r="T653" s="82"/>
    </row>
    <row r="654" spans="2:20" x14ac:dyDescent="0.35">
      <c r="B654" s="41"/>
      <c r="C654" s="80"/>
      <c r="D654" s="81"/>
      <c r="E654" s="81"/>
      <c r="F654" s="81"/>
      <c r="G654" s="82"/>
      <c r="H654" s="69"/>
      <c r="I654" s="69"/>
      <c r="J654" s="82"/>
      <c r="K654" s="82"/>
      <c r="L654" s="43"/>
      <c r="M654" s="43"/>
      <c r="N654" s="82"/>
      <c r="O654" s="82"/>
      <c r="P654" s="43"/>
      <c r="Q654" s="43"/>
      <c r="R654" s="82"/>
      <c r="S654" s="69"/>
      <c r="T654" s="82"/>
    </row>
    <row r="655" spans="2:20" x14ac:dyDescent="0.35">
      <c r="B655" s="41"/>
      <c r="C655" s="80"/>
      <c r="D655" s="81"/>
      <c r="E655" s="81"/>
      <c r="F655" s="81"/>
      <c r="G655" s="82"/>
      <c r="H655" s="69"/>
      <c r="I655" s="69"/>
      <c r="J655" s="82"/>
      <c r="K655" s="82"/>
      <c r="L655" s="43"/>
      <c r="M655" s="43"/>
      <c r="N655" s="82"/>
      <c r="O655" s="82"/>
      <c r="P655" s="43"/>
      <c r="Q655" s="43"/>
      <c r="R655" s="82"/>
      <c r="S655" s="69"/>
      <c r="T655" s="82"/>
    </row>
    <row r="656" spans="2:20" x14ac:dyDescent="0.35">
      <c r="B656" s="41"/>
      <c r="C656" s="80"/>
      <c r="D656" s="81"/>
      <c r="E656" s="81"/>
      <c r="F656" s="81"/>
      <c r="G656" s="82"/>
      <c r="H656" s="69"/>
      <c r="I656" s="69"/>
      <c r="J656" s="82"/>
      <c r="K656" s="82"/>
      <c r="L656" s="43"/>
      <c r="M656" s="43"/>
      <c r="N656" s="82"/>
      <c r="O656" s="82"/>
      <c r="P656" s="43"/>
      <c r="Q656" s="43"/>
      <c r="R656" s="82"/>
      <c r="S656" s="69"/>
      <c r="T656" s="82"/>
    </row>
    <row r="657" spans="2:20" x14ac:dyDescent="0.35">
      <c r="B657" s="41"/>
      <c r="C657" s="80"/>
      <c r="D657" s="81"/>
      <c r="E657" s="81"/>
      <c r="F657" s="81"/>
      <c r="G657" s="82"/>
      <c r="H657" s="69"/>
      <c r="I657" s="69"/>
      <c r="J657" s="82"/>
      <c r="K657" s="82"/>
      <c r="L657" s="43"/>
      <c r="M657" s="43"/>
      <c r="N657" s="82"/>
      <c r="O657" s="82"/>
      <c r="P657" s="43"/>
      <c r="Q657" s="43"/>
      <c r="R657" s="82"/>
      <c r="S657" s="69"/>
      <c r="T657" s="82"/>
    </row>
    <row r="658" spans="2:20" x14ac:dyDescent="0.35">
      <c r="B658" s="41"/>
      <c r="C658" s="80"/>
      <c r="D658" s="81"/>
      <c r="E658" s="81"/>
      <c r="F658" s="81"/>
      <c r="G658" s="82"/>
      <c r="H658" s="69"/>
      <c r="I658" s="69"/>
      <c r="J658" s="82"/>
      <c r="K658" s="82"/>
      <c r="L658" s="43"/>
      <c r="M658" s="43"/>
      <c r="N658" s="82"/>
      <c r="O658" s="82"/>
      <c r="P658" s="43"/>
      <c r="Q658" s="43"/>
      <c r="R658" s="82"/>
      <c r="S658" s="69"/>
      <c r="T658" s="82"/>
    </row>
    <row r="659" spans="2:20" x14ac:dyDescent="0.35">
      <c r="B659" s="41"/>
      <c r="C659" s="80"/>
      <c r="D659" s="81"/>
      <c r="E659" s="81"/>
      <c r="F659" s="81"/>
      <c r="G659" s="82"/>
      <c r="H659" s="69"/>
      <c r="I659" s="69"/>
      <c r="J659" s="82"/>
      <c r="K659" s="82"/>
      <c r="L659" s="43"/>
      <c r="M659" s="43"/>
      <c r="N659" s="82"/>
      <c r="O659" s="82"/>
      <c r="P659" s="43"/>
      <c r="Q659" s="43"/>
      <c r="R659" s="82"/>
      <c r="S659" s="69"/>
      <c r="T659" s="82"/>
    </row>
    <row r="660" spans="2:20" x14ac:dyDescent="0.35">
      <c r="B660" s="41"/>
      <c r="C660" s="80"/>
      <c r="D660" s="81"/>
      <c r="E660" s="81"/>
      <c r="F660" s="81"/>
      <c r="G660" s="82"/>
      <c r="H660" s="69"/>
      <c r="I660" s="69"/>
      <c r="J660" s="82"/>
      <c r="K660" s="82"/>
      <c r="L660" s="43"/>
      <c r="M660" s="43"/>
      <c r="N660" s="82"/>
      <c r="O660" s="82"/>
      <c r="P660" s="43"/>
      <c r="Q660" s="43"/>
      <c r="R660" s="82"/>
      <c r="S660" s="69"/>
      <c r="T660" s="82"/>
    </row>
    <row r="661" spans="2:20" x14ac:dyDescent="0.35">
      <c r="B661" s="41"/>
      <c r="C661" s="80"/>
      <c r="D661" s="81"/>
      <c r="E661" s="81"/>
      <c r="F661" s="81"/>
      <c r="G661" s="82"/>
      <c r="H661" s="69"/>
      <c r="I661" s="69"/>
      <c r="J661" s="82"/>
      <c r="K661" s="82"/>
      <c r="L661" s="43"/>
      <c r="M661" s="43"/>
      <c r="N661" s="82"/>
      <c r="O661" s="82"/>
      <c r="P661" s="43"/>
      <c r="Q661" s="43"/>
      <c r="R661" s="82"/>
      <c r="S661" s="69"/>
      <c r="T661" s="82"/>
    </row>
    <row r="662" spans="2:20" x14ac:dyDescent="0.35">
      <c r="B662" s="41"/>
      <c r="C662" s="80"/>
      <c r="D662" s="81"/>
      <c r="E662" s="81"/>
      <c r="F662" s="81"/>
      <c r="G662" s="82"/>
      <c r="H662" s="69"/>
      <c r="I662" s="69"/>
      <c r="J662" s="82"/>
      <c r="K662" s="82"/>
      <c r="L662" s="43"/>
      <c r="M662" s="43"/>
      <c r="N662" s="82"/>
      <c r="O662" s="82"/>
      <c r="P662" s="43"/>
      <c r="Q662" s="43"/>
      <c r="R662" s="82"/>
      <c r="S662" s="69"/>
      <c r="T662" s="82"/>
    </row>
    <row r="663" spans="2:20" x14ac:dyDescent="0.35">
      <c r="B663" s="41"/>
      <c r="C663" s="80"/>
      <c r="D663" s="81"/>
      <c r="E663" s="81"/>
      <c r="F663" s="81"/>
      <c r="G663" s="82"/>
      <c r="H663" s="69"/>
      <c r="I663" s="69"/>
      <c r="J663" s="82"/>
      <c r="K663" s="82"/>
      <c r="L663" s="43"/>
      <c r="M663" s="43"/>
      <c r="N663" s="82"/>
      <c r="O663" s="82"/>
      <c r="P663" s="43"/>
      <c r="Q663" s="43"/>
      <c r="R663" s="82"/>
      <c r="S663" s="69"/>
      <c r="T663" s="82"/>
    </row>
    <row r="664" spans="2:20" x14ac:dyDescent="0.35">
      <c r="B664" s="41"/>
      <c r="C664" s="80"/>
      <c r="D664" s="81"/>
      <c r="E664" s="81"/>
      <c r="F664" s="81"/>
      <c r="G664" s="82"/>
      <c r="H664" s="69"/>
      <c r="I664" s="69"/>
      <c r="J664" s="82"/>
      <c r="K664" s="82"/>
      <c r="L664" s="43"/>
      <c r="M664" s="43"/>
      <c r="N664" s="82"/>
      <c r="O664" s="82"/>
      <c r="P664" s="43"/>
      <c r="Q664" s="43"/>
      <c r="R664" s="82"/>
      <c r="S664" s="69"/>
      <c r="T664" s="82"/>
    </row>
    <row r="665" spans="2:20" x14ac:dyDescent="0.35">
      <c r="B665" s="41"/>
      <c r="C665" s="80"/>
      <c r="D665" s="81"/>
      <c r="E665" s="81"/>
      <c r="F665" s="81"/>
      <c r="G665" s="82"/>
      <c r="H665" s="69"/>
      <c r="I665" s="69"/>
      <c r="J665" s="82"/>
      <c r="K665" s="82"/>
      <c r="L665" s="43"/>
      <c r="M665" s="43"/>
      <c r="N665" s="82"/>
      <c r="O665" s="82"/>
      <c r="P665" s="43"/>
      <c r="Q665" s="43"/>
      <c r="R665" s="82"/>
      <c r="S665" s="69"/>
      <c r="T665" s="82"/>
    </row>
    <row r="666" spans="2:20" x14ac:dyDescent="0.35">
      <c r="B666" s="41"/>
      <c r="C666" s="80"/>
      <c r="D666" s="81"/>
      <c r="E666" s="81"/>
      <c r="F666" s="81"/>
      <c r="G666" s="82"/>
      <c r="H666" s="69"/>
      <c r="I666" s="69"/>
      <c r="J666" s="82"/>
      <c r="K666" s="82"/>
      <c r="L666" s="43"/>
      <c r="M666" s="43"/>
      <c r="N666" s="82"/>
      <c r="O666" s="82"/>
      <c r="P666" s="43"/>
      <c r="Q666" s="43"/>
      <c r="R666" s="82"/>
      <c r="S666" s="69"/>
      <c r="T666" s="82"/>
    </row>
    <row r="667" spans="2:20" x14ac:dyDescent="0.35">
      <c r="B667" s="41"/>
      <c r="C667" s="80"/>
      <c r="D667" s="81"/>
      <c r="E667" s="81"/>
      <c r="F667" s="81"/>
      <c r="G667" s="82"/>
      <c r="H667" s="69"/>
      <c r="I667" s="69"/>
      <c r="J667" s="82"/>
      <c r="K667" s="82"/>
      <c r="L667" s="43"/>
      <c r="M667" s="43"/>
      <c r="N667" s="82"/>
      <c r="O667" s="82"/>
      <c r="P667" s="43"/>
      <c r="Q667" s="43"/>
      <c r="R667" s="82"/>
      <c r="S667" s="69"/>
      <c r="T667" s="82"/>
    </row>
    <row r="668" spans="2:20" x14ac:dyDescent="0.35">
      <c r="B668" s="41"/>
      <c r="C668" s="80"/>
      <c r="D668" s="81"/>
      <c r="E668" s="81"/>
      <c r="F668" s="81"/>
      <c r="G668" s="82"/>
      <c r="H668" s="69"/>
      <c r="I668" s="69"/>
      <c r="J668" s="82"/>
      <c r="K668" s="82"/>
      <c r="L668" s="43"/>
      <c r="M668" s="43"/>
      <c r="N668" s="82"/>
      <c r="O668" s="82"/>
      <c r="P668" s="43"/>
      <c r="Q668" s="43"/>
      <c r="R668" s="82"/>
      <c r="S668" s="69"/>
      <c r="T668" s="82"/>
    </row>
    <row r="669" spans="2:20" x14ac:dyDescent="0.35">
      <c r="B669" s="41"/>
      <c r="C669" s="80"/>
      <c r="D669" s="81"/>
      <c r="E669" s="81"/>
      <c r="F669" s="81"/>
      <c r="G669" s="82"/>
      <c r="H669" s="69"/>
      <c r="I669" s="69"/>
      <c r="J669" s="82"/>
      <c r="K669" s="82"/>
      <c r="L669" s="43"/>
      <c r="M669" s="43"/>
      <c r="N669" s="82"/>
      <c r="O669" s="82"/>
      <c r="P669" s="43"/>
      <c r="Q669" s="43"/>
      <c r="R669" s="82"/>
      <c r="S669" s="69"/>
      <c r="T669" s="82"/>
    </row>
    <row r="670" spans="2:20" x14ac:dyDescent="0.35">
      <c r="B670" s="41"/>
      <c r="C670" s="80"/>
      <c r="D670" s="81"/>
      <c r="E670" s="81"/>
      <c r="F670" s="81"/>
      <c r="G670" s="82"/>
      <c r="H670" s="69"/>
      <c r="I670" s="69"/>
      <c r="J670" s="82"/>
      <c r="K670" s="82"/>
      <c r="L670" s="43"/>
      <c r="M670" s="43"/>
      <c r="N670" s="82"/>
      <c r="O670" s="82"/>
      <c r="P670" s="43"/>
      <c r="Q670" s="43"/>
      <c r="R670" s="82"/>
      <c r="S670" s="69"/>
      <c r="T670" s="82"/>
    </row>
    <row r="671" spans="2:20" x14ac:dyDescent="0.35">
      <c r="B671" s="41"/>
      <c r="C671" s="80"/>
      <c r="D671" s="81"/>
      <c r="E671" s="81"/>
      <c r="F671" s="81"/>
      <c r="G671" s="82"/>
      <c r="H671" s="69"/>
      <c r="I671" s="69"/>
      <c r="J671" s="82"/>
      <c r="K671" s="82"/>
      <c r="L671" s="43"/>
      <c r="M671" s="43"/>
      <c r="N671" s="82"/>
      <c r="O671" s="82"/>
      <c r="P671" s="43"/>
      <c r="Q671" s="43"/>
      <c r="R671" s="82"/>
      <c r="S671" s="69"/>
      <c r="T671" s="82"/>
    </row>
    <row r="672" spans="2:20" x14ac:dyDescent="0.35">
      <c r="B672" s="41"/>
      <c r="C672" s="80"/>
      <c r="D672" s="81"/>
      <c r="E672" s="81"/>
      <c r="F672" s="81"/>
      <c r="G672" s="82"/>
      <c r="H672" s="69"/>
      <c r="I672" s="69"/>
      <c r="J672" s="82"/>
      <c r="K672" s="82"/>
      <c r="L672" s="43"/>
      <c r="M672" s="43"/>
      <c r="N672" s="82"/>
      <c r="O672" s="82"/>
      <c r="P672" s="43"/>
      <c r="Q672" s="43"/>
      <c r="R672" s="82"/>
      <c r="S672" s="69"/>
      <c r="T672" s="82"/>
    </row>
    <row r="673" spans="2:20" x14ac:dyDescent="0.35">
      <c r="B673" s="41"/>
      <c r="C673" s="80"/>
      <c r="D673" s="81"/>
      <c r="E673" s="81"/>
      <c r="F673" s="81"/>
      <c r="G673" s="82"/>
      <c r="H673" s="69"/>
      <c r="I673" s="69"/>
      <c r="J673" s="82"/>
      <c r="K673" s="82"/>
      <c r="L673" s="43"/>
      <c r="M673" s="43"/>
      <c r="N673" s="82"/>
      <c r="O673" s="82"/>
      <c r="P673" s="43"/>
      <c r="Q673" s="43"/>
      <c r="R673" s="82"/>
      <c r="S673" s="69"/>
      <c r="T673" s="82"/>
    </row>
    <row r="674" spans="2:20" x14ac:dyDescent="0.35">
      <c r="B674" s="41"/>
      <c r="C674" s="80"/>
      <c r="D674" s="81"/>
      <c r="E674" s="81"/>
      <c r="F674" s="81"/>
      <c r="G674" s="82"/>
      <c r="H674" s="69"/>
      <c r="I674" s="69"/>
      <c r="J674" s="82"/>
      <c r="K674" s="82"/>
      <c r="L674" s="43"/>
      <c r="M674" s="43"/>
      <c r="N674" s="82"/>
      <c r="O674" s="82"/>
      <c r="P674" s="43"/>
      <c r="Q674" s="43"/>
      <c r="R674" s="82"/>
      <c r="S674" s="69"/>
      <c r="T674" s="82"/>
    </row>
    <row r="675" spans="2:20" x14ac:dyDescent="0.35">
      <c r="B675" s="41"/>
      <c r="C675" s="80"/>
      <c r="D675" s="81"/>
      <c r="E675" s="81"/>
      <c r="F675" s="81"/>
      <c r="G675" s="82"/>
      <c r="H675" s="69"/>
      <c r="I675" s="69"/>
      <c r="J675" s="82"/>
      <c r="K675" s="82"/>
      <c r="L675" s="43"/>
      <c r="M675" s="43"/>
      <c r="N675" s="82"/>
      <c r="O675" s="82"/>
      <c r="P675" s="43"/>
      <c r="Q675" s="43"/>
      <c r="R675" s="82"/>
      <c r="S675" s="69"/>
      <c r="T675" s="82"/>
    </row>
    <row r="676" spans="2:20" x14ac:dyDescent="0.35">
      <c r="B676" s="41"/>
      <c r="C676" s="80"/>
      <c r="D676" s="81"/>
      <c r="E676" s="81"/>
      <c r="F676" s="81"/>
      <c r="G676" s="82"/>
      <c r="H676" s="69"/>
      <c r="I676" s="69"/>
      <c r="J676" s="82"/>
      <c r="K676" s="82"/>
      <c r="L676" s="43"/>
      <c r="M676" s="43"/>
      <c r="N676" s="82"/>
      <c r="O676" s="82"/>
      <c r="P676" s="43"/>
      <c r="Q676" s="43"/>
      <c r="R676" s="82"/>
      <c r="S676" s="69"/>
      <c r="T676" s="82"/>
    </row>
    <row r="677" spans="2:20" x14ac:dyDescent="0.35">
      <c r="B677" s="41"/>
      <c r="C677" s="80"/>
      <c r="D677" s="81"/>
      <c r="E677" s="81"/>
      <c r="F677" s="81"/>
      <c r="G677" s="82"/>
      <c r="H677" s="69"/>
      <c r="I677" s="69"/>
      <c r="J677" s="82"/>
      <c r="K677" s="82"/>
      <c r="L677" s="43"/>
      <c r="M677" s="43"/>
      <c r="N677" s="82"/>
      <c r="O677" s="82"/>
      <c r="P677" s="43"/>
      <c r="Q677" s="43"/>
      <c r="R677" s="82"/>
      <c r="S677" s="69"/>
      <c r="T677" s="82"/>
    </row>
    <row r="678" spans="2:20" x14ac:dyDescent="0.35">
      <c r="B678" s="41"/>
      <c r="C678" s="80"/>
      <c r="D678" s="81"/>
      <c r="E678" s="81"/>
      <c r="F678" s="81"/>
      <c r="G678" s="82"/>
      <c r="H678" s="69"/>
      <c r="I678" s="69"/>
      <c r="J678" s="82"/>
      <c r="K678" s="82"/>
      <c r="L678" s="43"/>
      <c r="M678" s="43"/>
      <c r="N678" s="82"/>
      <c r="O678" s="82"/>
      <c r="P678" s="43"/>
      <c r="Q678" s="43"/>
      <c r="R678" s="82"/>
      <c r="S678" s="69"/>
      <c r="T678" s="82"/>
    </row>
    <row r="679" spans="2:20" x14ac:dyDescent="0.35">
      <c r="B679" s="41"/>
      <c r="C679" s="80"/>
      <c r="D679" s="81"/>
      <c r="E679" s="81"/>
      <c r="F679" s="81"/>
      <c r="G679" s="82"/>
      <c r="H679" s="69"/>
      <c r="I679" s="69"/>
      <c r="J679" s="82"/>
      <c r="K679" s="82"/>
      <c r="L679" s="43"/>
      <c r="M679" s="43"/>
      <c r="N679" s="82"/>
      <c r="O679" s="82"/>
      <c r="P679" s="43"/>
      <c r="Q679" s="43"/>
      <c r="R679" s="82"/>
      <c r="S679" s="69"/>
      <c r="T679" s="82"/>
    </row>
    <row r="680" spans="2:20" x14ac:dyDescent="0.35">
      <c r="B680" s="41"/>
      <c r="C680" s="80"/>
      <c r="D680" s="81"/>
      <c r="E680" s="81"/>
      <c r="F680" s="81"/>
      <c r="G680" s="82"/>
      <c r="H680" s="69"/>
      <c r="I680" s="69"/>
      <c r="J680" s="82"/>
      <c r="K680" s="82"/>
      <c r="L680" s="43"/>
      <c r="M680" s="43"/>
      <c r="N680" s="82"/>
      <c r="O680" s="82"/>
      <c r="P680" s="43"/>
      <c r="Q680" s="43"/>
      <c r="R680" s="82"/>
      <c r="S680" s="69"/>
      <c r="T680" s="82"/>
    </row>
    <row r="681" spans="2:20" x14ac:dyDescent="0.35">
      <c r="B681" s="41"/>
      <c r="C681" s="80"/>
      <c r="D681" s="81"/>
      <c r="E681" s="81"/>
      <c r="F681" s="81"/>
      <c r="G681" s="82"/>
      <c r="H681" s="69"/>
      <c r="I681" s="69"/>
      <c r="J681" s="82"/>
      <c r="K681" s="82"/>
      <c r="L681" s="43"/>
      <c r="M681" s="43"/>
      <c r="N681" s="82"/>
      <c r="O681" s="82"/>
      <c r="P681" s="43"/>
      <c r="Q681" s="43"/>
      <c r="R681" s="82"/>
      <c r="S681" s="69"/>
      <c r="T681" s="82"/>
    </row>
    <row r="682" spans="2:20" x14ac:dyDescent="0.35">
      <c r="B682" s="41"/>
      <c r="C682" s="80"/>
      <c r="D682" s="81"/>
      <c r="E682" s="81"/>
      <c r="F682" s="81"/>
      <c r="G682" s="82"/>
      <c r="H682" s="69"/>
      <c r="I682" s="69"/>
      <c r="J682" s="82"/>
      <c r="K682" s="82"/>
      <c r="L682" s="43"/>
      <c r="M682" s="43"/>
      <c r="N682" s="82"/>
      <c r="O682" s="82"/>
      <c r="P682" s="43"/>
      <c r="Q682" s="43"/>
      <c r="R682" s="82"/>
      <c r="S682" s="69"/>
      <c r="T682" s="82"/>
    </row>
    <row r="683" spans="2:20" x14ac:dyDescent="0.35">
      <c r="B683" s="41"/>
      <c r="C683" s="80"/>
      <c r="D683" s="81"/>
      <c r="E683" s="81"/>
      <c r="F683" s="81"/>
      <c r="G683" s="82"/>
      <c r="H683" s="69"/>
      <c r="I683" s="69"/>
      <c r="J683" s="82"/>
      <c r="K683" s="82"/>
      <c r="L683" s="43"/>
      <c r="M683" s="43"/>
      <c r="N683" s="82"/>
      <c r="O683" s="82"/>
      <c r="P683" s="43"/>
      <c r="Q683" s="43"/>
      <c r="R683" s="82"/>
      <c r="S683" s="69"/>
      <c r="T683" s="82"/>
    </row>
    <row r="684" spans="2:20" x14ac:dyDescent="0.35">
      <c r="B684" s="41"/>
      <c r="C684" s="80"/>
      <c r="D684" s="81"/>
      <c r="E684" s="81"/>
      <c r="F684" s="81"/>
      <c r="G684" s="82"/>
      <c r="H684" s="69"/>
      <c r="I684" s="69"/>
      <c r="J684" s="82"/>
      <c r="K684" s="82"/>
      <c r="L684" s="43"/>
      <c r="M684" s="43"/>
      <c r="N684" s="82"/>
      <c r="O684" s="82"/>
      <c r="P684" s="43"/>
      <c r="Q684" s="43"/>
      <c r="R684" s="82"/>
      <c r="S684" s="69"/>
      <c r="T684" s="82"/>
    </row>
    <row r="685" spans="2:20" x14ac:dyDescent="0.35">
      <c r="B685" s="41"/>
      <c r="C685" s="80"/>
      <c r="D685" s="81"/>
      <c r="E685" s="81"/>
      <c r="F685" s="81"/>
      <c r="G685" s="82"/>
      <c r="H685" s="69"/>
      <c r="I685" s="69"/>
      <c r="J685" s="82"/>
      <c r="K685" s="82"/>
      <c r="L685" s="43"/>
      <c r="M685" s="43"/>
      <c r="N685" s="82"/>
      <c r="O685" s="82"/>
      <c r="P685" s="43"/>
      <c r="Q685" s="43"/>
      <c r="R685" s="82"/>
      <c r="S685" s="69"/>
      <c r="T685" s="82"/>
    </row>
    <row r="686" spans="2:20" x14ac:dyDescent="0.35">
      <c r="B686" s="41"/>
      <c r="C686" s="80"/>
      <c r="D686" s="81"/>
      <c r="E686" s="81"/>
      <c r="F686" s="81"/>
      <c r="G686" s="82"/>
      <c r="H686" s="69"/>
      <c r="I686" s="69"/>
      <c r="J686" s="82"/>
      <c r="K686" s="82"/>
      <c r="L686" s="43"/>
      <c r="M686" s="43"/>
      <c r="N686" s="82"/>
      <c r="O686" s="82"/>
      <c r="P686" s="43"/>
      <c r="Q686" s="43"/>
      <c r="R686" s="82"/>
      <c r="S686" s="69"/>
      <c r="T686" s="82"/>
    </row>
    <row r="687" spans="2:20" x14ac:dyDescent="0.35">
      <c r="B687" s="41"/>
      <c r="C687" s="80"/>
      <c r="D687" s="81"/>
      <c r="E687" s="81"/>
      <c r="F687" s="81"/>
      <c r="G687" s="82"/>
      <c r="H687" s="69"/>
      <c r="I687" s="69"/>
      <c r="J687" s="82"/>
      <c r="K687" s="82"/>
      <c r="L687" s="43"/>
      <c r="M687" s="43"/>
      <c r="N687" s="82"/>
      <c r="O687" s="82"/>
      <c r="P687" s="43"/>
      <c r="Q687" s="43"/>
      <c r="R687" s="82"/>
      <c r="S687" s="69"/>
      <c r="T687" s="82"/>
    </row>
    <row r="688" spans="2:20" x14ac:dyDescent="0.35">
      <c r="B688" s="41"/>
      <c r="C688" s="80"/>
      <c r="D688" s="81"/>
      <c r="E688" s="81"/>
      <c r="F688" s="81"/>
      <c r="G688" s="82"/>
      <c r="H688" s="69"/>
      <c r="I688" s="69"/>
      <c r="J688" s="82"/>
      <c r="K688" s="82"/>
      <c r="L688" s="43"/>
      <c r="M688" s="43"/>
      <c r="N688" s="82"/>
      <c r="O688" s="82"/>
      <c r="P688" s="43"/>
      <c r="Q688" s="43"/>
      <c r="R688" s="82"/>
      <c r="S688" s="69"/>
      <c r="T688" s="82"/>
    </row>
    <row r="689" spans="2:20" x14ac:dyDescent="0.35">
      <c r="B689" s="41"/>
      <c r="C689" s="80"/>
      <c r="D689" s="81"/>
      <c r="E689" s="81"/>
      <c r="F689" s="81"/>
      <c r="G689" s="82"/>
      <c r="H689" s="69"/>
      <c r="I689" s="69"/>
      <c r="J689" s="82"/>
      <c r="K689" s="82"/>
      <c r="L689" s="43"/>
      <c r="M689" s="43"/>
      <c r="N689" s="82"/>
      <c r="O689" s="82"/>
      <c r="P689" s="43"/>
      <c r="Q689" s="43"/>
      <c r="R689" s="82"/>
      <c r="S689" s="69"/>
      <c r="T689" s="82"/>
    </row>
    <row r="690" spans="2:20" x14ac:dyDescent="0.35">
      <c r="B690" s="41"/>
      <c r="C690" s="80"/>
      <c r="D690" s="81"/>
      <c r="E690" s="81"/>
      <c r="F690" s="81"/>
      <c r="G690" s="82"/>
      <c r="H690" s="69"/>
      <c r="I690" s="69"/>
      <c r="J690" s="82"/>
      <c r="K690" s="82"/>
      <c r="L690" s="43"/>
      <c r="M690" s="43"/>
      <c r="N690" s="82"/>
      <c r="O690" s="82"/>
      <c r="P690" s="43"/>
      <c r="Q690" s="43"/>
      <c r="R690" s="82"/>
      <c r="S690" s="69"/>
      <c r="T690" s="82"/>
    </row>
    <row r="691" spans="2:20" x14ac:dyDescent="0.35">
      <c r="B691" s="41"/>
      <c r="C691" s="80"/>
      <c r="D691" s="81"/>
      <c r="E691" s="81"/>
      <c r="F691" s="81"/>
      <c r="G691" s="82"/>
      <c r="H691" s="69"/>
      <c r="I691" s="69"/>
      <c r="J691" s="82"/>
      <c r="K691" s="82"/>
      <c r="L691" s="43"/>
      <c r="M691" s="43"/>
      <c r="N691" s="82"/>
      <c r="O691" s="82"/>
      <c r="P691" s="43"/>
      <c r="Q691" s="43"/>
      <c r="R691" s="82"/>
      <c r="S691" s="69"/>
      <c r="T691" s="82"/>
    </row>
    <row r="692" spans="2:20" x14ac:dyDescent="0.35">
      <c r="B692" s="41"/>
      <c r="C692" s="80"/>
      <c r="D692" s="81"/>
      <c r="E692" s="81"/>
      <c r="F692" s="81"/>
      <c r="G692" s="82"/>
      <c r="H692" s="69"/>
      <c r="I692" s="69"/>
      <c r="J692" s="82"/>
      <c r="K692" s="82"/>
      <c r="L692" s="43"/>
      <c r="M692" s="43"/>
      <c r="N692" s="82"/>
      <c r="O692" s="82"/>
      <c r="P692" s="43"/>
      <c r="Q692" s="43"/>
      <c r="R692" s="82"/>
      <c r="S692" s="69"/>
      <c r="T692" s="82"/>
    </row>
    <row r="693" spans="2:20" x14ac:dyDescent="0.35">
      <c r="B693" s="41"/>
      <c r="C693" s="80"/>
      <c r="D693" s="81"/>
      <c r="E693" s="81"/>
      <c r="F693" s="81"/>
      <c r="G693" s="82"/>
      <c r="H693" s="69"/>
      <c r="I693" s="69"/>
      <c r="J693" s="82"/>
      <c r="K693" s="82"/>
      <c r="L693" s="43"/>
      <c r="M693" s="43"/>
      <c r="N693" s="82"/>
      <c r="O693" s="82"/>
      <c r="P693" s="43"/>
      <c r="Q693" s="43"/>
      <c r="R693" s="82"/>
      <c r="S693" s="69"/>
      <c r="T693" s="82"/>
    </row>
    <row r="694" spans="2:20" x14ac:dyDescent="0.35">
      <c r="B694" s="41"/>
      <c r="C694" s="80"/>
      <c r="D694" s="81"/>
      <c r="E694" s="81"/>
      <c r="F694" s="81"/>
      <c r="G694" s="82"/>
      <c r="H694" s="69"/>
      <c r="I694" s="69"/>
      <c r="J694" s="82"/>
      <c r="K694" s="82"/>
      <c r="L694" s="43"/>
      <c r="M694" s="43"/>
      <c r="N694" s="82"/>
      <c r="O694" s="82"/>
      <c r="P694" s="43"/>
      <c r="Q694" s="43"/>
      <c r="R694" s="82"/>
      <c r="S694" s="69"/>
      <c r="T694" s="82"/>
    </row>
    <row r="695" spans="2:20" x14ac:dyDescent="0.35">
      <c r="B695" s="41"/>
      <c r="C695" s="80"/>
      <c r="D695" s="81"/>
      <c r="E695" s="81"/>
      <c r="F695" s="81"/>
      <c r="G695" s="82"/>
      <c r="H695" s="69"/>
      <c r="I695" s="69"/>
      <c r="J695" s="82"/>
      <c r="K695" s="82"/>
      <c r="L695" s="43"/>
      <c r="M695" s="43"/>
      <c r="N695" s="82"/>
      <c r="O695" s="82"/>
      <c r="P695" s="43"/>
      <c r="Q695" s="43"/>
      <c r="R695" s="82"/>
      <c r="S695" s="69"/>
      <c r="T695" s="82"/>
    </row>
    <row r="696" spans="2:20" x14ac:dyDescent="0.35">
      <c r="B696" s="41"/>
      <c r="C696" s="80"/>
      <c r="D696" s="81"/>
      <c r="E696" s="81"/>
      <c r="F696" s="81"/>
      <c r="G696" s="82"/>
      <c r="H696" s="69"/>
      <c r="I696" s="69"/>
      <c r="J696" s="82"/>
      <c r="K696" s="82"/>
      <c r="L696" s="43"/>
      <c r="M696" s="43"/>
      <c r="N696" s="82"/>
      <c r="O696" s="82"/>
      <c r="P696" s="43"/>
      <c r="Q696" s="43"/>
      <c r="R696" s="82"/>
      <c r="S696" s="69"/>
      <c r="T696" s="82"/>
    </row>
    <row r="697" spans="2:20" x14ac:dyDescent="0.35">
      <c r="B697" s="41"/>
      <c r="C697" s="80"/>
      <c r="D697" s="81"/>
      <c r="E697" s="81"/>
      <c r="F697" s="81"/>
      <c r="G697" s="82"/>
      <c r="H697" s="69"/>
      <c r="I697" s="69"/>
      <c r="J697" s="82"/>
      <c r="K697" s="82"/>
      <c r="L697" s="43"/>
      <c r="M697" s="43"/>
      <c r="N697" s="82"/>
      <c r="O697" s="82"/>
      <c r="P697" s="43"/>
      <c r="Q697" s="43"/>
      <c r="R697" s="82"/>
      <c r="S697" s="69"/>
      <c r="T697" s="82"/>
    </row>
    <row r="698" spans="2:20" x14ac:dyDescent="0.35">
      <c r="B698" s="41"/>
      <c r="C698" s="80"/>
      <c r="D698" s="81"/>
      <c r="E698" s="81"/>
      <c r="F698" s="81"/>
      <c r="G698" s="82"/>
      <c r="H698" s="69"/>
      <c r="I698" s="69"/>
      <c r="J698" s="82"/>
      <c r="K698" s="82"/>
      <c r="L698" s="43"/>
      <c r="M698" s="43"/>
      <c r="N698" s="82"/>
      <c r="O698" s="82"/>
      <c r="P698" s="43"/>
      <c r="Q698" s="43"/>
      <c r="R698" s="82"/>
      <c r="S698" s="69"/>
      <c r="T698" s="82"/>
    </row>
    <row r="699" spans="2:20" x14ac:dyDescent="0.35">
      <c r="B699" s="41"/>
      <c r="C699" s="80"/>
      <c r="D699" s="81"/>
      <c r="E699" s="81"/>
      <c r="F699" s="81"/>
      <c r="G699" s="82"/>
      <c r="H699" s="69"/>
      <c r="I699" s="69"/>
      <c r="J699" s="82"/>
      <c r="K699" s="82"/>
      <c r="L699" s="43"/>
      <c r="M699" s="43"/>
      <c r="N699" s="82"/>
      <c r="O699" s="82"/>
      <c r="P699" s="43"/>
      <c r="Q699" s="43"/>
      <c r="R699" s="82"/>
      <c r="S699" s="69"/>
      <c r="T699" s="82"/>
    </row>
    <row r="700" spans="2:20" x14ac:dyDescent="0.35">
      <c r="B700" s="41"/>
      <c r="C700" s="80"/>
      <c r="D700" s="81"/>
      <c r="E700" s="81"/>
      <c r="F700" s="81"/>
      <c r="G700" s="82"/>
      <c r="H700" s="69"/>
      <c r="I700" s="69"/>
      <c r="J700" s="82"/>
      <c r="K700" s="82"/>
      <c r="L700" s="43"/>
      <c r="M700" s="43"/>
      <c r="N700" s="82"/>
      <c r="O700" s="82"/>
      <c r="P700" s="43"/>
      <c r="Q700" s="43"/>
      <c r="R700" s="82"/>
      <c r="S700" s="69"/>
      <c r="T700" s="82"/>
    </row>
    <row r="701" spans="2:20" x14ac:dyDescent="0.35">
      <c r="B701" s="41"/>
      <c r="C701" s="80"/>
      <c r="D701" s="81"/>
      <c r="E701" s="81"/>
      <c r="F701" s="81"/>
      <c r="G701" s="82"/>
      <c r="H701" s="69"/>
      <c r="I701" s="69"/>
      <c r="J701" s="82"/>
      <c r="K701" s="82"/>
      <c r="L701" s="43"/>
      <c r="M701" s="43"/>
      <c r="N701" s="82"/>
      <c r="O701" s="82"/>
      <c r="P701" s="43"/>
      <c r="Q701" s="43"/>
      <c r="R701" s="82"/>
      <c r="S701" s="69"/>
      <c r="T701" s="82"/>
    </row>
    <row r="702" spans="2:20" x14ac:dyDescent="0.35">
      <c r="B702" s="41"/>
      <c r="C702" s="80"/>
      <c r="D702" s="81"/>
      <c r="E702" s="81"/>
      <c r="F702" s="81"/>
      <c r="G702" s="82"/>
      <c r="H702" s="69"/>
      <c r="I702" s="69"/>
      <c r="J702" s="82"/>
      <c r="K702" s="82"/>
      <c r="L702" s="43"/>
      <c r="M702" s="43"/>
      <c r="N702" s="82"/>
      <c r="O702" s="82"/>
      <c r="P702" s="43"/>
      <c r="Q702" s="43"/>
      <c r="R702" s="82"/>
      <c r="S702" s="69"/>
      <c r="T702" s="82"/>
    </row>
    <row r="703" spans="2:20" x14ac:dyDescent="0.35">
      <c r="B703" s="41"/>
      <c r="C703" s="80"/>
      <c r="D703" s="81"/>
      <c r="E703" s="81"/>
      <c r="F703" s="81"/>
      <c r="G703" s="82"/>
      <c r="H703" s="69"/>
      <c r="I703" s="69"/>
      <c r="J703" s="82"/>
      <c r="K703" s="82"/>
      <c r="L703" s="43"/>
      <c r="M703" s="43"/>
      <c r="N703" s="82"/>
      <c r="O703" s="82"/>
      <c r="P703" s="43"/>
      <c r="Q703" s="43"/>
      <c r="R703" s="82"/>
      <c r="S703" s="69"/>
      <c r="T703" s="82"/>
    </row>
    <row r="704" spans="2:20" x14ac:dyDescent="0.35">
      <c r="B704" s="41"/>
      <c r="C704" s="80"/>
      <c r="D704" s="81"/>
      <c r="E704" s="81"/>
      <c r="F704" s="81"/>
      <c r="G704" s="82"/>
      <c r="H704" s="69"/>
      <c r="I704" s="69"/>
      <c r="J704" s="82"/>
      <c r="K704" s="82"/>
      <c r="L704" s="43"/>
      <c r="M704" s="43"/>
      <c r="N704" s="82"/>
      <c r="O704" s="82"/>
      <c r="P704" s="43"/>
      <c r="Q704" s="43"/>
      <c r="R704" s="82"/>
      <c r="S704" s="69"/>
      <c r="T704" s="82"/>
    </row>
    <row r="705" spans="2:20" x14ac:dyDescent="0.35">
      <c r="B705" s="41"/>
      <c r="C705" s="80"/>
      <c r="D705" s="81"/>
      <c r="E705" s="81"/>
      <c r="F705" s="81"/>
      <c r="G705" s="82"/>
      <c r="H705" s="69"/>
      <c r="I705" s="69"/>
      <c r="J705" s="82"/>
      <c r="K705" s="82"/>
      <c r="L705" s="43"/>
      <c r="M705" s="43"/>
      <c r="N705" s="82"/>
      <c r="O705" s="82"/>
      <c r="P705" s="43"/>
      <c r="Q705" s="43"/>
      <c r="R705" s="82"/>
      <c r="S705" s="69"/>
      <c r="T705" s="82"/>
    </row>
    <row r="706" spans="2:20" x14ac:dyDescent="0.35">
      <c r="B706" s="41"/>
      <c r="C706" s="80"/>
      <c r="D706" s="81"/>
      <c r="E706" s="81"/>
      <c r="F706" s="81"/>
      <c r="G706" s="82"/>
      <c r="H706" s="69"/>
      <c r="I706" s="69"/>
      <c r="J706" s="82"/>
      <c r="K706" s="82"/>
      <c r="L706" s="43"/>
      <c r="M706" s="43"/>
      <c r="N706" s="82"/>
      <c r="O706" s="82"/>
      <c r="P706" s="43"/>
      <c r="Q706" s="43"/>
      <c r="R706" s="82"/>
      <c r="S706" s="69"/>
      <c r="T706" s="82"/>
    </row>
    <row r="707" spans="2:20" x14ac:dyDescent="0.35">
      <c r="B707" s="41"/>
      <c r="C707" s="80"/>
      <c r="D707" s="81"/>
      <c r="E707" s="81"/>
      <c r="F707" s="81"/>
      <c r="G707" s="82"/>
      <c r="H707" s="69"/>
      <c r="I707" s="69"/>
      <c r="J707" s="82"/>
      <c r="K707" s="82"/>
      <c r="L707" s="43"/>
      <c r="M707" s="43"/>
      <c r="N707" s="82"/>
      <c r="O707" s="82"/>
      <c r="P707" s="43"/>
      <c r="Q707" s="43"/>
      <c r="R707" s="82"/>
      <c r="S707" s="69"/>
      <c r="T707" s="82"/>
    </row>
    <row r="708" spans="2:20" x14ac:dyDescent="0.35">
      <c r="B708" s="41"/>
      <c r="C708" s="80"/>
      <c r="D708" s="81"/>
      <c r="E708" s="81"/>
      <c r="F708" s="81"/>
      <c r="G708" s="82"/>
      <c r="H708" s="69"/>
      <c r="I708" s="69"/>
      <c r="J708" s="82"/>
      <c r="K708" s="82"/>
      <c r="L708" s="43"/>
      <c r="M708" s="43"/>
      <c r="N708" s="82"/>
      <c r="O708" s="82"/>
      <c r="P708" s="43"/>
      <c r="Q708" s="43"/>
      <c r="R708" s="82"/>
      <c r="S708" s="69"/>
      <c r="T708" s="82"/>
    </row>
    <row r="709" spans="2:20" x14ac:dyDescent="0.35">
      <c r="B709" s="41"/>
      <c r="C709" s="80"/>
      <c r="D709" s="81"/>
      <c r="E709" s="81"/>
      <c r="F709" s="81"/>
      <c r="G709" s="82"/>
      <c r="H709" s="69"/>
      <c r="I709" s="69"/>
      <c r="J709" s="82"/>
      <c r="K709" s="82"/>
      <c r="L709" s="43"/>
      <c r="M709" s="43"/>
      <c r="N709" s="82"/>
      <c r="O709" s="82"/>
      <c r="P709" s="43"/>
      <c r="Q709" s="43"/>
      <c r="R709" s="82"/>
      <c r="S709" s="69"/>
      <c r="T709" s="82"/>
    </row>
    <row r="710" spans="2:20" x14ac:dyDescent="0.35">
      <c r="B710" s="41"/>
      <c r="C710" s="80"/>
      <c r="D710" s="81"/>
      <c r="E710" s="81"/>
      <c r="F710" s="81"/>
      <c r="G710" s="82"/>
      <c r="H710" s="69"/>
      <c r="I710" s="69"/>
      <c r="J710" s="82"/>
      <c r="K710" s="82"/>
      <c r="L710" s="43"/>
      <c r="M710" s="43"/>
      <c r="N710" s="82"/>
      <c r="O710" s="82"/>
      <c r="P710" s="43"/>
      <c r="Q710" s="43"/>
      <c r="R710" s="82"/>
      <c r="S710" s="69"/>
      <c r="T710" s="82"/>
    </row>
    <row r="711" spans="2:20" x14ac:dyDescent="0.35">
      <c r="B711" s="41"/>
      <c r="C711" s="80"/>
      <c r="D711" s="81"/>
      <c r="E711" s="81"/>
      <c r="F711" s="81"/>
      <c r="G711" s="82"/>
      <c r="H711" s="69"/>
      <c r="I711" s="69"/>
      <c r="J711" s="82"/>
      <c r="K711" s="82"/>
      <c r="L711" s="43"/>
      <c r="M711" s="43"/>
      <c r="N711" s="82"/>
      <c r="O711" s="82"/>
      <c r="P711" s="43"/>
      <c r="Q711" s="43"/>
      <c r="R711" s="82"/>
      <c r="S711" s="69"/>
      <c r="T711" s="82"/>
    </row>
    <row r="712" spans="2:20" x14ac:dyDescent="0.35">
      <c r="B712" s="41"/>
      <c r="C712" s="80"/>
      <c r="D712" s="81"/>
      <c r="E712" s="81"/>
      <c r="F712" s="81"/>
      <c r="G712" s="82"/>
      <c r="H712" s="69"/>
      <c r="I712" s="69"/>
      <c r="J712" s="82"/>
      <c r="K712" s="82"/>
      <c r="L712" s="43"/>
      <c r="M712" s="43"/>
      <c r="N712" s="82"/>
      <c r="O712" s="82"/>
      <c r="P712" s="43"/>
      <c r="Q712" s="43"/>
      <c r="R712" s="82"/>
      <c r="S712" s="69"/>
      <c r="T712" s="82"/>
    </row>
    <row r="713" spans="2:20" x14ac:dyDescent="0.35">
      <c r="B713" s="41"/>
      <c r="C713" s="80"/>
      <c r="D713" s="81"/>
      <c r="E713" s="81"/>
      <c r="F713" s="81"/>
      <c r="G713" s="82"/>
      <c r="H713" s="69"/>
      <c r="I713" s="69"/>
      <c r="J713" s="82"/>
      <c r="K713" s="82"/>
      <c r="L713" s="43"/>
      <c r="M713" s="43"/>
      <c r="N713" s="82"/>
      <c r="O713" s="82"/>
      <c r="P713" s="43"/>
      <c r="Q713" s="43"/>
      <c r="R713" s="82"/>
      <c r="S713" s="69"/>
      <c r="T713" s="82"/>
    </row>
    <row r="714" spans="2:20" x14ac:dyDescent="0.35">
      <c r="B714" s="41"/>
      <c r="C714" s="80"/>
      <c r="D714" s="81"/>
      <c r="E714" s="81"/>
      <c r="F714" s="81"/>
      <c r="G714" s="82"/>
      <c r="H714" s="69"/>
      <c r="I714" s="69"/>
      <c r="J714" s="82"/>
      <c r="K714" s="82"/>
      <c r="L714" s="43"/>
      <c r="M714" s="43"/>
      <c r="N714" s="82"/>
      <c r="O714" s="82"/>
      <c r="P714" s="43"/>
      <c r="Q714" s="43"/>
      <c r="R714" s="82"/>
      <c r="S714" s="69"/>
      <c r="T714" s="82"/>
    </row>
    <row r="715" spans="2:20" x14ac:dyDescent="0.35">
      <c r="B715" s="41"/>
      <c r="C715" s="80"/>
      <c r="D715" s="81"/>
      <c r="E715" s="81"/>
      <c r="F715" s="81"/>
      <c r="G715" s="82"/>
      <c r="H715" s="69"/>
      <c r="I715" s="69"/>
      <c r="J715" s="82"/>
      <c r="K715" s="82"/>
      <c r="L715" s="43"/>
      <c r="M715" s="43"/>
      <c r="N715" s="82"/>
      <c r="O715" s="82"/>
      <c r="P715" s="43"/>
      <c r="Q715" s="43"/>
      <c r="R715" s="82"/>
      <c r="S715" s="69"/>
      <c r="T715" s="82"/>
    </row>
    <row r="716" spans="2:20" x14ac:dyDescent="0.35">
      <c r="B716" s="41"/>
      <c r="C716" s="80"/>
      <c r="D716" s="81"/>
      <c r="E716" s="81"/>
      <c r="F716" s="81"/>
      <c r="G716" s="82"/>
      <c r="H716" s="69"/>
      <c r="I716" s="69"/>
      <c r="J716" s="82"/>
      <c r="K716" s="82"/>
      <c r="L716" s="43"/>
      <c r="M716" s="43"/>
      <c r="N716" s="82"/>
      <c r="O716" s="82"/>
      <c r="P716" s="43"/>
      <c r="Q716" s="43"/>
      <c r="R716" s="82"/>
      <c r="S716" s="69"/>
      <c r="T716" s="82"/>
    </row>
    <row r="717" spans="2:20" x14ac:dyDescent="0.35">
      <c r="B717" s="41"/>
      <c r="C717" s="80"/>
      <c r="D717" s="81"/>
      <c r="E717" s="81"/>
      <c r="F717" s="81"/>
      <c r="G717" s="82"/>
      <c r="H717" s="69"/>
      <c r="I717" s="69"/>
      <c r="J717" s="82"/>
      <c r="K717" s="82"/>
      <c r="L717" s="43"/>
      <c r="M717" s="43"/>
      <c r="N717" s="82"/>
      <c r="O717" s="82"/>
      <c r="P717" s="43"/>
      <c r="Q717" s="43"/>
      <c r="R717" s="82"/>
      <c r="S717" s="69"/>
      <c r="T717" s="82"/>
    </row>
    <row r="718" spans="2:20" x14ac:dyDescent="0.35">
      <c r="B718" s="41"/>
      <c r="C718" s="80"/>
      <c r="D718" s="81"/>
      <c r="E718" s="81"/>
      <c r="F718" s="81"/>
      <c r="G718" s="82"/>
      <c r="H718" s="69"/>
      <c r="I718" s="69"/>
      <c r="J718" s="82"/>
      <c r="K718" s="82"/>
      <c r="L718" s="43"/>
      <c r="M718" s="43"/>
      <c r="N718" s="82"/>
      <c r="O718" s="82"/>
      <c r="P718" s="43"/>
      <c r="Q718" s="43"/>
      <c r="R718" s="82"/>
      <c r="S718" s="69"/>
      <c r="T718" s="82"/>
    </row>
    <row r="719" spans="2:20" x14ac:dyDescent="0.35">
      <c r="B719" s="41"/>
      <c r="C719" s="80"/>
      <c r="D719" s="81"/>
      <c r="E719" s="81"/>
      <c r="F719" s="81"/>
      <c r="G719" s="82"/>
      <c r="H719" s="69"/>
      <c r="I719" s="69"/>
      <c r="J719" s="82"/>
      <c r="K719" s="82"/>
      <c r="L719" s="43"/>
      <c r="M719" s="43"/>
      <c r="N719" s="82"/>
      <c r="O719" s="82"/>
      <c r="P719" s="43"/>
      <c r="Q719" s="43"/>
      <c r="R719" s="82"/>
      <c r="S719" s="69"/>
      <c r="T719" s="82"/>
    </row>
    <row r="720" spans="2:20" x14ac:dyDescent="0.35">
      <c r="B720" s="41"/>
      <c r="C720" s="80"/>
      <c r="D720" s="81"/>
      <c r="E720" s="81"/>
      <c r="F720" s="81"/>
      <c r="G720" s="82"/>
      <c r="H720" s="69"/>
      <c r="I720" s="69"/>
      <c r="J720" s="82"/>
      <c r="K720" s="82"/>
      <c r="L720" s="43"/>
      <c r="M720" s="43"/>
      <c r="N720" s="82"/>
      <c r="O720" s="82"/>
      <c r="P720" s="43"/>
      <c r="Q720" s="43"/>
      <c r="R720" s="82"/>
      <c r="S720" s="69"/>
      <c r="T720" s="82"/>
    </row>
    <row r="721" spans="2:20" x14ac:dyDescent="0.35">
      <c r="B721" s="41"/>
      <c r="C721" s="80"/>
      <c r="D721" s="81"/>
      <c r="E721" s="81"/>
      <c r="F721" s="81"/>
      <c r="G721" s="82"/>
      <c r="H721" s="69"/>
      <c r="I721" s="69"/>
      <c r="J721" s="82"/>
      <c r="K721" s="82"/>
      <c r="L721" s="43"/>
      <c r="M721" s="43"/>
      <c r="N721" s="82"/>
      <c r="O721" s="82"/>
      <c r="P721" s="43"/>
      <c r="Q721" s="43"/>
      <c r="R721" s="82"/>
      <c r="S721" s="69"/>
      <c r="T721" s="82"/>
    </row>
    <row r="722" spans="2:20" x14ac:dyDescent="0.35">
      <c r="B722" s="41"/>
      <c r="C722" s="80"/>
      <c r="D722" s="81"/>
      <c r="E722" s="81"/>
      <c r="F722" s="81"/>
      <c r="G722" s="82"/>
      <c r="H722" s="69"/>
      <c r="I722" s="69"/>
      <c r="J722" s="82"/>
      <c r="K722" s="82"/>
      <c r="L722" s="43"/>
      <c r="M722" s="43"/>
      <c r="N722" s="82"/>
      <c r="O722" s="82"/>
      <c r="P722" s="43"/>
      <c r="Q722" s="43"/>
      <c r="R722" s="82"/>
      <c r="S722" s="69"/>
      <c r="T722" s="82"/>
    </row>
    <row r="723" spans="2:20" x14ac:dyDescent="0.35">
      <c r="B723" s="41"/>
      <c r="C723" s="80"/>
      <c r="D723" s="81"/>
      <c r="E723" s="81"/>
      <c r="F723" s="81"/>
      <c r="G723" s="82"/>
      <c r="H723" s="69"/>
      <c r="I723" s="69"/>
      <c r="J723" s="82"/>
      <c r="K723" s="82"/>
      <c r="L723" s="43"/>
      <c r="M723" s="43"/>
      <c r="N723" s="82"/>
      <c r="O723" s="82"/>
      <c r="P723" s="43"/>
      <c r="Q723" s="43"/>
      <c r="R723" s="82"/>
      <c r="S723" s="69"/>
      <c r="T723" s="82"/>
    </row>
    <row r="724" spans="2:20" x14ac:dyDescent="0.35">
      <c r="B724" s="41"/>
      <c r="C724" s="80"/>
      <c r="D724" s="81"/>
      <c r="E724" s="81"/>
      <c r="F724" s="81"/>
      <c r="G724" s="82"/>
      <c r="H724" s="69"/>
      <c r="I724" s="69"/>
      <c r="J724" s="82"/>
      <c r="K724" s="82"/>
      <c r="L724" s="43"/>
      <c r="M724" s="43"/>
      <c r="N724" s="82"/>
      <c r="O724" s="82"/>
      <c r="P724" s="43"/>
      <c r="Q724" s="43"/>
      <c r="R724" s="82"/>
      <c r="S724" s="69"/>
      <c r="T724" s="82"/>
    </row>
    <row r="725" spans="2:20" x14ac:dyDescent="0.35">
      <c r="B725" s="41"/>
      <c r="C725" s="80"/>
      <c r="D725" s="81"/>
      <c r="E725" s="81"/>
      <c r="F725" s="81"/>
      <c r="G725" s="82"/>
      <c r="H725" s="69"/>
      <c r="I725" s="69"/>
      <c r="J725" s="82"/>
      <c r="K725" s="82"/>
      <c r="L725" s="43"/>
      <c r="M725" s="43"/>
      <c r="N725" s="82"/>
      <c r="O725" s="82"/>
      <c r="P725" s="43"/>
      <c r="Q725" s="43"/>
      <c r="R725" s="82"/>
      <c r="S725" s="69"/>
      <c r="T725" s="82"/>
    </row>
    <row r="726" spans="2:20" x14ac:dyDescent="0.35">
      <c r="B726" s="41"/>
      <c r="C726" s="80"/>
      <c r="D726" s="81"/>
      <c r="E726" s="81"/>
      <c r="F726" s="81"/>
      <c r="G726" s="82"/>
      <c r="H726" s="69"/>
      <c r="I726" s="69"/>
      <c r="J726" s="82"/>
      <c r="K726" s="82"/>
      <c r="L726" s="43"/>
      <c r="M726" s="43"/>
      <c r="N726" s="82"/>
      <c r="O726" s="82"/>
      <c r="P726" s="43"/>
      <c r="Q726" s="43"/>
      <c r="R726" s="82"/>
      <c r="S726" s="69"/>
      <c r="T726" s="82"/>
    </row>
    <row r="727" spans="2:20" x14ac:dyDescent="0.35">
      <c r="B727" s="41"/>
      <c r="C727" s="80"/>
      <c r="D727" s="81"/>
      <c r="E727" s="81"/>
      <c r="F727" s="81"/>
      <c r="G727" s="82"/>
      <c r="H727" s="69"/>
      <c r="I727" s="69"/>
      <c r="J727" s="82"/>
      <c r="K727" s="82"/>
      <c r="L727" s="43"/>
      <c r="M727" s="43"/>
      <c r="N727" s="82"/>
      <c r="O727" s="82"/>
      <c r="P727" s="43"/>
      <c r="Q727" s="43"/>
      <c r="R727" s="82"/>
      <c r="S727" s="69"/>
      <c r="T727" s="82"/>
    </row>
    <row r="728" spans="2:20" x14ac:dyDescent="0.35">
      <c r="B728" s="41"/>
      <c r="C728" s="80"/>
      <c r="D728" s="81"/>
      <c r="E728" s="81"/>
      <c r="F728" s="81"/>
      <c r="G728" s="82"/>
      <c r="H728" s="69"/>
      <c r="I728" s="69"/>
      <c r="J728" s="82"/>
      <c r="K728" s="82"/>
      <c r="L728" s="43"/>
      <c r="M728" s="43"/>
      <c r="N728" s="82"/>
      <c r="O728" s="82"/>
      <c r="P728" s="43"/>
      <c r="Q728" s="43"/>
      <c r="R728" s="82"/>
      <c r="S728" s="69"/>
      <c r="T728" s="82"/>
    </row>
    <row r="729" spans="2:20" x14ac:dyDescent="0.35">
      <c r="B729" s="41"/>
      <c r="C729" s="80"/>
      <c r="D729" s="81"/>
      <c r="E729" s="81"/>
      <c r="F729" s="81"/>
      <c r="G729" s="82"/>
      <c r="H729" s="69"/>
      <c r="I729" s="69"/>
      <c r="J729" s="82"/>
      <c r="K729" s="82"/>
      <c r="L729" s="43"/>
      <c r="M729" s="43"/>
      <c r="N729" s="82"/>
      <c r="O729" s="82"/>
      <c r="P729" s="43"/>
      <c r="Q729" s="43"/>
      <c r="R729" s="82"/>
      <c r="S729" s="69"/>
      <c r="T729" s="82"/>
    </row>
    <row r="730" spans="2:20" x14ac:dyDescent="0.35">
      <c r="B730" s="41"/>
      <c r="C730" s="80"/>
      <c r="D730" s="81"/>
      <c r="E730" s="81"/>
      <c r="F730" s="81"/>
      <c r="G730" s="82"/>
      <c r="H730" s="69"/>
      <c r="I730" s="69"/>
      <c r="J730" s="82"/>
      <c r="K730" s="82"/>
      <c r="L730" s="43"/>
      <c r="M730" s="43"/>
      <c r="N730" s="82"/>
      <c r="O730" s="82"/>
      <c r="P730" s="43"/>
      <c r="Q730" s="43"/>
      <c r="R730" s="82"/>
      <c r="S730" s="69"/>
      <c r="T730" s="82"/>
    </row>
    <row r="731" spans="2:20" x14ac:dyDescent="0.35">
      <c r="B731" s="41"/>
      <c r="C731" s="80"/>
      <c r="D731" s="81"/>
      <c r="E731" s="81"/>
      <c r="F731" s="81"/>
      <c r="G731" s="82"/>
      <c r="H731" s="69"/>
      <c r="I731" s="69"/>
      <c r="J731" s="82"/>
      <c r="K731" s="82"/>
      <c r="L731" s="43"/>
      <c r="M731" s="43"/>
      <c r="N731" s="82"/>
      <c r="O731" s="82"/>
      <c r="P731" s="43"/>
      <c r="Q731" s="43"/>
      <c r="R731" s="82"/>
      <c r="S731" s="69"/>
      <c r="T731" s="82"/>
    </row>
    <row r="732" spans="2:20" x14ac:dyDescent="0.35">
      <c r="B732" s="41"/>
      <c r="C732" s="80"/>
      <c r="D732" s="81"/>
      <c r="E732" s="81"/>
      <c r="F732" s="81"/>
      <c r="G732" s="82"/>
      <c r="H732" s="69"/>
      <c r="I732" s="69"/>
      <c r="J732" s="82"/>
      <c r="K732" s="82"/>
      <c r="L732" s="43"/>
      <c r="M732" s="43"/>
      <c r="N732" s="82"/>
      <c r="O732" s="82"/>
      <c r="P732" s="43"/>
      <c r="Q732" s="43"/>
      <c r="R732" s="82"/>
      <c r="S732" s="69"/>
      <c r="T732" s="82"/>
    </row>
    <row r="733" spans="2:20" x14ac:dyDescent="0.35">
      <c r="B733" s="41"/>
      <c r="C733" s="80"/>
      <c r="D733" s="81"/>
      <c r="E733" s="81"/>
      <c r="F733" s="81"/>
      <c r="G733" s="82"/>
      <c r="H733" s="69"/>
      <c r="I733" s="69"/>
      <c r="J733" s="82"/>
      <c r="K733" s="82"/>
      <c r="L733" s="43"/>
      <c r="M733" s="43"/>
      <c r="N733" s="82"/>
      <c r="O733" s="82"/>
      <c r="P733" s="43"/>
      <c r="Q733" s="43"/>
      <c r="R733" s="82"/>
      <c r="S733" s="69"/>
      <c r="T733" s="82"/>
    </row>
    <row r="734" spans="2:20" x14ac:dyDescent="0.35">
      <c r="B734" s="41"/>
      <c r="C734" s="80"/>
      <c r="D734" s="81"/>
      <c r="E734" s="81"/>
      <c r="F734" s="81"/>
      <c r="G734" s="82"/>
      <c r="H734" s="69"/>
      <c r="I734" s="69"/>
      <c r="J734" s="82"/>
      <c r="K734" s="82"/>
      <c r="L734" s="43"/>
      <c r="M734" s="43"/>
      <c r="N734" s="82"/>
      <c r="O734" s="82"/>
      <c r="P734" s="43"/>
      <c r="Q734" s="43"/>
      <c r="R734" s="82"/>
      <c r="S734" s="69"/>
      <c r="T734" s="82"/>
    </row>
    <row r="735" spans="2:20" x14ac:dyDescent="0.35">
      <c r="B735" s="41"/>
      <c r="C735" s="80"/>
      <c r="D735" s="81"/>
      <c r="E735" s="81"/>
      <c r="F735" s="81"/>
      <c r="G735" s="82"/>
      <c r="H735" s="69"/>
      <c r="I735" s="69"/>
      <c r="J735" s="82"/>
      <c r="K735" s="82"/>
      <c r="L735" s="43"/>
      <c r="M735" s="43"/>
      <c r="N735" s="82"/>
      <c r="O735" s="82"/>
      <c r="P735" s="43"/>
      <c r="Q735" s="43"/>
      <c r="R735" s="82"/>
      <c r="S735" s="69"/>
      <c r="T735" s="82"/>
    </row>
    <row r="736" spans="2:20" x14ac:dyDescent="0.35">
      <c r="B736" s="41"/>
      <c r="C736" s="80"/>
      <c r="D736" s="81"/>
      <c r="E736" s="81"/>
      <c r="F736" s="81"/>
      <c r="G736" s="82"/>
      <c r="H736" s="69"/>
      <c r="I736" s="69"/>
      <c r="J736" s="82"/>
      <c r="K736" s="82"/>
      <c r="L736" s="43"/>
      <c r="M736" s="43"/>
      <c r="N736" s="82"/>
      <c r="O736" s="82"/>
      <c r="P736" s="43"/>
      <c r="Q736" s="43"/>
      <c r="R736" s="82"/>
      <c r="S736" s="69"/>
      <c r="T736" s="82"/>
    </row>
    <row r="737" spans="2:20" x14ac:dyDescent="0.35">
      <c r="B737" s="41"/>
      <c r="C737" s="80"/>
      <c r="D737" s="81"/>
      <c r="E737" s="81"/>
      <c r="F737" s="81"/>
      <c r="G737" s="82"/>
      <c r="H737" s="69"/>
      <c r="I737" s="69"/>
      <c r="J737" s="82"/>
      <c r="K737" s="82"/>
      <c r="L737" s="43"/>
      <c r="M737" s="43"/>
      <c r="N737" s="82"/>
      <c r="O737" s="82"/>
      <c r="P737" s="43"/>
      <c r="Q737" s="43"/>
      <c r="R737" s="82"/>
      <c r="S737" s="69"/>
      <c r="T737" s="82"/>
    </row>
    <row r="738" spans="2:20" x14ac:dyDescent="0.35">
      <c r="B738" s="41"/>
      <c r="C738" s="80"/>
      <c r="D738" s="81"/>
      <c r="E738" s="81"/>
      <c r="F738" s="81"/>
      <c r="G738" s="82"/>
      <c r="H738" s="69"/>
      <c r="I738" s="69"/>
      <c r="J738" s="82"/>
      <c r="K738" s="82"/>
      <c r="L738" s="43"/>
      <c r="M738" s="43"/>
      <c r="N738" s="82"/>
      <c r="O738" s="82"/>
      <c r="P738" s="43"/>
      <c r="Q738" s="43"/>
      <c r="R738" s="82"/>
      <c r="S738" s="69"/>
      <c r="T738" s="82"/>
    </row>
    <row r="739" spans="2:20" x14ac:dyDescent="0.35">
      <c r="B739" s="41"/>
      <c r="C739" s="80"/>
      <c r="D739" s="81"/>
      <c r="E739" s="81"/>
      <c r="F739" s="81"/>
      <c r="G739" s="82"/>
      <c r="H739" s="69"/>
      <c r="I739" s="69"/>
      <c r="J739" s="82"/>
      <c r="K739" s="82"/>
      <c r="L739" s="43"/>
      <c r="M739" s="43"/>
      <c r="N739" s="82"/>
      <c r="O739" s="82"/>
      <c r="P739" s="43"/>
      <c r="Q739" s="43"/>
      <c r="R739" s="82"/>
      <c r="S739" s="69"/>
      <c r="T739" s="82"/>
    </row>
    <row r="740" spans="2:20" x14ac:dyDescent="0.35">
      <c r="B740" s="41"/>
      <c r="C740" s="80"/>
      <c r="D740" s="81"/>
      <c r="E740" s="81"/>
      <c r="F740" s="81"/>
      <c r="G740" s="82"/>
      <c r="H740" s="69"/>
      <c r="I740" s="69"/>
      <c r="J740" s="82"/>
      <c r="K740" s="82"/>
      <c r="L740" s="43"/>
      <c r="M740" s="43"/>
      <c r="N740" s="82"/>
      <c r="O740" s="82"/>
      <c r="P740" s="43"/>
      <c r="Q740" s="43"/>
      <c r="R740" s="82"/>
      <c r="S740" s="69"/>
      <c r="T740" s="82"/>
    </row>
    <row r="741" spans="2:20" x14ac:dyDescent="0.35">
      <c r="B741" s="41"/>
      <c r="C741" s="80"/>
      <c r="D741" s="81"/>
      <c r="E741" s="81"/>
      <c r="F741" s="81"/>
      <c r="G741" s="82"/>
      <c r="H741" s="69"/>
      <c r="I741" s="69"/>
      <c r="J741" s="82"/>
      <c r="K741" s="82"/>
      <c r="L741" s="43"/>
      <c r="M741" s="43"/>
      <c r="N741" s="82"/>
      <c r="O741" s="82"/>
      <c r="P741" s="43"/>
      <c r="Q741" s="43"/>
      <c r="R741" s="82"/>
      <c r="S741" s="69"/>
      <c r="T741" s="82"/>
    </row>
    <row r="742" spans="2:20" x14ac:dyDescent="0.35">
      <c r="B742" s="41"/>
      <c r="C742" s="80"/>
      <c r="D742" s="81"/>
      <c r="E742" s="81"/>
      <c r="F742" s="81"/>
      <c r="G742" s="82"/>
      <c r="H742" s="69"/>
      <c r="I742" s="69"/>
      <c r="J742" s="82"/>
      <c r="K742" s="82"/>
      <c r="L742" s="43"/>
      <c r="M742" s="43"/>
      <c r="N742" s="82"/>
      <c r="O742" s="82"/>
      <c r="P742" s="43"/>
      <c r="Q742" s="43"/>
      <c r="R742" s="82"/>
      <c r="S742" s="69"/>
      <c r="T742" s="82"/>
    </row>
    <row r="743" spans="2:20" x14ac:dyDescent="0.35">
      <c r="B743" s="41"/>
      <c r="C743" s="80"/>
      <c r="D743" s="81"/>
      <c r="E743" s="81"/>
      <c r="F743" s="81"/>
      <c r="G743" s="82"/>
      <c r="H743" s="69"/>
      <c r="I743" s="69"/>
      <c r="J743" s="82"/>
      <c r="K743" s="82"/>
      <c r="L743" s="43"/>
      <c r="M743" s="43"/>
      <c r="N743" s="82"/>
      <c r="O743" s="82"/>
      <c r="P743" s="43"/>
      <c r="Q743" s="43"/>
      <c r="R743" s="82"/>
      <c r="S743" s="69"/>
      <c r="T743" s="82"/>
    </row>
    <row r="744" spans="2:20" x14ac:dyDescent="0.35">
      <c r="B744" s="41"/>
      <c r="C744" s="80"/>
      <c r="D744" s="81"/>
      <c r="E744" s="81"/>
      <c r="F744" s="81"/>
      <c r="G744" s="82"/>
      <c r="H744" s="69"/>
      <c r="I744" s="69"/>
      <c r="J744" s="82"/>
      <c r="K744" s="82"/>
      <c r="L744" s="43"/>
      <c r="M744" s="43"/>
      <c r="N744" s="82"/>
      <c r="O744" s="82"/>
      <c r="P744" s="43"/>
      <c r="Q744" s="43"/>
      <c r="R744" s="82"/>
      <c r="S744" s="69"/>
      <c r="T744" s="82"/>
    </row>
    <row r="745" spans="2:20" x14ac:dyDescent="0.35">
      <c r="B745" s="41"/>
      <c r="C745" s="80"/>
      <c r="D745" s="81"/>
      <c r="E745" s="81"/>
      <c r="F745" s="81"/>
      <c r="G745" s="82"/>
      <c r="H745" s="69"/>
      <c r="I745" s="69"/>
      <c r="J745" s="82"/>
      <c r="K745" s="82"/>
      <c r="L745" s="43"/>
      <c r="M745" s="43"/>
      <c r="N745" s="82"/>
      <c r="O745" s="82"/>
      <c r="P745" s="43"/>
      <c r="Q745" s="43"/>
      <c r="R745" s="82"/>
      <c r="S745" s="69"/>
      <c r="T745" s="82"/>
    </row>
    <row r="746" spans="2:20" x14ac:dyDescent="0.35">
      <c r="B746" s="41"/>
      <c r="C746" s="80"/>
      <c r="D746" s="81"/>
      <c r="E746" s="81"/>
      <c r="F746" s="81"/>
      <c r="G746" s="82"/>
      <c r="H746" s="69"/>
      <c r="I746" s="69"/>
      <c r="J746" s="82"/>
      <c r="K746" s="82"/>
      <c r="L746" s="43"/>
      <c r="M746" s="43"/>
      <c r="N746" s="82"/>
      <c r="O746" s="82"/>
      <c r="P746" s="43"/>
      <c r="Q746" s="43"/>
      <c r="R746" s="82"/>
      <c r="S746" s="69"/>
      <c r="T746" s="82"/>
    </row>
    <row r="747" spans="2:20" x14ac:dyDescent="0.35">
      <c r="B747" s="41"/>
      <c r="C747" s="80"/>
      <c r="D747" s="81"/>
      <c r="E747" s="81"/>
      <c r="F747" s="81"/>
      <c r="G747" s="82"/>
      <c r="H747" s="69"/>
      <c r="I747" s="69"/>
      <c r="J747" s="82"/>
      <c r="K747" s="82"/>
      <c r="L747" s="43"/>
      <c r="M747" s="43"/>
      <c r="N747" s="82"/>
      <c r="O747" s="82"/>
      <c r="P747" s="43"/>
      <c r="Q747" s="43"/>
      <c r="R747" s="82"/>
      <c r="S747" s="69"/>
      <c r="T747" s="82"/>
    </row>
    <row r="748" spans="2:20" x14ac:dyDescent="0.35">
      <c r="B748" s="41"/>
      <c r="C748" s="80"/>
      <c r="D748" s="81"/>
      <c r="E748" s="81"/>
      <c r="F748" s="81"/>
      <c r="G748" s="82"/>
      <c r="H748" s="69"/>
      <c r="I748" s="69"/>
      <c r="J748" s="82"/>
      <c r="K748" s="82"/>
      <c r="L748" s="43"/>
      <c r="M748" s="43"/>
      <c r="N748" s="82"/>
      <c r="O748" s="82"/>
      <c r="P748" s="43"/>
      <c r="Q748" s="43"/>
      <c r="R748" s="82"/>
      <c r="S748" s="69"/>
      <c r="T748" s="82"/>
    </row>
    <row r="749" spans="2:20" x14ac:dyDescent="0.35">
      <c r="B749" s="41"/>
      <c r="C749" s="80"/>
      <c r="D749" s="81"/>
      <c r="E749" s="81"/>
      <c r="F749" s="81"/>
      <c r="G749" s="82"/>
      <c r="H749" s="69"/>
      <c r="I749" s="69"/>
      <c r="J749" s="82"/>
      <c r="K749" s="82"/>
      <c r="L749" s="43"/>
      <c r="M749" s="43"/>
      <c r="N749" s="82"/>
      <c r="O749" s="82"/>
      <c r="P749" s="43"/>
      <c r="Q749" s="43"/>
      <c r="R749" s="82"/>
      <c r="S749" s="69"/>
      <c r="T749" s="82"/>
    </row>
    <row r="750" spans="2:20" x14ac:dyDescent="0.35">
      <c r="B750" s="41"/>
      <c r="C750" s="80"/>
      <c r="D750" s="81"/>
      <c r="E750" s="81"/>
      <c r="F750" s="81"/>
      <c r="G750" s="82"/>
      <c r="H750" s="69"/>
      <c r="I750" s="69"/>
      <c r="J750" s="82"/>
      <c r="K750" s="82"/>
      <c r="L750" s="43"/>
      <c r="M750" s="43"/>
      <c r="N750" s="82"/>
      <c r="O750" s="82"/>
      <c r="P750" s="43"/>
      <c r="Q750" s="43"/>
      <c r="R750" s="82"/>
      <c r="S750" s="69"/>
      <c r="T750" s="82"/>
    </row>
    <row r="751" spans="2:20" x14ac:dyDescent="0.35">
      <c r="B751" s="41"/>
      <c r="C751" s="80"/>
      <c r="D751" s="81"/>
      <c r="E751" s="81"/>
      <c r="F751" s="81"/>
      <c r="G751" s="82"/>
      <c r="H751" s="69"/>
      <c r="I751" s="69"/>
      <c r="J751" s="82"/>
      <c r="K751" s="82"/>
      <c r="L751" s="43"/>
      <c r="M751" s="43"/>
      <c r="N751" s="82"/>
      <c r="O751" s="82"/>
      <c r="P751" s="43"/>
      <c r="Q751" s="43"/>
      <c r="R751" s="82"/>
      <c r="S751" s="69"/>
      <c r="T751" s="82"/>
    </row>
    <row r="752" spans="2:20" x14ac:dyDescent="0.35">
      <c r="B752" s="41"/>
      <c r="C752" s="80"/>
      <c r="D752" s="81"/>
      <c r="E752" s="81"/>
      <c r="F752" s="81"/>
      <c r="G752" s="82"/>
      <c r="H752" s="69"/>
      <c r="I752" s="69"/>
      <c r="J752" s="82"/>
      <c r="K752" s="82"/>
      <c r="L752" s="43"/>
      <c r="M752" s="43"/>
      <c r="N752" s="82"/>
      <c r="O752" s="82"/>
      <c r="P752" s="43"/>
      <c r="Q752" s="43"/>
      <c r="R752" s="82"/>
      <c r="S752" s="69"/>
      <c r="T752" s="82"/>
    </row>
    <row r="753" spans="2:20" x14ac:dyDescent="0.35">
      <c r="B753" s="41"/>
      <c r="C753" s="80"/>
      <c r="D753" s="81"/>
      <c r="E753" s="81"/>
      <c r="F753" s="81"/>
      <c r="G753" s="82"/>
      <c r="H753" s="69"/>
      <c r="I753" s="69"/>
      <c r="J753" s="82"/>
      <c r="K753" s="82"/>
      <c r="L753" s="43"/>
      <c r="M753" s="43"/>
      <c r="N753" s="82"/>
      <c r="O753" s="82"/>
      <c r="P753" s="43"/>
      <c r="Q753" s="43"/>
      <c r="R753" s="82"/>
      <c r="S753" s="69"/>
      <c r="T753" s="82"/>
    </row>
    <row r="754" spans="2:20" x14ac:dyDescent="0.35">
      <c r="B754" s="41"/>
      <c r="C754" s="80"/>
      <c r="D754" s="81"/>
      <c r="E754" s="81"/>
      <c r="F754" s="81"/>
      <c r="G754" s="82"/>
      <c r="H754" s="69"/>
      <c r="I754" s="69"/>
      <c r="J754" s="82"/>
      <c r="K754" s="82"/>
      <c r="L754" s="43"/>
      <c r="M754" s="43"/>
      <c r="N754" s="82"/>
      <c r="O754" s="82"/>
      <c r="P754" s="43"/>
      <c r="Q754" s="43"/>
      <c r="R754" s="82"/>
      <c r="S754" s="69"/>
      <c r="T754" s="82"/>
    </row>
    <row r="755" spans="2:20" x14ac:dyDescent="0.35">
      <c r="B755" s="41"/>
      <c r="C755" s="80"/>
      <c r="D755" s="81"/>
      <c r="E755" s="81"/>
      <c r="F755" s="81"/>
      <c r="G755" s="82"/>
      <c r="H755" s="69"/>
      <c r="I755" s="69"/>
      <c r="J755" s="82"/>
      <c r="K755" s="82"/>
      <c r="L755" s="43"/>
      <c r="M755" s="43"/>
      <c r="N755" s="82"/>
      <c r="O755" s="82"/>
      <c r="P755" s="43"/>
      <c r="Q755" s="43"/>
      <c r="R755" s="82"/>
      <c r="S755" s="69"/>
      <c r="T755" s="82"/>
    </row>
    <row r="756" spans="2:20" x14ac:dyDescent="0.35">
      <c r="B756" s="41"/>
      <c r="C756" s="80"/>
      <c r="D756" s="81"/>
      <c r="E756" s="81"/>
      <c r="F756" s="81"/>
      <c r="G756" s="82"/>
      <c r="H756" s="69"/>
      <c r="I756" s="69"/>
      <c r="J756" s="82"/>
      <c r="K756" s="82"/>
      <c r="L756" s="43"/>
      <c r="M756" s="43"/>
      <c r="N756" s="82"/>
      <c r="O756" s="82"/>
      <c r="P756" s="43"/>
      <c r="Q756" s="43"/>
      <c r="R756" s="82"/>
      <c r="S756" s="69"/>
      <c r="T756" s="82"/>
    </row>
    <row r="757" spans="2:20" x14ac:dyDescent="0.35">
      <c r="B757" s="41"/>
      <c r="C757" s="80"/>
      <c r="D757" s="81"/>
      <c r="E757" s="81"/>
      <c r="F757" s="81"/>
      <c r="G757" s="82"/>
      <c r="H757" s="69"/>
      <c r="I757" s="69"/>
      <c r="J757" s="82"/>
      <c r="K757" s="82"/>
      <c r="L757" s="43"/>
      <c r="M757" s="43"/>
      <c r="N757" s="82"/>
      <c r="O757" s="82"/>
      <c r="P757" s="43"/>
      <c r="Q757" s="43"/>
      <c r="R757" s="82"/>
      <c r="S757" s="69"/>
      <c r="T757" s="82"/>
    </row>
    <row r="758" spans="2:20" x14ac:dyDescent="0.35">
      <c r="B758" s="41"/>
      <c r="C758" s="80"/>
      <c r="D758" s="81"/>
      <c r="E758" s="81"/>
      <c r="F758" s="81"/>
      <c r="G758" s="82"/>
      <c r="H758" s="69"/>
      <c r="I758" s="69"/>
      <c r="J758" s="82"/>
      <c r="K758" s="82"/>
      <c r="L758" s="43"/>
      <c r="M758" s="43"/>
      <c r="N758" s="82"/>
      <c r="O758" s="82"/>
      <c r="P758" s="43"/>
      <c r="Q758" s="43"/>
      <c r="R758" s="82"/>
      <c r="S758" s="69"/>
      <c r="T758" s="82"/>
    </row>
    <row r="759" spans="2:20" x14ac:dyDescent="0.35">
      <c r="B759" s="41"/>
      <c r="C759" s="80"/>
      <c r="D759" s="81"/>
      <c r="E759" s="81"/>
      <c r="F759" s="81"/>
      <c r="G759" s="82"/>
      <c r="H759" s="69"/>
      <c r="I759" s="69"/>
      <c r="J759" s="82"/>
      <c r="K759" s="82"/>
      <c r="L759" s="43"/>
      <c r="M759" s="43"/>
      <c r="N759" s="82"/>
      <c r="O759" s="82"/>
      <c r="P759" s="43"/>
      <c r="Q759" s="43"/>
      <c r="R759" s="82"/>
      <c r="S759" s="69"/>
      <c r="T759" s="82"/>
    </row>
    <row r="760" spans="2:20" x14ac:dyDescent="0.35">
      <c r="B760" s="41"/>
      <c r="C760" s="80"/>
      <c r="D760" s="81"/>
      <c r="E760" s="81"/>
      <c r="F760" s="81"/>
      <c r="G760" s="82"/>
      <c r="H760" s="69"/>
      <c r="I760" s="69"/>
      <c r="J760" s="82"/>
      <c r="K760" s="82"/>
      <c r="L760" s="43"/>
      <c r="M760" s="43"/>
      <c r="N760" s="82"/>
      <c r="O760" s="82"/>
      <c r="P760" s="43"/>
      <c r="Q760" s="43"/>
      <c r="R760" s="82"/>
      <c r="S760" s="69"/>
      <c r="T760" s="82"/>
    </row>
    <row r="761" spans="2:20" x14ac:dyDescent="0.35">
      <c r="B761" s="41"/>
      <c r="C761" s="80"/>
      <c r="D761" s="81"/>
      <c r="E761" s="81"/>
      <c r="F761" s="81"/>
      <c r="G761" s="82"/>
      <c r="H761" s="69"/>
      <c r="I761" s="69"/>
      <c r="J761" s="82"/>
      <c r="K761" s="82"/>
      <c r="L761" s="43"/>
      <c r="M761" s="43"/>
      <c r="N761" s="82"/>
      <c r="O761" s="82"/>
      <c r="P761" s="43"/>
      <c r="Q761" s="43"/>
      <c r="R761" s="82"/>
      <c r="S761" s="69"/>
      <c r="T761" s="82"/>
    </row>
    <row r="762" spans="2:20" x14ac:dyDescent="0.35">
      <c r="B762" s="41"/>
      <c r="C762" s="80"/>
      <c r="D762" s="81"/>
      <c r="E762" s="81"/>
      <c r="F762" s="81"/>
      <c r="G762" s="82"/>
      <c r="H762" s="69"/>
      <c r="I762" s="69"/>
      <c r="J762" s="82"/>
      <c r="K762" s="82"/>
      <c r="L762" s="43"/>
      <c r="M762" s="43"/>
      <c r="N762" s="82"/>
      <c r="O762" s="82"/>
      <c r="P762" s="43"/>
      <c r="Q762" s="43"/>
      <c r="R762" s="82"/>
      <c r="S762" s="69"/>
      <c r="T762" s="82"/>
    </row>
    <row r="763" spans="2:20" x14ac:dyDescent="0.35">
      <c r="B763" s="41"/>
      <c r="C763" s="80"/>
      <c r="D763" s="81"/>
      <c r="E763" s="81"/>
      <c r="F763" s="81"/>
      <c r="G763" s="82"/>
      <c r="H763" s="69"/>
      <c r="I763" s="69"/>
      <c r="J763" s="82"/>
      <c r="K763" s="82"/>
      <c r="L763" s="43"/>
      <c r="M763" s="43"/>
      <c r="N763" s="82"/>
      <c r="O763" s="82"/>
      <c r="P763" s="43"/>
      <c r="Q763" s="43"/>
      <c r="R763" s="82"/>
      <c r="S763" s="69"/>
      <c r="T763" s="82"/>
    </row>
    <row r="764" spans="2:20" x14ac:dyDescent="0.35">
      <c r="B764" s="41"/>
      <c r="C764" s="80"/>
      <c r="D764" s="81"/>
      <c r="E764" s="81"/>
      <c r="F764" s="81"/>
      <c r="G764" s="82"/>
      <c r="H764" s="69"/>
      <c r="I764" s="69"/>
      <c r="J764" s="82"/>
      <c r="K764" s="82"/>
      <c r="L764" s="43"/>
      <c r="M764" s="43"/>
      <c r="N764" s="82"/>
      <c r="O764" s="82"/>
      <c r="P764" s="43"/>
      <c r="Q764" s="43"/>
      <c r="R764" s="82"/>
      <c r="S764" s="69"/>
      <c r="T764" s="82"/>
    </row>
    <row r="765" spans="2:20" x14ac:dyDescent="0.35">
      <c r="B765" s="41"/>
      <c r="C765" s="80"/>
      <c r="D765" s="81"/>
      <c r="E765" s="81"/>
      <c r="F765" s="81"/>
      <c r="G765" s="82"/>
      <c r="H765" s="69"/>
      <c r="I765" s="69"/>
      <c r="J765" s="82"/>
      <c r="K765" s="82"/>
      <c r="L765" s="43"/>
      <c r="M765" s="43"/>
      <c r="N765" s="82"/>
      <c r="O765" s="82"/>
      <c r="P765" s="43"/>
      <c r="Q765" s="43"/>
      <c r="R765" s="82"/>
      <c r="S765" s="69"/>
      <c r="T765" s="82"/>
    </row>
    <row r="766" spans="2:20" x14ac:dyDescent="0.35">
      <c r="B766" s="41"/>
      <c r="C766" s="80"/>
      <c r="D766" s="81"/>
      <c r="E766" s="81"/>
      <c r="F766" s="81"/>
      <c r="G766" s="82"/>
      <c r="H766" s="69"/>
      <c r="I766" s="69"/>
      <c r="J766" s="82"/>
      <c r="K766" s="82"/>
      <c r="L766" s="43"/>
      <c r="M766" s="43"/>
      <c r="N766" s="82"/>
      <c r="O766" s="82"/>
      <c r="P766" s="43"/>
      <c r="Q766" s="43"/>
      <c r="R766" s="82"/>
      <c r="S766" s="69"/>
      <c r="T766" s="82"/>
    </row>
    <row r="767" spans="2:20" x14ac:dyDescent="0.35">
      <c r="B767" s="41"/>
      <c r="C767" s="80"/>
      <c r="D767" s="81"/>
      <c r="E767" s="81"/>
      <c r="F767" s="81"/>
      <c r="G767" s="82"/>
      <c r="H767" s="69"/>
      <c r="I767" s="69"/>
      <c r="J767" s="82"/>
      <c r="K767" s="82"/>
      <c r="L767" s="43"/>
      <c r="M767" s="43"/>
      <c r="N767" s="82"/>
      <c r="O767" s="82"/>
      <c r="P767" s="43"/>
      <c r="Q767" s="43"/>
      <c r="R767" s="82"/>
      <c r="S767" s="69"/>
      <c r="T767" s="82"/>
    </row>
    <row r="768" spans="2:20" x14ac:dyDescent="0.35">
      <c r="B768" s="41"/>
      <c r="C768" s="80"/>
      <c r="D768" s="81"/>
      <c r="E768" s="81"/>
      <c r="F768" s="81"/>
      <c r="G768" s="82"/>
      <c r="H768" s="69"/>
      <c r="I768" s="69"/>
      <c r="J768" s="82"/>
      <c r="K768" s="82"/>
      <c r="L768" s="43"/>
      <c r="M768" s="43"/>
      <c r="N768" s="82"/>
      <c r="O768" s="82"/>
      <c r="P768" s="43"/>
      <c r="Q768" s="43"/>
      <c r="R768" s="82"/>
      <c r="S768" s="69"/>
      <c r="T768" s="82"/>
    </row>
    <row r="769" spans="2:20" x14ac:dyDescent="0.35">
      <c r="B769" s="41"/>
      <c r="C769" s="80"/>
      <c r="D769" s="81"/>
      <c r="E769" s="81"/>
      <c r="F769" s="81"/>
      <c r="G769" s="82"/>
      <c r="H769" s="69"/>
      <c r="I769" s="69"/>
      <c r="J769" s="82"/>
      <c r="K769" s="82"/>
      <c r="L769" s="43"/>
      <c r="M769" s="43"/>
      <c r="N769" s="82"/>
      <c r="O769" s="82"/>
      <c r="P769" s="43"/>
      <c r="Q769" s="43"/>
      <c r="R769" s="82"/>
      <c r="S769" s="69"/>
      <c r="T769" s="82"/>
    </row>
    <row r="770" spans="2:20" x14ac:dyDescent="0.35">
      <c r="B770" s="41"/>
      <c r="C770" s="80"/>
      <c r="D770" s="81"/>
      <c r="E770" s="81"/>
      <c r="F770" s="81"/>
      <c r="G770" s="82"/>
      <c r="H770" s="69"/>
      <c r="I770" s="69"/>
      <c r="J770" s="82"/>
      <c r="K770" s="82"/>
      <c r="L770" s="43"/>
      <c r="M770" s="43"/>
      <c r="N770" s="82"/>
      <c r="O770" s="82"/>
      <c r="P770" s="43"/>
      <c r="Q770" s="43"/>
      <c r="R770" s="82"/>
      <c r="S770" s="69"/>
      <c r="T770" s="82"/>
    </row>
    <row r="771" spans="2:20" x14ac:dyDescent="0.35">
      <c r="B771" s="41"/>
      <c r="C771" s="80"/>
      <c r="D771" s="81"/>
      <c r="E771" s="81"/>
      <c r="F771" s="81"/>
      <c r="G771" s="82"/>
      <c r="H771" s="69"/>
      <c r="I771" s="69"/>
      <c r="J771" s="82"/>
      <c r="K771" s="82"/>
      <c r="L771" s="43"/>
      <c r="M771" s="43"/>
      <c r="N771" s="82"/>
      <c r="O771" s="82"/>
      <c r="P771" s="43"/>
      <c r="Q771" s="43"/>
      <c r="R771" s="82"/>
      <c r="S771" s="69"/>
      <c r="T771" s="82"/>
    </row>
    <row r="772" spans="2:20" x14ac:dyDescent="0.35">
      <c r="B772" s="41"/>
      <c r="C772" s="80"/>
      <c r="D772" s="81"/>
      <c r="E772" s="81"/>
      <c r="F772" s="81"/>
      <c r="G772" s="82"/>
      <c r="H772" s="69"/>
      <c r="I772" s="69"/>
      <c r="J772" s="82"/>
      <c r="K772" s="82"/>
      <c r="L772" s="43"/>
      <c r="M772" s="43"/>
      <c r="N772" s="82"/>
      <c r="O772" s="82"/>
      <c r="P772" s="43"/>
      <c r="Q772" s="43"/>
      <c r="R772" s="82"/>
      <c r="S772" s="69"/>
      <c r="T772" s="82"/>
    </row>
    <row r="773" spans="2:20" x14ac:dyDescent="0.35">
      <c r="B773" s="41"/>
      <c r="C773" s="80"/>
      <c r="D773" s="81"/>
      <c r="E773" s="81"/>
      <c r="F773" s="81"/>
      <c r="G773" s="82"/>
      <c r="H773" s="69"/>
      <c r="I773" s="69"/>
      <c r="J773" s="82"/>
      <c r="K773" s="82"/>
      <c r="L773" s="43"/>
      <c r="M773" s="43"/>
      <c r="N773" s="82"/>
      <c r="O773" s="82"/>
      <c r="P773" s="43"/>
      <c r="Q773" s="43"/>
      <c r="R773" s="82"/>
      <c r="S773" s="69"/>
      <c r="T773" s="82"/>
    </row>
    <row r="774" spans="2:20" x14ac:dyDescent="0.35">
      <c r="B774" s="41"/>
      <c r="C774" s="80"/>
      <c r="D774" s="81"/>
      <c r="E774" s="81"/>
      <c r="F774" s="81"/>
      <c r="G774" s="82"/>
      <c r="H774" s="69"/>
      <c r="I774" s="69"/>
      <c r="J774" s="82"/>
      <c r="K774" s="82"/>
      <c r="L774" s="43"/>
      <c r="M774" s="43"/>
      <c r="N774" s="82"/>
      <c r="O774" s="82"/>
      <c r="P774" s="43"/>
      <c r="Q774" s="43"/>
      <c r="R774" s="82"/>
      <c r="S774" s="69"/>
      <c r="T774" s="82"/>
    </row>
    <row r="775" spans="2:20" x14ac:dyDescent="0.35">
      <c r="B775" s="41"/>
      <c r="C775" s="80"/>
      <c r="D775" s="81"/>
      <c r="E775" s="81"/>
      <c r="F775" s="81"/>
      <c r="G775" s="82"/>
      <c r="H775" s="69"/>
      <c r="I775" s="69"/>
      <c r="J775" s="82"/>
      <c r="K775" s="82"/>
      <c r="L775" s="43"/>
      <c r="M775" s="43"/>
      <c r="N775" s="82"/>
      <c r="O775" s="82"/>
      <c r="P775" s="43"/>
      <c r="Q775" s="43"/>
      <c r="R775" s="82"/>
      <c r="S775" s="69"/>
      <c r="T775" s="82"/>
    </row>
    <row r="776" spans="2:20" x14ac:dyDescent="0.35">
      <c r="B776" s="41"/>
      <c r="C776" s="80"/>
      <c r="D776" s="81"/>
      <c r="E776" s="81"/>
      <c r="F776" s="81"/>
      <c r="G776" s="82"/>
      <c r="H776" s="69"/>
      <c r="I776" s="69"/>
      <c r="J776" s="82"/>
      <c r="K776" s="82"/>
      <c r="L776" s="43"/>
      <c r="M776" s="43"/>
      <c r="N776" s="82"/>
      <c r="O776" s="82"/>
      <c r="P776" s="43"/>
      <c r="Q776" s="43"/>
      <c r="R776" s="82"/>
      <c r="S776" s="69"/>
      <c r="T776" s="82"/>
    </row>
    <row r="777" spans="2:20" x14ac:dyDescent="0.35">
      <c r="B777" s="41"/>
      <c r="C777" s="80"/>
      <c r="D777" s="81"/>
      <c r="E777" s="81"/>
      <c r="F777" s="81"/>
      <c r="G777" s="82"/>
      <c r="H777" s="69"/>
      <c r="I777" s="69"/>
      <c r="J777" s="82"/>
      <c r="K777" s="82"/>
      <c r="L777" s="43"/>
      <c r="M777" s="43"/>
      <c r="N777" s="82"/>
      <c r="O777" s="82"/>
      <c r="P777" s="43"/>
      <c r="Q777" s="43"/>
      <c r="R777" s="82"/>
      <c r="S777" s="69"/>
      <c r="T777" s="82"/>
    </row>
    <row r="778" spans="2:20" x14ac:dyDescent="0.35">
      <c r="B778" s="41"/>
      <c r="C778" s="80"/>
      <c r="D778" s="81"/>
      <c r="E778" s="81"/>
      <c r="F778" s="81"/>
      <c r="G778" s="82"/>
      <c r="H778" s="69"/>
      <c r="I778" s="69"/>
      <c r="J778" s="82"/>
      <c r="K778" s="82"/>
      <c r="L778" s="43"/>
      <c r="M778" s="43"/>
      <c r="N778" s="82"/>
      <c r="O778" s="82"/>
      <c r="P778" s="43"/>
      <c r="Q778" s="43"/>
      <c r="R778" s="82"/>
      <c r="S778" s="69"/>
      <c r="T778" s="82"/>
    </row>
    <row r="779" spans="2:20" x14ac:dyDescent="0.35">
      <c r="B779" s="41"/>
      <c r="C779" s="80"/>
      <c r="D779" s="81"/>
      <c r="E779" s="81"/>
      <c r="F779" s="81"/>
      <c r="G779" s="82"/>
      <c r="H779" s="69"/>
      <c r="I779" s="69"/>
      <c r="J779" s="82"/>
      <c r="K779" s="82"/>
      <c r="L779" s="43"/>
      <c r="M779" s="43"/>
      <c r="N779" s="82"/>
      <c r="O779" s="82"/>
      <c r="P779" s="43"/>
      <c r="Q779" s="43"/>
      <c r="R779" s="82"/>
      <c r="S779" s="69"/>
      <c r="T779" s="82"/>
    </row>
    <row r="780" spans="2:20" x14ac:dyDescent="0.35">
      <c r="B780" s="41"/>
      <c r="C780" s="80"/>
      <c r="D780" s="81"/>
      <c r="E780" s="81"/>
      <c r="F780" s="81"/>
      <c r="G780" s="82"/>
      <c r="H780" s="69"/>
      <c r="I780" s="69"/>
      <c r="J780" s="82"/>
      <c r="K780" s="82"/>
      <c r="L780" s="43"/>
      <c r="M780" s="43"/>
      <c r="N780" s="82"/>
      <c r="O780" s="82"/>
      <c r="P780" s="43"/>
      <c r="Q780" s="43"/>
      <c r="R780" s="82"/>
      <c r="S780" s="69"/>
      <c r="T780" s="82"/>
    </row>
    <row r="781" spans="2:20" x14ac:dyDescent="0.35">
      <c r="B781" s="41"/>
      <c r="C781" s="80"/>
      <c r="D781" s="81"/>
      <c r="E781" s="81"/>
      <c r="F781" s="81"/>
      <c r="G781" s="82"/>
      <c r="H781" s="69"/>
      <c r="I781" s="69"/>
      <c r="J781" s="82"/>
      <c r="K781" s="82"/>
      <c r="L781" s="43"/>
      <c r="M781" s="43"/>
      <c r="N781" s="82"/>
      <c r="O781" s="82"/>
      <c r="P781" s="43"/>
      <c r="Q781" s="43"/>
      <c r="R781" s="82"/>
      <c r="S781" s="69"/>
      <c r="T781" s="82"/>
    </row>
    <row r="782" spans="2:20" x14ac:dyDescent="0.35">
      <c r="B782" s="41"/>
      <c r="C782" s="80"/>
      <c r="D782" s="81"/>
      <c r="E782" s="81"/>
      <c r="F782" s="81"/>
      <c r="G782" s="82"/>
      <c r="H782" s="69"/>
      <c r="I782" s="69"/>
      <c r="J782" s="82"/>
      <c r="K782" s="82"/>
      <c r="L782" s="43"/>
      <c r="M782" s="43"/>
      <c r="N782" s="82"/>
      <c r="O782" s="82"/>
      <c r="P782" s="43"/>
      <c r="Q782" s="43"/>
      <c r="R782" s="82"/>
      <c r="S782" s="69"/>
      <c r="T782" s="82"/>
    </row>
    <row r="783" spans="2:20" x14ac:dyDescent="0.35">
      <c r="B783" s="41"/>
      <c r="C783" s="80"/>
      <c r="D783" s="81"/>
      <c r="E783" s="81"/>
      <c r="F783" s="81"/>
      <c r="G783" s="82"/>
      <c r="H783" s="69"/>
      <c r="I783" s="69"/>
      <c r="J783" s="82"/>
      <c r="K783" s="82"/>
      <c r="L783" s="43"/>
      <c r="M783" s="43"/>
      <c r="N783" s="82"/>
      <c r="O783" s="82"/>
      <c r="P783" s="43"/>
      <c r="Q783" s="43"/>
      <c r="R783" s="82"/>
      <c r="S783" s="69"/>
      <c r="T783" s="82"/>
    </row>
    <row r="784" spans="2:20" x14ac:dyDescent="0.35">
      <c r="B784" s="41"/>
      <c r="C784" s="80"/>
      <c r="D784" s="81"/>
      <c r="E784" s="81"/>
      <c r="F784" s="81"/>
      <c r="G784" s="82"/>
      <c r="H784" s="69"/>
      <c r="I784" s="69"/>
      <c r="J784" s="82"/>
      <c r="K784" s="82"/>
      <c r="L784" s="43"/>
      <c r="M784" s="43"/>
      <c r="N784" s="82"/>
      <c r="O784" s="82"/>
      <c r="P784" s="43"/>
      <c r="Q784" s="43"/>
      <c r="R784" s="82"/>
      <c r="S784" s="69"/>
      <c r="T784" s="82"/>
    </row>
    <row r="785" spans="2:20" x14ac:dyDescent="0.35">
      <c r="B785" s="41"/>
      <c r="C785" s="80"/>
      <c r="D785" s="81"/>
      <c r="E785" s="81"/>
      <c r="F785" s="81"/>
      <c r="G785" s="82"/>
      <c r="H785" s="69"/>
      <c r="I785" s="69"/>
      <c r="J785" s="82"/>
      <c r="K785" s="82"/>
      <c r="L785" s="43"/>
      <c r="M785" s="43"/>
      <c r="N785" s="82"/>
      <c r="O785" s="82"/>
      <c r="P785" s="43"/>
      <c r="Q785" s="43"/>
      <c r="R785" s="82"/>
      <c r="S785" s="69"/>
      <c r="T785" s="82"/>
    </row>
    <row r="786" spans="2:20" x14ac:dyDescent="0.35">
      <c r="B786" s="41"/>
      <c r="C786" s="80"/>
      <c r="D786" s="81"/>
      <c r="E786" s="81"/>
      <c r="F786" s="81"/>
      <c r="G786" s="82"/>
      <c r="H786" s="69"/>
      <c r="I786" s="69"/>
      <c r="J786" s="82"/>
      <c r="K786" s="82"/>
      <c r="L786" s="43"/>
      <c r="M786" s="43"/>
      <c r="N786" s="82"/>
      <c r="O786" s="82"/>
      <c r="P786" s="43"/>
      <c r="Q786" s="43"/>
      <c r="R786" s="82"/>
      <c r="S786" s="69"/>
      <c r="T786" s="82"/>
    </row>
    <row r="787" spans="2:20" x14ac:dyDescent="0.35">
      <c r="B787" s="41"/>
      <c r="C787" s="80"/>
      <c r="D787" s="81"/>
      <c r="E787" s="81"/>
      <c r="F787" s="81"/>
      <c r="G787" s="82"/>
      <c r="H787" s="69"/>
      <c r="I787" s="69"/>
      <c r="J787" s="82"/>
      <c r="K787" s="82"/>
      <c r="L787" s="43"/>
      <c r="M787" s="43"/>
      <c r="N787" s="82"/>
      <c r="O787" s="82"/>
      <c r="P787" s="43"/>
      <c r="Q787" s="43"/>
      <c r="R787" s="82"/>
      <c r="S787" s="69"/>
      <c r="T787" s="82"/>
    </row>
    <row r="788" spans="2:20" x14ac:dyDescent="0.35">
      <c r="B788" s="41"/>
      <c r="C788" s="80"/>
      <c r="D788" s="81"/>
      <c r="E788" s="81"/>
      <c r="F788" s="81"/>
      <c r="G788" s="82"/>
      <c r="H788" s="69"/>
      <c r="I788" s="69"/>
      <c r="J788" s="82"/>
      <c r="K788" s="82"/>
      <c r="L788" s="43"/>
      <c r="M788" s="43"/>
      <c r="N788" s="82"/>
      <c r="O788" s="82"/>
      <c r="P788" s="43"/>
      <c r="Q788" s="43"/>
      <c r="R788" s="82"/>
      <c r="S788" s="69"/>
      <c r="T788" s="82"/>
    </row>
    <row r="789" spans="2:20" x14ac:dyDescent="0.35">
      <c r="B789" s="41"/>
      <c r="C789" s="80"/>
      <c r="D789" s="81"/>
      <c r="E789" s="81"/>
      <c r="F789" s="81"/>
      <c r="G789" s="82"/>
      <c r="H789" s="69"/>
      <c r="I789" s="69"/>
      <c r="J789" s="82"/>
      <c r="K789" s="82"/>
      <c r="L789" s="43"/>
      <c r="M789" s="43"/>
      <c r="N789" s="82"/>
      <c r="O789" s="82"/>
      <c r="P789" s="43"/>
      <c r="Q789" s="43"/>
      <c r="R789" s="82"/>
      <c r="S789" s="69"/>
      <c r="T789" s="82"/>
    </row>
    <row r="790" spans="2:20" x14ac:dyDescent="0.35">
      <c r="B790" s="41"/>
      <c r="C790" s="80"/>
      <c r="D790" s="81"/>
      <c r="E790" s="81"/>
      <c r="F790" s="81"/>
      <c r="G790" s="82"/>
      <c r="H790" s="69"/>
      <c r="I790" s="69"/>
      <c r="J790" s="82"/>
      <c r="K790" s="82"/>
      <c r="L790" s="43"/>
      <c r="M790" s="43"/>
      <c r="N790" s="82"/>
      <c r="O790" s="82"/>
      <c r="P790" s="43"/>
      <c r="Q790" s="43"/>
      <c r="R790" s="82"/>
      <c r="S790" s="69"/>
      <c r="T790" s="82"/>
    </row>
    <row r="791" spans="2:20" x14ac:dyDescent="0.35">
      <c r="B791" s="41"/>
      <c r="C791" s="80"/>
      <c r="D791" s="81"/>
      <c r="E791" s="81"/>
      <c r="F791" s="81"/>
      <c r="G791" s="82"/>
      <c r="H791" s="69"/>
      <c r="I791" s="69"/>
      <c r="J791" s="82"/>
      <c r="K791" s="82"/>
      <c r="L791" s="43"/>
      <c r="M791" s="43"/>
      <c r="N791" s="82"/>
      <c r="O791" s="82"/>
      <c r="P791" s="43"/>
      <c r="Q791" s="43"/>
      <c r="R791" s="82"/>
      <c r="S791" s="69"/>
      <c r="T791" s="82"/>
    </row>
    <row r="792" spans="2:20" x14ac:dyDescent="0.35">
      <c r="B792" s="41"/>
      <c r="C792" s="80"/>
      <c r="D792" s="81"/>
      <c r="E792" s="81"/>
      <c r="F792" s="81"/>
      <c r="G792" s="82"/>
      <c r="H792" s="69"/>
      <c r="I792" s="69"/>
      <c r="J792" s="82"/>
      <c r="K792" s="82"/>
      <c r="L792" s="43"/>
      <c r="M792" s="43"/>
      <c r="N792" s="82"/>
      <c r="O792" s="82"/>
      <c r="P792" s="43"/>
      <c r="Q792" s="43"/>
      <c r="R792" s="82"/>
      <c r="S792" s="69"/>
      <c r="T792" s="82"/>
    </row>
    <row r="793" spans="2:20" x14ac:dyDescent="0.35">
      <c r="B793" s="41"/>
      <c r="C793" s="80"/>
      <c r="D793" s="81"/>
      <c r="E793" s="81"/>
      <c r="F793" s="81"/>
      <c r="G793" s="82"/>
      <c r="H793" s="69"/>
      <c r="I793" s="69"/>
      <c r="J793" s="82"/>
      <c r="K793" s="82"/>
      <c r="L793" s="43"/>
      <c r="M793" s="43"/>
      <c r="N793" s="82"/>
      <c r="O793" s="82"/>
      <c r="P793" s="43"/>
      <c r="Q793" s="43"/>
      <c r="R793" s="82"/>
      <c r="S793" s="69"/>
      <c r="T793" s="82"/>
    </row>
    <row r="794" spans="2:20" x14ac:dyDescent="0.35">
      <c r="B794" s="41"/>
      <c r="C794" s="80"/>
      <c r="D794" s="81"/>
      <c r="E794" s="81"/>
      <c r="F794" s="81"/>
      <c r="G794" s="82"/>
      <c r="H794" s="69"/>
      <c r="I794" s="69"/>
      <c r="J794" s="82"/>
      <c r="K794" s="82"/>
      <c r="L794" s="43"/>
      <c r="M794" s="43"/>
      <c r="N794" s="82"/>
      <c r="O794" s="82"/>
      <c r="P794" s="43"/>
      <c r="Q794" s="43"/>
      <c r="R794" s="82"/>
      <c r="S794" s="69"/>
      <c r="T794" s="82"/>
    </row>
    <row r="795" spans="2:20" x14ac:dyDescent="0.35">
      <c r="B795" s="41"/>
      <c r="C795" s="80"/>
      <c r="D795" s="81"/>
      <c r="E795" s="81"/>
      <c r="F795" s="81"/>
      <c r="G795" s="82"/>
      <c r="H795" s="69"/>
      <c r="I795" s="69"/>
      <c r="J795" s="82"/>
      <c r="K795" s="82"/>
      <c r="L795" s="43"/>
      <c r="M795" s="43"/>
      <c r="N795" s="82"/>
      <c r="O795" s="82"/>
      <c r="P795" s="43"/>
      <c r="Q795" s="43"/>
      <c r="R795" s="82"/>
      <c r="S795" s="69"/>
      <c r="T795" s="82"/>
    </row>
    <row r="796" spans="2:20" x14ac:dyDescent="0.35">
      <c r="B796" s="41"/>
      <c r="C796" s="80"/>
      <c r="D796" s="81"/>
      <c r="E796" s="81"/>
      <c r="F796" s="81"/>
      <c r="G796" s="82"/>
      <c r="H796" s="69"/>
      <c r="I796" s="69"/>
      <c r="J796" s="82"/>
      <c r="K796" s="82"/>
      <c r="L796" s="43"/>
      <c r="M796" s="43"/>
      <c r="N796" s="82"/>
      <c r="O796" s="82"/>
      <c r="P796" s="43"/>
      <c r="Q796" s="43"/>
      <c r="R796" s="82"/>
      <c r="S796" s="69"/>
      <c r="T796" s="82"/>
    </row>
    <row r="797" spans="2:20" x14ac:dyDescent="0.35">
      <c r="B797" s="41"/>
      <c r="C797" s="80"/>
      <c r="D797" s="81"/>
      <c r="E797" s="81"/>
      <c r="F797" s="81"/>
      <c r="G797" s="82"/>
      <c r="H797" s="69"/>
      <c r="I797" s="69"/>
      <c r="J797" s="82"/>
      <c r="K797" s="82"/>
      <c r="L797" s="43"/>
      <c r="M797" s="43"/>
      <c r="N797" s="82"/>
      <c r="O797" s="82"/>
      <c r="P797" s="43"/>
      <c r="Q797" s="43"/>
      <c r="R797" s="82"/>
      <c r="S797" s="69"/>
      <c r="T797" s="82"/>
    </row>
    <row r="798" spans="2:20" x14ac:dyDescent="0.35">
      <c r="B798" s="41"/>
      <c r="C798" s="80"/>
      <c r="D798" s="81"/>
      <c r="E798" s="81"/>
      <c r="F798" s="81"/>
      <c r="G798" s="82"/>
      <c r="H798" s="69"/>
      <c r="I798" s="69"/>
      <c r="J798" s="82"/>
      <c r="K798" s="82"/>
      <c r="L798" s="43"/>
      <c r="M798" s="43"/>
      <c r="N798" s="82"/>
      <c r="O798" s="82"/>
      <c r="P798" s="43"/>
      <c r="Q798" s="43"/>
      <c r="R798" s="82"/>
      <c r="S798" s="69"/>
      <c r="T798" s="82"/>
    </row>
    <row r="799" spans="2:20" x14ac:dyDescent="0.35">
      <c r="B799" s="41"/>
      <c r="C799" s="80"/>
      <c r="D799" s="81"/>
      <c r="E799" s="81"/>
      <c r="F799" s="81"/>
      <c r="G799" s="82"/>
      <c r="H799" s="69"/>
      <c r="I799" s="69"/>
      <c r="J799" s="82"/>
      <c r="K799" s="82"/>
      <c r="L799" s="43"/>
      <c r="M799" s="43"/>
      <c r="N799" s="82"/>
      <c r="O799" s="82"/>
      <c r="P799" s="43"/>
      <c r="Q799" s="43"/>
      <c r="R799" s="82"/>
      <c r="S799" s="69"/>
      <c r="T799" s="82"/>
    </row>
    <row r="800" spans="2:20" x14ac:dyDescent="0.35">
      <c r="B800" s="41"/>
      <c r="C800" s="80"/>
      <c r="D800" s="81"/>
      <c r="E800" s="81"/>
      <c r="F800" s="81"/>
      <c r="G800" s="82"/>
      <c r="H800" s="69"/>
      <c r="I800" s="69"/>
      <c r="J800" s="82"/>
      <c r="K800" s="82"/>
      <c r="L800" s="43"/>
      <c r="M800" s="43"/>
      <c r="N800" s="82"/>
      <c r="O800" s="82"/>
      <c r="P800" s="43"/>
      <c r="Q800" s="43"/>
      <c r="R800" s="82"/>
      <c r="S800" s="69"/>
      <c r="T800" s="82"/>
    </row>
    <row r="801" spans="2:20" x14ac:dyDescent="0.35">
      <c r="B801" s="41"/>
      <c r="C801" s="80"/>
      <c r="D801" s="81"/>
      <c r="E801" s="81"/>
      <c r="F801" s="81"/>
      <c r="G801" s="82"/>
      <c r="H801" s="69"/>
      <c r="I801" s="69"/>
      <c r="J801" s="82"/>
      <c r="K801" s="82"/>
      <c r="L801" s="43"/>
      <c r="M801" s="43"/>
      <c r="N801" s="82"/>
      <c r="O801" s="82"/>
      <c r="P801" s="43"/>
      <c r="Q801" s="43"/>
      <c r="R801" s="82"/>
      <c r="S801" s="69"/>
      <c r="T801" s="82"/>
    </row>
    <row r="802" spans="2:20" x14ac:dyDescent="0.35">
      <c r="B802" s="41"/>
      <c r="C802" s="80"/>
      <c r="D802" s="81"/>
      <c r="E802" s="81"/>
      <c r="F802" s="81"/>
      <c r="G802" s="82"/>
      <c r="H802" s="69"/>
      <c r="I802" s="69"/>
      <c r="J802" s="82"/>
      <c r="K802" s="82"/>
      <c r="L802" s="43"/>
      <c r="M802" s="43"/>
      <c r="N802" s="82"/>
      <c r="O802" s="82"/>
      <c r="P802" s="43"/>
      <c r="Q802" s="43"/>
      <c r="R802" s="82"/>
      <c r="S802" s="69"/>
      <c r="T802" s="82"/>
    </row>
    <row r="803" spans="2:20" x14ac:dyDescent="0.35">
      <c r="B803" s="41"/>
      <c r="C803" s="80"/>
      <c r="D803" s="81"/>
      <c r="E803" s="81"/>
      <c r="F803" s="81"/>
      <c r="G803" s="82"/>
      <c r="H803" s="69"/>
      <c r="I803" s="69"/>
      <c r="J803" s="82"/>
      <c r="K803" s="82"/>
      <c r="L803" s="43"/>
      <c r="M803" s="43"/>
      <c r="N803" s="82"/>
      <c r="O803" s="82"/>
      <c r="P803" s="43"/>
      <c r="Q803" s="43"/>
      <c r="R803" s="82"/>
      <c r="S803" s="69"/>
      <c r="T803" s="82"/>
    </row>
    <row r="804" spans="2:20" x14ac:dyDescent="0.35">
      <c r="B804" s="41"/>
      <c r="C804" s="80"/>
      <c r="D804" s="81"/>
      <c r="E804" s="81"/>
      <c r="F804" s="81"/>
      <c r="G804" s="82"/>
      <c r="H804" s="69"/>
      <c r="I804" s="69"/>
      <c r="J804" s="82"/>
      <c r="K804" s="82"/>
      <c r="L804" s="43"/>
      <c r="M804" s="43"/>
      <c r="N804" s="82"/>
      <c r="O804" s="82"/>
      <c r="P804" s="43"/>
      <c r="Q804" s="43"/>
      <c r="R804" s="82"/>
      <c r="S804" s="69"/>
      <c r="T804" s="82"/>
    </row>
    <row r="805" spans="2:20" x14ac:dyDescent="0.35">
      <c r="B805" s="41"/>
      <c r="C805" s="80"/>
      <c r="D805" s="81"/>
      <c r="E805" s="81"/>
      <c r="F805" s="81"/>
      <c r="G805" s="82"/>
      <c r="H805" s="69"/>
      <c r="I805" s="69"/>
      <c r="J805" s="82"/>
      <c r="K805" s="82"/>
      <c r="L805" s="43"/>
      <c r="M805" s="43"/>
      <c r="N805" s="82"/>
      <c r="O805" s="82"/>
      <c r="P805" s="43"/>
      <c r="Q805" s="43"/>
      <c r="R805" s="82"/>
      <c r="S805" s="69"/>
      <c r="T805" s="82"/>
    </row>
    <row r="806" spans="2:20" x14ac:dyDescent="0.35">
      <c r="B806" s="41"/>
      <c r="C806" s="80"/>
      <c r="D806" s="81"/>
      <c r="E806" s="81"/>
      <c r="F806" s="81"/>
      <c r="G806" s="82"/>
      <c r="H806" s="69"/>
      <c r="I806" s="69"/>
      <c r="J806" s="82"/>
      <c r="K806" s="82"/>
      <c r="L806" s="43"/>
      <c r="M806" s="43"/>
      <c r="N806" s="82"/>
      <c r="O806" s="82"/>
      <c r="P806" s="43"/>
      <c r="Q806" s="43"/>
      <c r="R806" s="82"/>
      <c r="S806" s="69"/>
      <c r="T806" s="82"/>
    </row>
    <row r="807" spans="2:20" x14ac:dyDescent="0.35">
      <c r="B807" s="41"/>
      <c r="C807" s="80"/>
      <c r="D807" s="81"/>
      <c r="E807" s="81"/>
      <c r="F807" s="81"/>
      <c r="G807" s="82"/>
      <c r="H807" s="69"/>
      <c r="I807" s="69"/>
      <c r="J807" s="82"/>
      <c r="K807" s="82"/>
      <c r="L807" s="43"/>
      <c r="M807" s="43"/>
      <c r="N807" s="82"/>
      <c r="O807" s="82"/>
      <c r="P807" s="43"/>
      <c r="Q807" s="43"/>
      <c r="R807" s="82"/>
      <c r="S807" s="69"/>
      <c r="T807" s="82"/>
    </row>
    <row r="808" spans="2:20" x14ac:dyDescent="0.35">
      <c r="B808" s="41"/>
      <c r="C808" s="80"/>
      <c r="D808" s="81"/>
      <c r="E808" s="81"/>
      <c r="F808" s="81"/>
      <c r="G808" s="82"/>
      <c r="H808" s="69"/>
      <c r="I808" s="69"/>
      <c r="J808" s="82"/>
      <c r="K808" s="82"/>
      <c r="L808" s="43"/>
      <c r="M808" s="43"/>
      <c r="N808" s="82"/>
      <c r="O808" s="82"/>
      <c r="P808" s="43"/>
      <c r="Q808" s="43"/>
      <c r="R808" s="82"/>
      <c r="S808" s="69"/>
      <c r="T808" s="82"/>
    </row>
    <row r="809" spans="2:20" x14ac:dyDescent="0.35">
      <c r="B809" s="41"/>
      <c r="C809" s="80"/>
      <c r="D809" s="81"/>
      <c r="E809" s="81"/>
      <c r="F809" s="81"/>
      <c r="G809" s="82"/>
      <c r="H809" s="69"/>
      <c r="I809" s="69"/>
      <c r="J809" s="82"/>
      <c r="K809" s="82"/>
      <c r="L809" s="43"/>
      <c r="M809" s="43"/>
      <c r="N809" s="82"/>
      <c r="O809" s="82"/>
      <c r="P809" s="43"/>
      <c r="Q809" s="43"/>
      <c r="R809" s="82"/>
      <c r="S809" s="69"/>
      <c r="T809" s="82"/>
    </row>
    <row r="810" spans="2:20" x14ac:dyDescent="0.35">
      <c r="B810" s="41"/>
      <c r="C810" s="80"/>
      <c r="D810" s="81"/>
      <c r="E810" s="81"/>
      <c r="F810" s="81"/>
      <c r="G810" s="82"/>
      <c r="H810" s="69"/>
      <c r="I810" s="69"/>
      <c r="J810" s="82"/>
      <c r="K810" s="82"/>
      <c r="L810" s="43"/>
      <c r="M810" s="43"/>
      <c r="N810" s="82"/>
      <c r="O810" s="82"/>
      <c r="P810" s="43"/>
      <c r="Q810" s="43"/>
      <c r="R810" s="82"/>
      <c r="S810" s="69"/>
      <c r="T810" s="82"/>
    </row>
    <row r="811" spans="2:20" x14ac:dyDescent="0.35">
      <c r="B811" s="41"/>
      <c r="C811" s="80"/>
      <c r="D811" s="81"/>
      <c r="E811" s="81"/>
      <c r="F811" s="81"/>
      <c r="G811" s="82"/>
      <c r="H811" s="69"/>
      <c r="I811" s="69"/>
      <c r="J811" s="82"/>
      <c r="K811" s="82"/>
      <c r="L811" s="43"/>
      <c r="M811" s="43"/>
      <c r="N811" s="82"/>
      <c r="O811" s="82"/>
      <c r="P811" s="43"/>
      <c r="Q811" s="43"/>
      <c r="R811" s="82"/>
      <c r="S811" s="69"/>
      <c r="T811" s="82"/>
    </row>
    <row r="812" spans="2:20" x14ac:dyDescent="0.35">
      <c r="B812" s="41"/>
      <c r="C812" s="80"/>
      <c r="D812" s="81"/>
      <c r="E812" s="81"/>
      <c r="F812" s="81"/>
      <c r="G812" s="82"/>
      <c r="H812" s="69"/>
      <c r="I812" s="69"/>
      <c r="J812" s="82"/>
      <c r="K812" s="82"/>
      <c r="L812" s="43"/>
      <c r="M812" s="43"/>
      <c r="N812" s="82"/>
      <c r="O812" s="82"/>
      <c r="P812" s="43"/>
      <c r="Q812" s="43"/>
      <c r="R812" s="82"/>
      <c r="S812" s="69"/>
      <c r="T812" s="82"/>
    </row>
    <row r="813" spans="2:20" x14ac:dyDescent="0.35">
      <c r="B813" s="41"/>
      <c r="C813" s="80"/>
      <c r="D813" s="81"/>
      <c r="E813" s="81"/>
      <c r="F813" s="81"/>
      <c r="G813" s="82"/>
      <c r="H813" s="69"/>
      <c r="I813" s="69"/>
      <c r="J813" s="82"/>
      <c r="K813" s="82"/>
      <c r="L813" s="43"/>
      <c r="M813" s="43"/>
      <c r="N813" s="82"/>
      <c r="O813" s="82"/>
      <c r="P813" s="43"/>
      <c r="Q813" s="43"/>
      <c r="R813" s="82"/>
      <c r="S813" s="69"/>
      <c r="T813" s="82"/>
    </row>
    <row r="814" spans="2:20" x14ac:dyDescent="0.35">
      <c r="B814" s="41"/>
      <c r="C814" s="80"/>
      <c r="D814" s="81"/>
      <c r="E814" s="81"/>
      <c r="F814" s="81"/>
      <c r="G814" s="82"/>
      <c r="H814" s="69"/>
      <c r="I814" s="69"/>
      <c r="J814" s="82"/>
      <c r="K814" s="82"/>
      <c r="L814" s="43"/>
      <c r="M814" s="43"/>
      <c r="N814" s="82"/>
      <c r="O814" s="82"/>
      <c r="P814" s="43"/>
      <c r="Q814" s="43"/>
      <c r="R814" s="82"/>
      <c r="S814" s="69"/>
      <c r="T814" s="82"/>
    </row>
    <row r="815" spans="2:20" x14ac:dyDescent="0.35">
      <c r="B815" s="41"/>
      <c r="C815" s="80"/>
      <c r="D815" s="81"/>
      <c r="E815" s="81"/>
      <c r="F815" s="81"/>
      <c r="G815" s="82"/>
      <c r="H815" s="69"/>
      <c r="I815" s="69"/>
      <c r="J815" s="82"/>
      <c r="K815" s="82"/>
      <c r="L815" s="43"/>
      <c r="M815" s="43"/>
      <c r="N815" s="82"/>
      <c r="O815" s="82"/>
      <c r="P815" s="43"/>
      <c r="Q815" s="43"/>
      <c r="R815" s="82"/>
      <c r="S815" s="69"/>
      <c r="T815" s="82"/>
    </row>
    <row r="816" spans="2:20" x14ac:dyDescent="0.35">
      <c r="B816" s="41"/>
      <c r="C816" s="80"/>
      <c r="D816" s="81"/>
      <c r="E816" s="81"/>
      <c r="F816" s="81"/>
      <c r="G816" s="82"/>
      <c r="H816" s="69"/>
      <c r="I816" s="69"/>
      <c r="J816" s="82"/>
      <c r="K816" s="82"/>
      <c r="L816" s="43"/>
      <c r="M816" s="43"/>
      <c r="N816" s="82"/>
      <c r="O816" s="82"/>
      <c r="P816" s="43"/>
      <c r="Q816" s="43"/>
      <c r="R816" s="82"/>
      <c r="S816" s="69"/>
      <c r="T816" s="82"/>
    </row>
    <row r="817" spans="2:20" x14ac:dyDescent="0.35">
      <c r="B817" s="41"/>
      <c r="C817" s="80"/>
      <c r="D817" s="81"/>
      <c r="E817" s="81"/>
      <c r="F817" s="81"/>
      <c r="G817" s="82"/>
      <c r="H817" s="69"/>
      <c r="I817" s="69"/>
      <c r="J817" s="82"/>
      <c r="K817" s="82"/>
      <c r="L817" s="43"/>
      <c r="M817" s="43"/>
      <c r="N817" s="82"/>
      <c r="O817" s="82"/>
      <c r="P817" s="43"/>
      <c r="Q817" s="43"/>
      <c r="R817" s="82"/>
      <c r="S817" s="69"/>
      <c r="T817" s="82"/>
    </row>
    <row r="818" spans="2:20" x14ac:dyDescent="0.35">
      <c r="B818" s="41"/>
      <c r="C818" s="80"/>
      <c r="D818" s="81"/>
      <c r="E818" s="81"/>
      <c r="F818" s="81"/>
      <c r="G818" s="82"/>
      <c r="H818" s="69"/>
      <c r="I818" s="69"/>
      <c r="J818" s="82"/>
      <c r="K818" s="82"/>
      <c r="L818" s="43"/>
      <c r="M818" s="43"/>
      <c r="N818" s="82"/>
      <c r="O818" s="82"/>
      <c r="P818" s="43"/>
      <c r="Q818" s="43"/>
      <c r="R818" s="82"/>
      <c r="S818" s="69"/>
      <c r="T818" s="82"/>
    </row>
    <row r="819" spans="2:20" x14ac:dyDescent="0.35">
      <c r="B819" s="41"/>
      <c r="C819" s="80"/>
      <c r="D819" s="81"/>
      <c r="E819" s="81"/>
      <c r="F819" s="81"/>
      <c r="G819" s="82"/>
      <c r="H819" s="69"/>
      <c r="I819" s="69"/>
      <c r="J819" s="82"/>
      <c r="K819" s="82"/>
      <c r="L819" s="43"/>
      <c r="M819" s="43"/>
      <c r="N819" s="82"/>
      <c r="O819" s="82"/>
      <c r="P819" s="43"/>
      <c r="Q819" s="43"/>
      <c r="R819" s="82"/>
      <c r="S819" s="69"/>
      <c r="T819" s="82"/>
    </row>
    <row r="820" spans="2:20" x14ac:dyDescent="0.35">
      <c r="B820" s="41"/>
      <c r="C820" s="80"/>
      <c r="D820" s="81"/>
      <c r="E820" s="81"/>
      <c r="F820" s="81"/>
      <c r="G820" s="82"/>
      <c r="H820" s="69"/>
      <c r="I820" s="69"/>
      <c r="J820" s="82"/>
      <c r="K820" s="82"/>
      <c r="L820" s="43"/>
      <c r="M820" s="43"/>
      <c r="N820" s="82"/>
      <c r="O820" s="82"/>
      <c r="P820" s="43"/>
      <c r="Q820" s="43"/>
      <c r="R820" s="82"/>
      <c r="S820" s="69"/>
      <c r="T820" s="82"/>
    </row>
    <row r="821" spans="2:20" x14ac:dyDescent="0.35">
      <c r="B821" s="41"/>
      <c r="C821" s="80"/>
      <c r="D821" s="81"/>
      <c r="E821" s="81"/>
      <c r="F821" s="81"/>
      <c r="G821" s="82"/>
      <c r="H821" s="69"/>
      <c r="I821" s="69"/>
      <c r="J821" s="82"/>
      <c r="K821" s="82"/>
      <c r="L821" s="43"/>
      <c r="M821" s="43"/>
      <c r="N821" s="82"/>
      <c r="O821" s="82"/>
      <c r="P821" s="43"/>
      <c r="Q821" s="43"/>
      <c r="R821" s="82"/>
      <c r="S821" s="69"/>
      <c r="T821" s="82"/>
    </row>
    <row r="822" spans="2:20" x14ac:dyDescent="0.35">
      <c r="B822" s="41"/>
      <c r="C822" s="80"/>
      <c r="D822" s="81"/>
      <c r="E822" s="81"/>
      <c r="F822" s="81"/>
      <c r="G822" s="82"/>
      <c r="H822" s="69"/>
      <c r="I822" s="69"/>
      <c r="J822" s="82"/>
      <c r="K822" s="82"/>
      <c r="L822" s="43"/>
      <c r="M822" s="43"/>
      <c r="N822" s="82"/>
      <c r="O822" s="82"/>
      <c r="P822" s="43"/>
      <c r="Q822" s="43"/>
      <c r="R822" s="82"/>
      <c r="S822" s="69"/>
      <c r="T822" s="82"/>
    </row>
    <row r="823" spans="2:20" x14ac:dyDescent="0.35">
      <c r="B823" s="41"/>
      <c r="C823" s="80"/>
      <c r="D823" s="81"/>
      <c r="E823" s="81"/>
      <c r="F823" s="81"/>
      <c r="G823" s="82"/>
      <c r="H823" s="69"/>
      <c r="I823" s="69"/>
      <c r="J823" s="82"/>
      <c r="K823" s="82"/>
      <c r="L823" s="43"/>
      <c r="M823" s="43"/>
      <c r="N823" s="82"/>
      <c r="O823" s="82"/>
      <c r="P823" s="43"/>
      <c r="Q823" s="43"/>
      <c r="R823" s="82"/>
      <c r="S823" s="69"/>
      <c r="T823" s="82"/>
    </row>
    <row r="824" spans="2:20" x14ac:dyDescent="0.35">
      <c r="B824" s="41"/>
      <c r="C824" s="80"/>
      <c r="D824" s="81"/>
      <c r="E824" s="81"/>
      <c r="F824" s="81"/>
      <c r="G824" s="82"/>
      <c r="H824" s="69"/>
      <c r="I824" s="69"/>
      <c r="J824" s="82"/>
      <c r="K824" s="82"/>
      <c r="L824" s="43"/>
      <c r="M824" s="43"/>
      <c r="N824" s="82"/>
      <c r="O824" s="82"/>
      <c r="P824" s="43"/>
      <c r="Q824" s="43"/>
      <c r="R824" s="82"/>
      <c r="S824" s="69"/>
      <c r="T824" s="82"/>
    </row>
    <row r="825" spans="2:20" x14ac:dyDescent="0.35">
      <c r="B825" s="41"/>
      <c r="C825" s="80"/>
      <c r="D825" s="81"/>
      <c r="E825" s="81"/>
      <c r="F825" s="81"/>
      <c r="G825" s="82"/>
      <c r="H825" s="69"/>
      <c r="I825" s="69"/>
      <c r="J825" s="82"/>
      <c r="K825" s="82"/>
      <c r="L825" s="43"/>
      <c r="M825" s="43"/>
      <c r="N825" s="82"/>
      <c r="O825" s="82"/>
      <c r="P825" s="43"/>
      <c r="Q825" s="43"/>
      <c r="R825" s="82"/>
      <c r="S825" s="69"/>
      <c r="T825" s="82"/>
    </row>
    <row r="826" spans="2:20" x14ac:dyDescent="0.35">
      <c r="B826" s="41"/>
      <c r="C826" s="80"/>
      <c r="D826" s="81"/>
      <c r="E826" s="81"/>
      <c r="F826" s="81"/>
      <c r="G826" s="82"/>
      <c r="H826" s="69"/>
      <c r="I826" s="69"/>
      <c r="J826" s="82"/>
      <c r="K826" s="82"/>
      <c r="L826" s="43"/>
      <c r="M826" s="43"/>
      <c r="N826" s="82"/>
      <c r="O826" s="82"/>
      <c r="P826" s="43"/>
      <c r="Q826" s="43"/>
      <c r="R826" s="82"/>
      <c r="S826" s="69"/>
      <c r="T826" s="82"/>
    </row>
    <row r="827" spans="2:20" x14ac:dyDescent="0.35">
      <c r="B827" s="41"/>
      <c r="C827" s="80"/>
      <c r="D827" s="81"/>
      <c r="E827" s="81"/>
      <c r="F827" s="81"/>
      <c r="G827" s="82"/>
      <c r="H827" s="69"/>
      <c r="I827" s="69"/>
      <c r="J827" s="82"/>
      <c r="K827" s="82"/>
      <c r="L827" s="43"/>
      <c r="M827" s="43"/>
      <c r="N827" s="82"/>
      <c r="O827" s="82"/>
      <c r="P827" s="43"/>
      <c r="Q827" s="43"/>
      <c r="R827" s="82"/>
      <c r="S827" s="69"/>
      <c r="T827" s="82"/>
    </row>
    <row r="828" spans="2:20" x14ac:dyDescent="0.35">
      <c r="B828" s="41"/>
      <c r="C828" s="80"/>
      <c r="D828" s="81"/>
      <c r="E828" s="81"/>
      <c r="F828" s="81"/>
      <c r="G828" s="82"/>
      <c r="H828" s="69"/>
      <c r="I828" s="69"/>
      <c r="J828" s="82"/>
      <c r="K828" s="82"/>
      <c r="L828" s="43"/>
      <c r="M828" s="43"/>
      <c r="N828" s="82"/>
      <c r="O828" s="82"/>
      <c r="P828" s="43"/>
      <c r="Q828" s="43"/>
      <c r="R828" s="82"/>
      <c r="S828" s="69"/>
      <c r="T828" s="82"/>
    </row>
    <row r="829" spans="2:20" x14ac:dyDescent="0.35">
      <c r="B829" s="41"/>
      <c r="C829" s="80"/>
      <c r="D829" s="81"/>
      <c r="E829" s="81"/>
      <c r="F829" s="81"/>
      <c r="G829" s="82"/>
      <c r="H829" s="69"/>
      <c r="I829" s="69"/>
      <c r="J829" s="82"/>
      <c r="K829" s="82"/>
      <c r="L829" s="43"/>
      <c r="M829" s="43"/>
      <c r="N829" s="82"/>
      <c r="O829" s="82"/>
      <c r="P829" s="43"/>
      <c r="Q829" s="43"/>
      <c r="R829" s="82"/>
      <c r="S829" s="69"/>
      <c r="T829" s="82"/>
    </row>
    <row r="830" spans="2:20" x14ac:dyDescent="0.35">
      <c r="B830" s="41"/>
      <c r="C830" s="80"/>
      <c r="D830" s="81"/>
      <c r="E830" s="81"/>
      <c r="F830" s="81"/>
      <c r="G830" s="82"/>
      <c r="H830" s="69"/>
      <c r="I830" s="69"/>
      <c r="J830" s="82"/>
      <c r="K830" s="82"/>
      <c r="L830" s="43"/>
      <c r="M830" s="43"/>
      <c r="N830" s="82"/>
      <c r="O830" s="82"/>
      <c r="P830" s="43"/>
      <c r="Q830" s="43"/>
      <c r="R830" s="82"/>
      <c r="S830" s="69"/>
      <c r="T830" s="82"/>
    </row>
    <row r="831" spans="2:20" x14ac:dyDescent="0.35">
      <c r="B831" s="41"/>
      <c r="C831" s="80"/>
      <c r="D831" s="81"/>
      <c r="E831" s="81"/>
      <c r="F831" s="81"/>
      <c r="G831" s="82"/>
      <c r="H831" s="69"/>
      <c r="I831" s="69"/>
      <c r="J831" s="82"/>
      <c r="K831" s="82"/>
      <c r="L831" s="43"/>
      <c r="M831" s="43"/>
      <c r="N831" s="82"/>
      <c r="O831" s="82"/>
      <c r="P831" s="43"/>
      <c r="Q831" s="43"/>
      <c r="R831" s="82"/>
      <c r="S831" s="69"/>
      <c r="T831" s="82"/>
    </row>
    <row r="832" spans="2:20" x14ac:dyDescent="0.35">
      <c r="B832" s="41"/>
      <c r="C832" s="80"/>
      <c r="D832" s="81"/>
      <c r="E832" s="81"/>
      <c r="F832" s="81"/>
      <c r="G832" s="82"/>
      <c r="H832" s="69"/>
      <c r="I832" s="69"/>
      <c r="J832" s="82"/>
      <c r="K832" s="82"/>
      <c r="L832" s="43"/>
      <c r="M832" s="43"/>
      <c r="N832" s="82"/>
      <c r="O832" s="82"/>
      <c r="P832" s="43"/>
      <c r="Q832" s="43"/>
      <c r="R832" s="82"/>
      <c r="S832" s="69"/>
      <c r="T832" s="82"/>
    </row>
    <row r="833" spans="2:20" x14ac:dyDescent="0.35">
      <c r="B833" s="41"/>
      <c r="C833" s="80"/>
      <c r="D833" s="81"/>
      <c r="E833" s="81"/>
      <c r="F833" s="81"/>
      <c r="G833" s="82"/>
      <c r="H833" s="69"/>
      <c r="I833" s="69"/>
      <c r="J833" s="82"/>
      <c r="K833" s="82"/>
      <c r="L833" s="43"/>
      <c r="M833" s="43"/>
      <c r="N833" s="82"/>
      <c r="O833" s="82"/>
      <c r="P833" s="43"/>
      <c r="Q833" s="43"/>
      <c r="R833" s="82"/>
      <c r="S833" s="69"/>
      <c r="T833" s="82"/>
    </row>
    <row r="834" spans="2:20" x14ac:dyDescent="0.35">
      <c r="B834" s="41"/>
      <c r="C834" s="80"/>
      <c r="D834" s="81"/>
      <c r="E834" s="81"/>
      <c r="F834" s="81"/>
      <c r="G834" s="82"/>
      <c r="H834" s="69"/>
      <c r="I834" s="69"/>
      <c r="J834" s="82"/>
      <c r="K834" s="82"/>
      <c r="L834" s="43"/>
      <c r="M834" s="43"/>
      <c r="N834" s="82"/>
      <c r="O834" s="82"/>
      <c r="P834" s="43"/>
      <c r="Q834" s="43"/>
      <c r="R834" s="82"/>
      <c r="S834" s="69"/>
      <c r="T834" s="82"/>
    </row>
    <row r="835" spans="2:20" x14ac:dyDescent="0.35">
      <c r="B835" s="41"/>
      <c r="C835" s="80"/>
      <c r="D835" s="81"/>
      <c r="E835" s="81"/>
      <c r="F835" s="81"/>
      <c r="G835" s="82"/>
      <c r="H835" s="69"/>
      <c r="I835" s="69"/>
      <c r="J835" s="82"/>
      <c r="K835" s="82"/>
      <c r="L835" s="43"/>
      <c r="M835" s="43"/>
      <c r="N835" s="82"/>
      <c r="O835" s="82"/>
      <c r="P835" s="43"/>
      <c r="Q835" s="43"/>
      <c r="R835" s="82"/>
      <c r="S835" s="69"/>
      <c r="T835" s="82"/>
    </row>
    <row r="836" spans="2:20" x14ac:dyDescent="0.35">
      <c r="B836" s="41"/>
      <c r="C836" s="80"/>
      <c r="D836" s="81"/>
      <c r="E836" s="81"/>
      <c r="F836" s="81"/>
      <c r="G836" s="82"/>
      <c r="H836" s="69"/>
      <c r="I836" s="69"/>
      <c r="J836" s="82"/>
      <c r="K836" s="82"/>
      <c r="L836" s="43"/>
      <c r="M836" s="43"/>
      <c r="N836" s="82"/>
      <c r="O836" s="82"/>
      <c r="P836" s="43"/>
      <c r="Q836" s="43"/>
      <c r="R836" s="82"/>
      <c r="S836" s="69"/>
      <c r="T836" s="82"/>
    </row>
    <row r="837" spans="2:20" x14ac:dyDescent="0.35">
      <c r="B837" s="41"/>
      <c r="C837" s="80"/>
      <c r="D837" s="81"/>
      <c r="E837" s="81"/>
      <c r="F837" s="81"/>
      <c r="G837" s="82"/>
      <c r="H837" s="69"/>
      <c r="I837" s="69"/>
      <c r="J837" s="82"/>
      <c r="K837" s="82"/>
      <c r="L837" s="43"/>
      <c r="M837" s="43"/>
      <c r="N837" s="82"/>
      <c r="O837" s="82"/>
      <c r="P837" s="43"/>
      <c r="Q837" s="43"/>
      <c r="R837" s="82"/>
      <c r="S837" s="69"/>
      <c r="T837" s="82"/>
    </row>
    <row r="838" spans="2:20" x14ac:dyDescent="0.35">
      <c r="B838" s="41"/>
      <c r="C838" s="80"/>
      <c r="D838" s="81"/>
      <c r="E838" s="81"/>
      <c r="F838" s="81"/>
      <c r="G838" s="82"/>
      <c r="H838" s="69"/>
      <c r="I838" s="69"/>
      <c r="J838" s="82"/>
      <c r="K838" s="82"/>
      <c r="L838" s="43"/>
      <c r="M838" s="43"/>
      <c r="N838" s="82"/>
      <c r="O838" s="82"/>
      <c r="P838" s="43"/>
      <c r="Q838" s="43"/>
      <c r="R838" s="82"/>
      <c r="S838" s="69"/>
      <c r="T838" s="82"/>
    </row>
    <row r="839" spans="2:20" x14ac:dyDescent="0.35">
      <c r="B839" s="41"/>
      <c r="C839" s="80"/>
      <c r="D839" s="81"/>
      <c r="E839" s="81"/>
      <c r="F839" s="81"/>
      <c r="G839" s="82"/>
      <c r="H839" s="69"/>
      <c r="I839" s="69"/>
      <c r="J839" s="82"/>
      <c r="K839" s="82"/>
      <c r="L839" s="43"/>
      <c r="M839" s="43"/>
      <c r="N839" s="82"/>
      <c r="O839" s="82"/>
      <c r="P839" s="43"/>
      <c r="Q839" s="43"/>
      <c r="R839" s="82"/>
      <c r="S839" s="69"/>
      <c r="T839" s="82"/>
    </row>
    <row r="840" spans="2:20" x14ac:dyDescent="0.35">
      <c r="B840" s="41"/>
      <c r="C840" s="80"/>
      <c r="D840" s="81"/>
      <c r="E840" s="81"/>
      <c r="F840" s="81"/>
      <c r="G840" s="82"/>
      <c r="H840" s="69"/>
      <c r="I840" s="69"/>
      <c r="J840" s="82"/>
      <c r="K840" s="82"/>
      <c r="L840" s="43"/>
      <c r="M840" s="43"/>
      <c r="N840" s="82"/>
      <c r="O840" s="82"/>
      <c r="P840" s="43"/>
      <c r="Q840" s="43"/>
      <c r="R840" s="82"/>
      <c r="S840" s="69"/>
      <c r="T840" s="82"/>
    </row>
    <row r="841" spans="2:20" x14ac:dyDescent="0.35">
      <c r="B841" s="41"/>
      <c r="C841" s="80"/>
      <c r="D841" s="81"/>
      <c r="E841" s="81"/>
      <c r="F841" s="81"/>
      <c r="G841" s="82"/>
      <c r="H841" s="69"/>
      <c r="I841" s="69"/>
      <c r="J841" s="82"/>
      <c r="K841" s="82"/>
      <c r="L841" s="43"/>
      <c r="M841" s="43"/>
      <c r="N841" s="82"/>
      <c r="O841" s="82"/>
      <c r="P841" s="43"/>
      <c r="Q841" s="43"/>
      <c r="R841" s="82"/>
      <c r="S841" s="69"/>
      <c r="T841" s="82"/>
    </row>
    <row r="842" spans="2:20" x14ac:dyDescent="0.35">
      <c r="B842" s="41"/>
      <c r="C842" s="80"/>
      <c r="D842" s="81"/>
      <c r="E842" s="81"/>
      <c r="F842" s="81"/>
      <c r="G842" s="82"/>
      <c r="H842" s="69"/>
      <c r="I842" s="69"/>
      <c r="J842" s="82"/>
      <c r="K842" s="82"/>
      <c r="L842" s="43"/>
      <c r="M842" s="43"/>
      <c r="N842" s="82"/>
      <c r="O842" s="82"/>
      <c r="P842" s="43"/>
      <c r="Q842" s="43"/>
      <c r="R842" s="82"/>
      <c r="S842" s="69"/>
      <c r="T842" s="82"/>
    </row>
    <row r="843" spans="2:20" x14ac:dyDescent="0.35">
      <c r="B843" s="41"/>
      <c r="C843" s="80"/>
      <c r="D843" s="81"/>
      <c r="E843" s="81"/>
      <c r="F843" s="81"/>
      <c r="G843" s="82"/>
      <c r="H843" s="69"/>
      <c r="I843" s="69"/>
      <c r="J843" s="82"/>
      <c r="K843" s="82"/>
      <c r="L843" s="43"/>
      <c r="M843" s="43"/>
      <c r="N843" s="82"/>
      <c r="O843" s="82"/>
      <c r="P843" s="43"/>
      <c r="Q843" s="43"/>
      <c r="R843" s="82"/>
      <c r="S843" s="69"/>
      <c r="T843" s="82"/>
    </row>
    <row r="844" spans="2:20" x14ac:dyDescent="0.35">
      <c r="B844" s="41"/>
      <c r="C844" s="80"/>
      <c r="D844" s="81"/>
      <c r="E844" s="81"/>
      <c r="F844" s="81"/>
      <c r="G844" s="82"/>
      <c r="H844" s="69"/>
      <c r="I844" s="69"/>
      <c r="J844" s="82"/>
      <c r="K844" s="82"/>
      <c r="L844" s="43"/>
      <c r="M844" s="43"/>
      <c r="N844" s="82"/>
      <c r="O844" s="82"/>
      <c r="P844" s="43"/>
      <c r="Q844" s="43"/>
      <c r="R844" s="82"/>
      <c r="S844" s="69"/>
      <c r="T844" s="82"/>
    </row>
    <row r="845" spans="2:20" x14ac:dyDescent="0.35">
      <c r="B845" s="41"/>
      <c r="C845" s="80"/>
      <c r="D845" s="81"/>
      <c r="E845" s="81"/>
      <c r="F845" s="81"/>
      <c r="G845" s="82"/>
      <c r="H845" s="69"/>
      <c r="I845" s="69"/>
      <c r="J845" s="82"/>
      <c r="K845" s="82"/>
      <c r="L845" s="43"/>
      <c r="M845" s="43"/>
      <c r="N845" s="82"/>
      <c r="O845" s="82"/>
      <c r="P845" s="43"/>
      <c r="Q845" s="43"/>
      <c r="R845" s="82"/>
      <c r="S845" s="69"/>
      <c r="T845" s="82"/>
    </row>
    <row r="846" spans="2:20" x14ac:dyDescent="0.35">
      <c r="B846" s="41"/>
      <c r="C846" s="80"/>
      <c r="D846" s="81"/>
      <c r="E846" s="81"/>
      <c r="F846" s="81"/>
      <c r="G846" s="82"/>
      <c r="H846" s="69"/>
      <c r="I846" s="69"/>
      <c r="J846" s="82"/>
      <c r="K846" s="82"/>
      <c r="L846" s="43"/>
      <c r="M846" s="43"/>
      <c r="N846" s="82"/>
      <c r="O846" s="82"/>
      <c r="P846" s="43"/>
      <c r="Q846" s="43"/>
      <c r="R846" s="82"/>
      <c r="S846" s="69"/>
      <c r="T846" s="82"/>
    </row>
    <row r="847" spans="2:20" x14ac:dyDescent="0.35">
      <c r="B847" s="41"/>
      <c r="C847" s="80"/>
      <c r="D847" s="81"/>
      <c r="E847" s="81"/>
      <c r="F847" s="81"/>
      <c r="G847" s="82"/>
      <c r="H847" s="69"/>
      <c r="I847" s="69"/>
      <c r="J847" s="82"/>
      <c r="K847" s="82"/>
      <c r="L847" s="43"/>
      <c r="M847" s="43"/>
      <c r="N847" s="82"/>
      <c r="O847" s="82"/>
      <c r="P847" s="43"/>
      <c r="Q847" s="43"/>
      <c r="R847" s="82"/>
      <c r="S847" s="69"/>
      <c r="T847" s="82"/>
    </row>
    <row r="848" spans="2:20" x14ac:dyDescent="0.35">
      <c r="B848" s="41"/>
      <c r="C848" s="80"/>
      <c r="D848" s="81"/>
      <c r="E848" s="81"/>
      <c r="F848" s="81"/>
      <c r="G848" s="82"/>
      <c r="H848" s="69"/>
      <c r="I848" s="69"/>
      <c r="J848" s="82"/>
      <c r="K848" s="82"/>
      <c r="L848" s="43"/>
      <c r="M848" s="43"/>
      <c r="N848" s="82"/>
      <c r="O848" s="82"/>
      <c r="P848" s="43"/>
      <c r="Q848" s="43"/>
      <c r="R848" s="82"/>
      <c r="S848" s="69"/>
      <c r="T848" s="82"/>
    </row>
    <row r="849" spans="2:20" x14ac:dyDescent="0.35">
      <c r="B849" s="41"/>
      <c r="C849" s="80"/>
      <c r="D849" s="81"/>
      <c r="E849" s="81"/>
      <c r="F849" s="81"/>
      <c r="G849" s="82"/>
      <c r="H849" s="69"/>
      <c r="I849" s="69"/>
      <c r="J849" s="82"/>
      <c r="K849" s="82"/>
      <c r="L849" s="43"/>
      <c r="M849" s="43"/>
      <c r="N849" s="82"/>
      <c r="O849" s="82"/>
      <c r="P849" s="43"/>
      <c r="Q849" s="43"/>
      <c r="R849" s="82"/>
      <c r="S849" s="69"/>
      <c r="T849" s="82"/>
    </row>
    <row r="850" spans="2:20" x14ac:dyDescent="0.35">
      <c r="B850" s="41"/>
      <c r="C850" s="80"/>
      <c r="D850" s="81"/>
      <c r="E850" s="81"/>
      <c r="F850" s="81"/>
      <c r="G850" s="82"/>
      <c r="H850" s="69"/>
      <c r="I850" s="69"/>
      <c r="J850" s="82"/>
      <c r="K850" s="82"/>
      <c r="L850" s="43"/>
      <c r="M850" s="43"/>
      <c r="N850" s="82"/>
      <c r="O850" s="82"/>
      <c r="P850" s="43"/>
      <c r="Q850" s="43"/>
      <c r="R850" s="82"/>
      <c r="S850" s="69"/>
      <c r="T850" s="82"/>
    </row>
    <row r="851" spans="2:20" x14ac:dyDescent="0.35">
      <c r="B851" s="41"/>
      <c r="C851" s="80"/>
      <c r="D851" s="81"/>
      <c r="E851" s="81"/>
      <c r="F851" s="81"/>
      <c r="G851" s="82"/>
      <c r="H851" s="69"/>
      <c r="I851" s="69"/>
      <c r="J851" s="82"/>
      <c r="K851" s="82"/>
      <c r="L851" s="43"/>
      <c r="M851" s="43"/>
      <c r="N851" s="82"/>
      <c r="O851" s="82"/>
      <c r="P851" s="43"/>
      <c r="Q851" s="43"/>
      <c r="R851" s="82"/>
      <c r="S851" s="69"/>
      <c r="T851" s="82"/>
    </row>
    <row r="852" spans="2:20" x14ac:dyDescent="0.35">
      <c r="B852" s="41"/>
      <c r="C852" s="80"/>
      <c r="D852" s="81"/>
      <c r="E852" s="81"/>
      <c r="F852" s="81"/>
      <c r="G852" s="82"/>
      <c r="H852" s="69"/>
      <c r="I852" s="69"/>
      <c r="J852" s="82"/>
      <c r="K852" s="82"/>
      <c r="L852" s="43"/>
      <c r="M852" s="43"/>
      <c r="N852" s="82"/>
      <c r="O852" s="82"/>
      <c r="P852" s="43"/>
      <c r="Q852" s="43"/>
      <c r="R852" s="82"/>
      <c r="S852" s="69"/>
      <c r="T852" s="82"/>
    </row>
    <row r="853" spans="2:20" x14ac:dyDescent="0.35">
      <c r="B853" s="41"/>
      <c r="C853" s="80"/>
      <c r="D853" s="81"/>
      <c r="E853" s="81"/>
      <c r="F853" s="81"/>
      <c r="G853" s="82"/>
      <c r="H853" s="69"/>
      <c r="I853" s="69"/>
      <c r="J853" s="82"/>
      <c r="K853" s="82"/>
      <c r="L853" s="43"/>
      <c r="M853" s="43"/>
      <c r="N853" s="82"/>
      <c r="O853" s="82"/>
      <c r="P853" s="43"/>
      <c r="Q853" s="43"/>
      <c r="R853" s="82"/>
      <c r="S853" s="69"/>
      <c r="T853" s="82"/>
    </row>
    <row r="854" spans="2:20" x14ac:dyDescent="0.35">
      <c r="B854" s="41"/>
      <c r="C854" s="80"/>
      <c r="D854" s="81"/>
      <c r="E854" s="81"/>
      <c r="F854" s="81"/>
      <c r="G854" s="82"/>
      <c r="H854" s="69"/>
      <c r="I854" s="69"/>
      <c r="J854" s="82"/>
      <c r="K854" s="82"/>
      <c r="L854" s="43"/>
      <c r="M854" s="43"/>
      <c r="N854" s="82"/>
      <c r="O854" s="82"/>
      <c r="P854" s="43"/>
      <c r="Q854" s="43"/>
      <c r="R854" s="82"/>
      <c r="S854" s="69"/>
      <c r="T854" s="82"/>
    </row>
    <row r="855" spans="2:20" x14ac:dyDescent="0.35">
      <c r="B855" s="41"/>
      <c r="C855" s="80"/>
      <c r="D855" s="81"/>
      <c r="E855" s="81"/>
      <c r="F855" s="81"/>
      <c r="G855" s="82"/>
      <c r="H855" s="69"/>
      <c r="I855" s="69"/>
      <c r="J855" s="82"/>
      <c r="K855" s="82"/>
      <c r="L855" s="43"/>
      <c r="M855" s="43"/>
      <c r="N855" s="82"/>
      <c r="O855" s="82"/>
      <c r="P855" s="43"/>
      <c r="Q855" s="43"/>
      <c r="R855" s="82"/>
      <c r="S855" s="69"/>
      <c r="T855" s="82"/>
    </row>
    <row r="856" spans="2:20" x14ac:dyDescent="0.35">
      <c r="B856" s="41"/>
      <c r="C856" s="80"/>
      <c r="D856" s="81"/>
      <c r="E856" s="81"/>
      <c r="F856" s="81"/>
      <c r="G856" s="82"/>
      <c r="H856" s="69"/>
      <c r="I856" s="69"/>
      <c r="J856" s="82"/>
      <c r="K856" s="82"/>
      <c r="L856" s="43"/>
      <c r="M856" s="43"/>
      <c r="N856" s="82"/>
      <c r="O856" s="82"/>
      <c r="P856" s="43"/>
      <c r="Q856" s="43"/>
      <c r="R856" s="82"/>
      <c r="S856" s="69"/>
      <c r="T856" s="82"/>
    </row>
    <row r="857" spans="2:20" x14ac:dyDescent="0.35">
      <c r="B857" s="41"/>
      <c r="C857" s="80"/>
      <c r="D857" s="81"/>
      <c r="E857" s="81"/>
      <c r="F857" s="81"/>
      <c r="G857" s="82"/>
      <c r="H857" s="69"/>
      <c r="I857" s="69"/>
      <c r="J857" s="82"/>
      <c r="K857" s="82"/>
      <c r="L857" s="43"/>
      <c r="M857" s="43"/>
      <c r="N857" s="82"/>
      <c r="O857" s="82"/>
      <c r="P857" s="43"/>
      <c r="Q857" s="43"/>
      <c r="R857" s="82"/>
      <c r="S857" s="69"/>
      <c r="T857" s="82"/>
    </row>
    <row r="858" spans="2:20" x14ac:dyDescent="0.35">
      <c r="B858" s="41"/>
      <c r="C858" s="80"/>
      <c r="D858" s="81"/>
      <c r="E858" s="81"/>
      <c r="F858" s="81"/>
      <c r="G858" s="82"/>
      <c r="H858" s="69"/>
      <c r="I858" s="69"/>
      <c r="J858" s="82"/>
      <c r="K858" s="82"/>
      <c r="L858" s="43"/>
      <c r="M858" s="43"/>
      <c r="N858" s="82"/>
      <c r="O858" s="82"/>
      <c r="P858" s="43"/>
      <c r="Q858" s="43"/>
      <c r="R858" s="82"/>
      <c r="S858" s="69"/>
      <c r="T858" s="82"/>
    </row>
    <row r="859" spans="2:20" x14ac:dyDescent="0.35">
      <c r="B859" s="41"/>
      <c r="C859" s="80"/>
      <c r="D859" s="81"/>
      <c r="E859" s="81"/>
      <c r="F859" s="81"/>
      <c r="G859" s="82"/>
      <c r="H859" s="69"/>
      <c r="I859" s="69"/>
      <c r="J859" s="82"/>
      <c r="K859" s="82"/>
      <c r="L859" s="43"/>
      <c r="M859" s="43"/>
      <c r="N859" s="82"/>
      <c r="O859" s="82"/>
      <c r="P859" s="43"/>
      <c r="Q859" s="43"/>
      <c r="R859" s="82"/>
      <c r="S859" s="69"/>
      <c r="T859" s="82"/>
    </row>
    <row r="860" spans="2:20" x14ac:dyDescent="0.35">
      <c r="B860" s="41"/>
      <c r="C860" s="80"/>
      <c r="D860" s="81"/>
      <c r="E860" s="81"/>
      <c r="F860" s="81"/>
      <c r="G860" s="82"/>
      <c r="H860" s="69"/>
      <c r="I860" s="69"/>
      <c r="J860" s="82"/>
      <c r="K860" s="82"/>
      <c r="L860" s="43"/>
      <c r="M860" s="43"/>
      <c r="N860" s="82"/>
      <c r="O860" s="82"/>
      <c r="P860" s="43"/>
      <c r="Q860" s="43"/>
      <c r="R860" s="82"/>
      <c r="S860" s="69"/>
      <c r="T860" s="82"/>
    </row>
    <row r="861" spans="2:20" x14ac:dyDescent="0.35">
      <c r="B861" s="41"/>
      <c r="C861" s="80"/>
      <c r="D861" s="81"/>
      <c r="E861" s="81"/>
      <c r="F861" s="81"/>
      <c r="G861" s="82"/>
      <c r="H861" s="69"/>
      <c r="I861" s="69"/>
      <c r="J861" s="82"/>
      <c r="K861" s="82"/>
      <c r="L861" s="43"/>
      <c r="M861" s="43"/>
      <c r="N861" s="82"/>
      <c r="O861" s="82"/>
      <c r="P861" s="43"/>
      <c r="Q861" s="43"/>
      <c r="R861" s="82"/>
      <c r="S861" s="69"/>
      <c r="T861" s="82"/>
    </row>
    <row r="862" spans="2:20" x14ac:dyDescent="0.35">
      <c r="B862" s="41"/>
      <c r="C862" s="80"/>
      <c r="D862" s="81"/>
      <c r="E862" s="81"/>
      <c r="F862" s="81"/>
      <c r="G862" s="82"/>
      <c r="H862" s="69"/>
      <c r="I862" s="69"/>
      <c r="J862" s="82"/>
      <c r="K862" s="82"/>
      <c r="L862" s="43"/>
      <c r="M862" s="43"/>
      <c r="N862" s="82"/>
      <c r="O862" s="82"/>
      <c r="P862" s="43"/>
      <c r="Q862" s="43"/>
      <c r="R862" s="82"/>
      <c r="S862" s="69"/>
      <c r="T862" s="82"/>
    </row>
    <row r="863" spans="2:20" x14ac:dyDescent="0.35">
      <c r="B863" s="41"/>
      <c r="C863" s="80"/>
      <c r="D863" s="81"/>
      <c r="E863" s="81"/>
      <c r="F863" s="81"/>
      <c r="G863" s="82"/>
      <c r="H863" s="69"/>
      <c r="I863" s="69"/>
      <c r="J863" s="82"/>
      <c r="K863" s="82"/>
      <c r="L863" s="43"/>
      <c r="M863" s="43"/>
      <c r="N863" s="82"/>
      <c r="O863" s="82"/>
      <c r="P863" s="43"/>
      <c r="Q863" s="43"/>
      <c r="R863" s="82"/>
      <c r="S863" s="69"/>
      <c r="T863" s="82"/>
    </row>
    <row r="864" spans="2:20" x14ac:dyDescent="0.35">
      <c r="B864" s="41"/>
      <c r="C864" s="80"/>
      <c r="D864" s="81"/>
      <c r="E864" s="81"/>
      <c r="F864" s="81"/>
      <c r="G864" s="82"/>
      <c r="H864" s="69"/>
      <c r="I864" s="69"/>
      <c r="J864" s="82"/>
      <c r="K864" s="82"/>
      <c r="L864" s="43"/>
      <c r="M864" s="43"/>
      <c r="N864" s="82"/>
      <c r="O864" s="82"/>
      <c r="P864" s="43"/>
      <c r="Q864" s="43"/>
      <c r="R864" s="82"/>
      <c r="S864" s="69"/>
      <c r="T864" s="82"/>
    </row>
    <row r="865" spans="2:20" x14ac:dyDescent="0.35">
      <c r="B865" s="41"/>
      <c r="C865" s="80"/>
      <c r="D865" s="81"/>
      <c r="E865" s="81"/>
      <c r="F865" s="81"/>
      <c r="G865" s="82"/>
      <c r="H865" s="69"/>
      <c r="I865" s="69"/>
      <c r="J865" s="82"/>
      <c r="K865" s="82"/>
      <c r="L865" s="43"/>
      <c r="M865" s="43"/>
      <c r="N865" s="82"/>
      <c r="O865" s="82"/>
      <c r="P865" s="43"/>
      <c r="Q865" s="43"/>
      <c r="R865" s="82"/>
      <c r="S865" s="69"/>
      <c r="T865" s="82"/>
    </row>
    <row r="866" spans="2:20" x14ac:dyDescent="0.35">
      <c r="B866" s="41"/>
      <c r="C866" s="80"/>
      <c r="D866" s="81"/>
      <c r="E866" s="81"/>
      <c r="F866" s="81"/>
      <c r="G866" s="82"/>
      <c r="H866" s="69"/>
      <c r="I866" s="69"/>
      <c r="J866" s="82"/>
      <c r="K866" s="82"/>
      <c r="L866" s="43"/>
      <c r="M866" s="43"/>
      <c r="N866" s="82"/>
      <c r="O866" s="82"/>
      <c r="P866" s="43"/>
      <c r="Q866" s="43"/>
      <c r="R866" s="82"/>
      <c r="S866" s="69"/>
      <c r="T866" s="82"/>
    </row>
    <row r="867" spans="2:20" x14ac:dyDescent="0.35">
      <c r="B867" s="41"/>
      <c r="C867" s="80"/>
      <c r="D867" s="81"/>
      <c r="E867" s="81"/>
      <c r="F867" s="81"/>
      <c r="G867" s="82"/>
      <c r="H867" s="69"/>
      <c r="I867" s="69"/>
      <c r="J867" s="82"/>
      <c r="K867" s="82"/>
      <c r="L867" s="43"/>
      <c r="M867" s="43"/>
      <c r="N867" s="82"/>
      <c r="O867" s="82"/>
      <c r="P867" s="43"/>
      <c r="Q867" s="43"/>
      <c r="R867" s="82"/>
      <c r="S867" s="69"/>
      <c r="T867" s="82"/>
    </row>
    <row r="868" spans="2:20" x14ac:dyDescent="0.35">
      <c r="B868" s="41"/>
      <c r="C868" s="80"/>
      <c r="D868" s="81"/>
      <c r="E868" s="81"/>
      <c r="F868" s="81"/>
      <c r="G868" s="82"/>
      <c r="H868" s="69"/>
      <c r="I868" s="69"/>
      <c r="J868" s="82"/>
      <c r="K868" s="82"/>
      <c r="L868" s="43"/>
      <c r="M868" s="43"/>
      <c r="N868" s="82"/>
      <c r="O868" s="82"/>
      <c r="P868" s="43"/>
      <c r="Q868" s="43"/>
      <c r="R868" s="82"/>
      <c r="S868" s="69"/>
      <c r="T868" s="82"/>
    </row>
    <row r="869" spans="2:20" x14ac:dyDescent="0.35">
      <c r="B869" s="41"/>
      <c r="C869" s="80"/>
      <c r="D869" s="81"/>
      <c r="E869" s="81"/>
      <c r="F869" s="81"/>
      <c r="G869" s="82"/>
      <c r="H869" s="69"/>
      <c r="I869" s="69"/>
      <c r="J869" s="82"/>
      <c r="K869" s="82"/>
      <c r="L869" s="43"/>
      <c r="M869" s="43"/>
      <c r="N869" s="82"/>
      <c r="O869" s="82"/>
      <c r="P869" s="43"/>
      <c r="Q869" s="43"/>
      <c r="R869" s="82"/>
      <c r="S869" s="69"/>
      <c r="T869" s="82"/>
    </row>
    <row r="870" spans="2:20" x14ac:dyDescent="0.35">
      <c r="B870" s="41"/>
      <c r="C870" s="80"/>
      <c r="D870" s="81"/>
      <c r="E870" s="81"/>
      <c r="F870" s="81"/>
      <c r="G870" s="82"/>
      <c r="H870" s="69"/>
      <c r="I870" s="69"/>
      <c r="J870" s="82"/>
      <c r="K870" s="82"/>
      <c r="L870" s="43"/>
      <c r="M870" s="43"/>
      <c r="N870" s="82"/>
      <c r="O870" s="82"/>
      <c r="P870" s="43"/>
      <c r="Q870" s="43"/>
      <c r="R870" s="82"/>
      <c r="S870" s="69"/>
      <c r="T870" s="82"/>
    </row>
    <row r="871" spans="2:20" x14ac:dyDescent="0.35">
      <c r="B871" s="41"/>
      <c r="C871" s="80"/>
      <c r="D871" s="81"/>
      <c r="E871" s="81"/>
      <c r="F871" s="81"/>
      <c r="G871" s="82"/>
      <c r="H871" s="69"/>
      <c r="I871" s="69"/>
      <c r="J871" s="82"/>
      <c r="K871" s="82"/>
      <c r="L871" s="43"/>
      <c r="M871" s="43"/>
      <c r="N871" s="82"/>
      <c r="O871" s="82"/>
      <c r="P871" s="43"/>
      <c r="Q871" s="43"/>
      <c r="R871" s="82"/>
      <c r="S871" s="69"/>
      <c r="T871" s="82"/>
    </row>
    <row r="872" spans="2:20" x14ac:dyDescent="0.35">
      <c r="B872" s="41"/>
      <c r="C872" s="80"/>
      <c r="D872" s="81"/>
      <c r="E872" s="81"/>
      <c r="F872" s="81"/>
      <c r="G872" s="82"/>
      <c r="H872" s="69"/>
      <c r="I872" s="69"/>
      <c r="J872" s="82"/>
      <c r="K872" s="82"/>
      <c r="L872" s="43"/>
      <c r="M872" s="43"/>
      <c r="N872" s="82"/>
      <c r="O872" s="82"/>
      <c r="P872" s="43"/>
      <c r="Q872" s="43"/>
      <c r="R872" s="82"/>
      <c r="S872" s="69"/>
      <c r="T872" s="82"/>
    </row>
    <row r="873" spans="2:20" x14ac:dyDescent="0.35">
      <c r="B873" s="41"/>
      <c r="C873" s="80"/>
      <c r="D873" s="81"/>
      <c r="E873" s="81"/>
      <c r="F873" s="81"/>
      <c r="G873" s="82"/>
      <c r="H873" s="69"/>
      <c r="I873" s="69"/>
      <c r="J873" s="82"/>
      <c r="K873" s="82"/>
      <c r="L873" s="43"/>
      <c r="M873" s="43"/>
      <c r="N873" s="82"/>
      <c r="O873" s="82"/>
      <c r="P873" s="43"/>
      <c r="Q873" s="43"/>
      <c r="R873" s="82"/>
      <c r="S873" s="69"/>
      <c r="T873" s="82"/>
    </row>
    <row r="874" spans="2:20" x14ac:dyDescent="0.35">
      <c r="B874" s="41"/>
      <c r="C874" s="80"/>
      <c r="D874" s="81"/>
      <c r="E874" s="81"/>
      <c r="F874" s="81"/>
      <c r="G874" s="82"/>
      <c r="H874" s="69"/>
      <c r="I874" s="69"/>
      <c r="J874" s="82"/>
      <c r="K874" s="82"/>
      <c r="L874" s="43"/>
      <c r="M874" s="43"/>
      <c r="N874" s="82"/>
      <c r="O874" s="82"/>
      <c r="P874" s="43"/>
      <c r="Q874" s="43"/>
      <c r="R874" s="82"/>
      <c r="S874" s="69"/>
      <c r="T874" s="82"/>
    </row>
    <row r="875" spans="2:20" x14ac:dyDescent="0.35">
      <c r="B875" s="41"/>
      <c r="C875" s="80"/>
      <c r="D875" s="81"/>
      <c r="E875" s="81"/>
      <c r="F875" s="81"/>
      <c r="G875" s="82"/>
      <c r="H875" s="69"/>
      <c r="I875" s="69"/>
      <c r="J875" s="82"/>
      <c r="K875" s="82"/>
      <c r="L875" s="43"/>
      <c r="M875" s="43"/>
      <c r="N875" s="82"/>
      <c r="O875" s="82"/>
      <c r="P875" s="43"/>
      <c r="Q875" s="43"/>
      <c r="R875" s="82"/>
      <c r="S875" s="69"/>
      <c r="T875" s="82"/>
    </row>
    <row r="876" spans="2:20" x14ac:dyDescent="0.35">
      <c r="B876" s="41"/>
      <c r="C876" s="80"/>
      <c r="D876" s="81"/>
      <c r="E876" s="81"/>
      <c r="F876" s="81"/>
      <c r="G876" s="82"/>
      <c r="H876" s="69"/>
      <c r="I876" s="69"/>
      <c r="J876" s="82"/>
      <c r="K876" s="82"/>
      <c r="L876" s="43"/>
      <c r="M876" s="43"/>
      <c r="N876" s="82"/>
      <c r="O876" s="82"/>
      <c r="P876" s="43"/>
      <c r="Q876" s="43"/>
      <c r="R876" s="82"/>
      <c r="S876" s="69"/>
      <c r="T876" s="82"/>
    </row>
    <row r="877" spans="2:20" x14ac:dyDescent="0.35">
      <c r="B877" s="41"/>
      <c r="C877" s="80"/>
      <c r="D877" s="81"/>
      <c r="E877" s="81"/>
      <c r="F877" s="81"/>
      <c r="G877" s="82"/>
      <c r="H877" s="69"/>
      <c r="I877" s="69"/>
      <c r="J877" s="82"/>
      <c r="K877" s="82"/>
      <c r="L877" s="43"/>
      <c r="M877" s="43"/>
      <c r="N877" s="82"/>
      <c r="O877" s="82"/>
      <c r="P877" s="43"/>
      <c r="Q877" s="43"/>
      <c r="R877" s="82"/>
      <c r="S877" s="69"/>
      <c r="T877" s="82"/>
    </row>
    <row r="878" spans="2:20" x14ac:dyDescent="0.35">
      <c r="B878" s="41"/>
      <c r="C878" s="80"/>
      <c r="D878" s="81"/>
      <c r="E878" s="81"/>
      <c r="F878" s="81"/>
      <c r="G878" s="82"/>
      <c r="H878" s="69"/>
      <c r="I878" s="69"/>
      <c r="J878" s="82"/>
      <c r="K878" s="82"/>
      <c r="L878" s="43"/>
      <c r="M878" s="43"/>
      <c r="N878" s="82"/>
      <c r="O878" s="82"/>
      <c r="P878" s="43"/>
      <c r="Q878" s="43"/>
      <c r="R878" s="82"/>
      <c r="S878" s="69"/>
      <c r="T878" s="82"/>
    </row>
    <row r="879" spans="2:20" x14ac:dyDescent="0.35">
      <c r="B879" s="41"/>
      <c r="C879" s="80"/>
      <c r="D879" s="81"/>
      <c r="E879" s="81"/>
      <c r="F879" s="81"/>
      <c r="G879" s="82"/>
      <c r="H879" s="69"/>
      <c r="I879" s="69"/>
      <c r="J879" s="82"/>
      <c r="K879" s="82"/>
      <c r="L879" s="43"/>
      <c r="M879" s="43"/>
      <c r="N879" s="82"/>
      <c r="O879" s="82"/>
      <c r="P879" s="43"/>
      <c r="Q879" s="43"/>
      <c r="R879" s="82"/>
      <c r="S879" s="69"/>
      <c r="T879" s="82"/>
    </row>
    <row r="880" spans="2:20" x14ac:dyDescent="0.35">
      <c r="B880" s="41"/>
      <c r="C880" s="80"/>
      <c r="D880" s="81"/>
      <c r="E880" s="81"/>
      <c r="F880" s="81"/>
      <c r="G880" s="82"/>
      <c r="H880" s="69"/>
      <c r="I880" s="69"/>
      <c r="J880" s="82"/>
      <c r="K880" s="82"/>
      <c r="L880" s="43"/>
      <c r="M880" s="43"/>
      <c r="N880" s="82"/>
      <c r="O880" s="82"/>
      <c r="P880" s="43"/>
      <c r="Q880" s="43"/>
      <c r="R880" s="82"/>
      <c r="S880" s="69"/>
      <c r="T880" s="82"/>
    </row>
    <row r="881" spans="2:20" x14ac:dyDescent="0.35">
      <c r="B881" s="41"/>
      <c r="C881" s="80"/>
      <c r="D881" s="81"/>
      <c r="E881" s="81"/>
      <c r="F881" s="81"/>
      <c r="G881" s="82"/>
      <c r="H881" s="69"/>
      <c r="I881" s="69"/>
      <c r="J881" s="82"/>
      <c r="K881" s="82"/>
      <c r="L881" s="43"/>
      <c r="M881" s="43"/>
      <c r="N881" s="82"/>
      <c r="O881" s="82"/>
      <c r="P881" s="43"/>
      <c r="Q881" s="43"/>
      <c r="R881" s="82"/>
      <c r="S881" s="69"/>
      <c r="T881" s="82"/>
    </row>
    <row r="882" spans="2:20" x14ac:dyDescent="0.35">
      <c r="B882" s="41"/>
      <c r="C882" s="80"/>
      <c r="D882" s="81"/>
      <c r="E882" s="81"/>
      <c r="F882" s="81"/>
      <c r="G882" s="82"/>
      <c r="H882" s="69"/>
      <c r="I882" s="69"/>
      <c r="J882" s="82"/>
      <c r="K882" s="82"/>
      <c r="L882" s="43"/>
      <c r="M882" s="43"/>
      <c r="N882" s="82"/>
      <c r="O882" s="82"/>
      <c r="P882" s="43"/>
      <c r="Q882" s="43"/>
      <c r="R882" s="82"/>
      <c r="S882" s="69"/>
      <c r="T882" s="82"/>
    </row>
    <row r="883" spans="2:20" x14ac:dyDescent="0.35">
      <c r="B883" s="41"/>
      <c r="C883" s="80"/>
      <c r="D883" s="81"/>
      <c r="E883" s="81"/>
      <c r="F883" s="81"/>
      <c r="G883" s="82"/>
      <c r="H883" s="69"/>
      <c r="I883" s="69"/>
      <c r="J883" s="82"/>
      <c r="K883" s="82"/>
      <c r="L883" s="43"/>
      <c r="M883" s="43"/>
      <c r="N883" s="82"/>
      <c r="O883" s="82"/>
      <c r="P883" s="43"/>
      <c r="Q883" s="43"/>
      <c r="R883" s="82"/>
      <c r="S883" s="69"/>
      <c r="T883" s="82"/>
    </row>
    <row r="884" spans="2:20" x14ac:dyDescent="0.35">
      <c r="B884" s="41"/>
      <c r="C884" s="80"/>
      <c r="D884" s="81"/>
      <c r="E884" s="81"/>
      <c r="F884" s="81"/>
      <c r="G884" s="82"/>
      <c r="H884" s="69"/>
      <c r="I884" s="69"/>
      <c r="J884" s="82"/>
      <c r="K884" s="82"/>
      <c r="L884" s="43"/>
      <c r="M884" s="43"/>
      <c r="N884" s="82"/>
      <c r="O884" s="82"/>
      <c r="P884" s="43"/>
      <c r="Q884" s="43"/>
      <c r="R884" s="82"/>
      <c r="S884" s="69"/>
      <c r="T884" s="82"/>
    </row>
    <row r="885" spans="2:20" x14ac:dyDescent="0.35">
      <c r="B885" s="41"/>
      <c r="C885" s="80"/>
      <c r="D885" s="81"/>
      <c r="E885" s="81"/>
      <c r="F885" s="81"/>
      <c r="G885" s="82"/>
      <c r="H885" s="69"/>
      <c r="I885" s="69"/>
      <c r="J885" s="82"/>
      <c r="K885" s="82"/>
      <c r="L885" s="43"/>
      <c r="M885" s="43"/>
      <c r="N885" s="82"/>
      <c r="O885" s="82"/>
      <c r="P885" s="43"/>
      <c r="Q885" s="43"/>
      <c r="R885" s="82"/>
      <c r="S885" s="69"/>
      <c r="T885" s="82"/>
    </row>
    <row r="886" spans="2:20" x14ac:dyDescent="0.35">
      <c r="B886" s="41"/>
      <c r="C886" s="80"/>
      <c r="D886" s="81"/>
      <c r="E886" s="81"/>
      <c r="F886" s="81"/>
      <c r="G886" s="82"/>
      <c r="H886" s="69"/>
      <c r="I886" s="69"/>
      <c r="J886" s="82"/>
      <c r="K886" s="82"/>
      <c r="L886" s="43"/>
      <c r="M886" s="43"/>
      <c r="N886" s="82"/>
      <c r="O886" s="82"/>
      <c r="P886" s="43"/>
      <c r="Q886" s="43"/>
      <c r="R886" s="82"/>
      <c r="S886" s="69"/>
      <c r="T886" s="82"/>
    </row>
    <row r="887" spans="2:20" x14ac:dyDescent="0.35">
      <c r="B887" s="41"/>
      <c r="C887" s="80"/>
      <c r="D887" s="81"/>
      <c r="E887" s="81"/>
      <c r="F887" s="81"/>
      <c r="G887" s="82"/>
      <c r="H887" s="69"/>
      <c r="I887" s="69"/>
      <c r="J887" s="82"/>
      <c r="K887" s="82"/>
      <c r="L887" s="43"/>
      <c r="M887" s="43"/>
      <c r="N887" s="82"/>
      <c r="O887" s="82"/>
      <c r="P887" s="43"/>
      <c r="Q887" s="43"/>
      <c r="R887" s="82"/>
      <c r="S887" s="69"/>
      <c r="T887" s="82"/>
    </row>
    <row r="888" spans="2:20" x14ac:dyDescent="0.35">
      <c r="B888" s="41"/>
      <c r="C888" s="80"/>
      <c r="D888" s="81"/>
      <c r="E888" s="81"/>
      <c r="F888" s="81"/>
      <c r="G888" s="82"/>
      <c r="H888" s="69"/>
      <c r="I888" s="69"/>
      <c r="J888" s="82"/>
      <c r="K888" s="82"/>
      <c r="L888" s="43"/>
      <c r="M888" s="43"/>
      <c r="N888" s="82"/>
      <c r="O888" s="82"/>
      <c r="P888" s="43"/>
      <c r="Q888" s="43"/>
      <c r="R888" s="82"/>
      <c r="S888" s="69"/>
      <c r="T888" s="82"/>
    </row>
    <row r="889" spans="2:20" x14ac:dyDescent="0.35">
      <c r="B889" s="41"/>
      <c r="C889" s="80"/>
      <c r="D889" s="81"/>
      <c r="E889" s="81"/>
      <c r="F889" s="81"/>
      <c r="G889" s="82"/>
      <c r="H889" s="69"/>
      <c r="I889" s="69"/>
      <c r="J889" s="82"/>
      <c r="K889" s="82"/>
      <c r="L889" s="43"/>
      <c r="M889" s="43"/>
      <c r="N889" s="82"/>
      <c r="O889" s="82"/>
      <c r="P889" s="43"/>
      <c r="Q889" s="43"/>
      <c r="R889" s="82"/>
      <c r="S889" s="69"/>
      <c r="T889" s="82"/>
    </row>
    <row r="890" spans="2:20" x14ac:dyDescent="0.35">
      <c r="B890" s="41"/>
      <c r="C890" s="80"/>
      <c r="D890" s="81"/>
      <c r="E890" s="81"/>
      <c r="F890" s="81"/>
      <c r="G890" s="82"/>
      <c r="H890" s="69"/>
      <c r="I890" s="69"/>
      <c r="J890" s="82"/>
      <c r="K890" s="82"/>
      <c r="L890" s="43"/>
      <c r="M890" s="43"/>
      <c r="N890" s="82"/>
      <c r="O890" s="82"/>
      <c r="P890" s="43"/>
      <c r="Q890" s="43"/>
      <c r="R890" s="82"/>
      <c r="S890" s="69"/>
      <c r="T890" s="82"/>
    </row>
    <row r="891" spans="2:20" x14ac:dyDescent="0.35">
      <c r="B891" s="41"/>
      <c r="C891" s="80"/>
      <c r="D891" s="81"/>
      <c r="E891" s="81"/>
      <c r="F891" s="81"/>
      <c r="G891" s="82"/>
      <c r="H891" s="69"/>
      <c r="I891" s="69"/>
      <c r="J891" s="82"/>
      <c r="K891" s="82"/>
      <c r="L891" s="43"/>
      <c r="M891" s="43"/>
      <c r="N891" s="82"/>
      <c r="O891" s="82"/>
      <c r="P891" s="43"/>
      <c r="Q891" s="43"/>
      <c r="R891" s="82"/>
      <c r="S891" s="69"/>
      <c r="T891" s="82"/>
    </row>
    <row r="892" spans="2:20" x14ac:dyDescent="0.35">
      <c r="B892" s="41"/>
      <c r="C892" s="80"/>
      <c r="D892" s="81"/>
      <c r="E892" s="81"/>
      <c r="F892" s="81"/>
      <c r="G892" s="82"/>
      <c r="H892" s="69"/>
      <c r="I892" s="69"/>
      <c r="J892" s="82"/>
      <c r="K892" s="82"/>
      <c r="L892" s="43"/>
      <c r="M892" s="43"/>
      <c r="N892" s="82"/>
      <c r="O892" s="82"/>
      <c r="P892" s="43"/>
      <c r="Q892" s="43"/>
      <c r="R892" s="82"/>
      <c r="S892" s="69"/>
      <c r="T892" s="82"/>
    </row>
    <row r="893" spans="2:20" x14ac:dyDescent="0.35">
      <c r="B893" s="41"/>
      <c r="C893" s="80"/>
      <c r="D893" s="81"/>
      <c r="E893" s="81"/>
      <c r="F893" s="81"/>
      <c r="G893" s="82"/>
      <c r="H893" s="69"/>
      <c r="I893" s="69"/>
      <c r="J893" s="82"/>
      <c r="K893" s="82"/>
      <c r="L893" s="43"/>
      <c r="M893" s="43"/>
      <c r="N893" s="82"/>
      <c r="O893" s="82"/>
      <c r="P893" s="43"/>
      <c r="Q893" s="43"/>
      <c r="R893" s="82"/>
      <c r="S893" s="69"/>
      <c r="T893" s="82"/>
    </row>
    <row r="894" spans="2:20" x14ac:dyDescent="0.35">
      <c r="B894" s="41"/>
      <c r="C894" s="80"/>
      <c r="D894" s="81"/>
      <c r="E894" s="81"/>
      <c r="F894" s="81"/>
      <c r="G894" s="82"/>
      <c r="H894" s="69"/>
      <c r="I894" s="69"/>
      <c r="J894" s="82"/>
      <c r="K894" s="82"/>
      <c r="L894" s="43"/>
      <c r="M894" s="43"/>
      <c r="N894" s="82"/>
      <c r="O894" s="82"/>
      <c r="P894" s="43"/>
      <c r="Q894" s="43"/>
      <c r="R894" s="82"/>
      <c r="S894" s="69"/>
      <c r="T894" s="82"/>
    </row>
    <row r="895" spans="2:20" x14ac:dyDescent="0.35">
      <c r="B895" s="41"/>
      <c r="C895" s="80"/>
      <c r="D895" s="81"/>
      <c r="E895" s="81"/>
      <c r="F895" s="81"/>
      <c r="G895" s="82"/>
      <c r="H895" s="69"/>
      <c r="I895" s="69"/>
      <c r="J895" s="82"/>
      <c r="K895" s="82"/>
      <c r="L895" s="43"/>
      <c r="M895" s="43"/>
      <c r="N895" s="82"/>
      <c r="O895" s="82"/>
      <c r="P895" s="43"/>
      <c r="Q895" s="43"/>
      <c r="R895" s="82"/>
      <c r="S895" s="69"/>
      <c r="T895" s="82"/>
    </row>
    <row r="896" spans="2:20" x14ac:dyDescent="0.35">
      <c r="B896" s="41"/>
      <c r="C896" s="80"/>
      <c r="D896" s="81"/>
      <c r="E896" s="81"/>
      <c r="F896" s="81"/>
      <c r="G896" s="82"/>
      <c r="H896" s="69"/>
      <c r="I896" s="69"/>
      <c r="J896" s="82"/>
      <c r="K896" s="82"/>
      <c r="L896" s="43"/>
      <c r="M896" s="43"/>
      <c r="N896" s="82"/>
      <c r="O896" s="82"/>
      <c r="P896" s="43"/>
      <c r="Q896" s="43"/>
      <c r="R896" s="82"/>
      <c r="S896" s="69"/>
      <c r="T896" s="82"/>
    </row>
    <row r="897" spans="2:20" x14ac:dyDescent="0.35">
      <c r="B897" s="41"/>
      <c r="C897" s="80"/>
      <c r="D897" s="81"/>
      <c r="E897" s="81"/>
      <c r="F897" s="81"/>
      <c r="G897" s="82"/>
      <c r="H897" s="69"/>
      <c r="I897" s="69"/>
      <c r="J897" s="82"/>
      <c r="K897" s="82"/>
      <c r="L897" s="43"/>
      <c r="M897" s="43"/>
      <c r="N897" s="82"/>
      <c r="O897" s="82"/>
      <c r="P897" s="43"/>
      <c r="Q897" s="43"/>
      <c r="R897" s="82"/>
      <c r="S897" s="69"/>
      <c r="T897" s="82"/>
    </row>
    <row r="898" spans="2:20" x14ac:dyDescent="0.35">
      <c r="B898" s="41"/>
      <c r="C898" s="80"/>
      <c r="D898" s="81"/>
      <c r="E898" s="81"/>
      <c r="F898" s="81"/>
      <c r="G898" s="82"/>
      <c r="H898" s="69"/>
      <c r="I898" s="69"/>
      <c r="J898" s="82"/>
      <c r="K898" s="82"/>
      <c r="L898" s="43"/>
      <c r="M898" s="43"/>
      <c r="N898" s="82"/>
      <c r="O898" s="82"/>
      <c r="P898" s="43"/>
      <c r="Q898" s="43"/>
      <c r="R898" s="82"/>
      <c r="S898" s="69"/>
      <c r="T898" s="82"/>
    </row>
    <row r="899" spans="2:20" x14ac:dyDescent="0.35">
      <c r="B899" s="41"/>
      <c r="C899" s="80"/>
      <c r="D899" s="81"/>
      <c r="E899" s="81"/>
      <c r="F899" s="81"/>
      <c r="G899" s="82"/>
      <c r="H899" s="69"/>
      <c r="I899" s="69"/>
      <c r="J899" s="82"/>
      <c r="K899" s="82"/>
      <c r="L899" s="43"/>
      <c r="M899" s="43"/>
      <c r="N899" s="82"/>
      <c r="O899" s="82"/>
      <c r="P899" s="43"/>
      <c r="Q899" s="43"/>
      <c r="R899" s="82"/>
      <c r="S899" s="69"/>
      <c r="T899" s="82"/>
    </row>
    <row r="900" spans="2:20" x14ac:dyDescent="0.35">
      <c r="B900" s="41"/>
      <c r="C900" s="80"/>
      <c r="D900" s="81"/>
      <c r="E900" s="81"/>
      <c r="F900" s="81"/>
      <c r="G900" s="82"/>
      <c r="H900" s="69"/>
      <c r="I900" s="69"/>
      <c r="J900" s="82"/>
      <c r="K900" s="82"/>
      <c r="L900" s="43"/>
      <c r="M900" s="43"/>
      <c r="N900" s="82"/>
      <c r="O900" s="82"/>
      <c r="P900" s="43"/>
      <c r="Q900" s="43"/>
      <c r="R900" s="82"/>
      <c r="S900" s="69"/>
      <c r="T900" s="82"/>
    </row>
    <row r="901" spans="2:20" x14ac:dyDescent="0.35">
      <c r="B901" s="41"/>
      <c r="C901" s="80"/>
      <c r="D901" s="81"/>
      <c r="E901" s="81"/>
      <c r="F901" s="81"/>
      <c r="G901" s="82"/>
      <c r="H901" s="69"/>
      <c r="I901" s="69"/>
      <c r="J901" s="82"/>
      <c r="K901" s="82"/>
      <c r="L901" s="43"/>
      <c r="M901" s="43"/>
      <c r="N901" s="82"/>
      <c r="O901" s="82"/>
      <c r="P901" s="43"/>
      <c r="Q901" s="43"/>
      <c r="R901" s="82"/>
      <c r="S901" s="69"/>
      <c r="T901" s="82"/>
    </row>
    <row r="902" spans="2:20" x14ac:dyDescent="0.35">
      <c r="B902" s="41"/>
      <c r="C902" s="80"/>
      <c r="D902" s="81"/>
      <c r="E902" s="81"/>
      <c r="F902" s="81"/>
      <c r="G902" s="82"/>
      <c r="H902" s="69"/>
      <c r="I902" s="69"/>
      <c r="J902" s="82"/>
      <c r="K902" s="82"/>
      <c r="L902" s="43"/>
      <c r="M902" s="43"/>
      <c r="N902" s="82"/>
      <c r="O902" s="82"/>
      <c r="P902" s="43"/>
      <c r="Q902" s="43"/>
      <c r="R902" s="82"/>
      <c r="S902" s="69"/>
      <c r="T902" s="82"/>
    </row>
    <row r="903" spans="2:20" x14ac:dyDescent="0.35">
      <c r="B903" s="41"/>
      <c r="C903" s="80"/>
      <c r="D903" s="81"/>
      <c r="E903" s="81"/>
      <c r="F903" s="81"/>
      <c r="G903" s="82"/>
      <c r="H903" s="69"/>
      <c r="I903" s="69"/>
      <c r="J903" s="82"/>
      <c r="K903" s="82"/>
      <c r="L903" s="43"/>
      <c r="M903" s="43"/>
      <c r="N903" s="82"/>
      <c r="O903" s="82"/>
      <c r="P903" s="43"/>
      <c r="Q903" s="43"/>
      <c r="R903" s="82"/>
      <c r="S903" s="69"/>
      <c r="T903" s="82"/>
    </row>
    <row r="904" spans="2:20" x14ac:dyDescent="0.35">
      <c r="B904" s="41"/>
      <c r="C904" s="80"/>
      <c r="D904" s="81"/>
      <c r="E904" s="81"/>
      <c r="F904" s="81"/>
      <c r="G904" s="82"/>
      <c r="H904" s="69"/>
      <c r="I904" s="69"/>
      <c r="J904" s="82"/>
      <c r="K904" s="82"/>
      <c r="L904" s="43"/>
      <c r="M904" s="43"/>
      <c r="N904" s="82"/>
      <c r="O904" s="82"/>
      <c r="P904" s="43"/>
      <c r="Q904" s="43"/>
      <c r="R904" s="82"/>
      <c r="S904" s="69"/>
      <c r="T904" s="82"/>
    </row>
    <row r="905" spans="2:20" x14ac:dyDescent="0.35">
      <c r="B905" s="41"/>
      <c r="C905" s="80"/>
      <c r="D905" s="81"/>
      <c r="E905" s="81"/>
      <c r="F905" s="81"/>
      <c r="G905" s="82"/>
      <c r="H905" s="69"/>
      <c r="I905" s="69"/>
      <c r="J905" s="82"/>
      <c r="K905" s="82"/>
      <c r="L905" s="43"/>
      <c r="M905" s="43"/>
      <c r="N905" s="82"/>
      <c r="O905" s="82"/>
      <c r="P905" s="43"/>
      <c r="Q905" s="43"/>
      <c r="R905" s="82"/>
      <c r="S905" s="69"/>
      <c r="T905" s="82"/>
    </row>
    <row r="906" spans="2:20" x14ac:dyDescent="0.35">
      <c r="B906" s="41"/>
      <c r="C906" s="80"/>
      <c r="D906" s="81"/>
      <c r="E906" s="81"/>
      <c r="F906" s="81"/>
      <c r="G906" s="82"/>
      <c r="H906" s="69"/>
      <c r="I906" s="69"/>
      <c r="J906" s="82"/>
      <c r="K906" s="82"/>
      <c r="L906" s="43"/>
      <c r="M906" s="43"/>
      <c r="N906" s="82"/>
      <c r="O906" s="82"/>
      <c r="P906" s="43"/>
      <c r="Q906" s="43"/>
      <c r="R906" s="82"/>
      <c r="S906" s="69"/>
      <c r="T906" s="82"/>
    </row>
    <row r="907" spans="2:20" x14ac:dyDescent="0.35">
      <c r="B907" s="41"/>
      <c r="C907" s="80"/>
      <c r="D907" s="81"/>
      <c r="E907" s="81"/>
      <c r="F907" s="81"/>
      <c r="G907" s="82"/>
      <c r="H907" s="69"/>
      <c r="I907" s="69"/>
      <c r="J907" s="82"/>
      <c r="K907" s="82"/>
      <c r="L907" s="43"/>
      <c r="M907" s="43"/>
      <c r="N907" s="82"/>
      <c r="O907" s="82"/>
      <c r="P907" s="43"/>
      <c r="Q907" s="43"/>
      <c r="R907" s="82"/>
      <c r="S907" s="69"/>
      <c r="T907" s="82"/>
    </row>
    <row r="908" spans="2:20" x14ac:dyDescent="0.35">
      <c r="B908" s="41"/>
      <c r="C908" s="80"/>
      <c r="D908" s="81"/>
      <c r="E908" s="81"/>
      <c r="F908" s="81"/>
      <c r="G908" s="82"/>
      <c r="H908" s="69"/>
      <c r="I908" s="69"/>
      <c r="J908" s="82"/>
      <c r="K908" s="82"/>
      <c r="L908" s="43"/>
      <c r="M908" s="43"/>
      <c r="N908" s="82"/>
      <c r="O908" s="82"/>
      <c r="P908" s="43"/>
      <c r="Q908" s="43"/>
      <c r="R908" s="82"/>
      <c r="S908" s="69"/>
      <c r="T908" s="82"/>
    </row>
    <row r="909" spans="2:20" x14ac:dyDescent="0.35">
      <c r="B909" s="41"/>
      <c r="C909" s="80"/>
      <c r="D909" s="81"/>
      <c r="E909" s="81"/>
      <c r="F909" s="81"/>
      <c r="G909" s="82"/>
      <c r="H909" s="69"/>
      <c r="I909" s="69"/>
      <c r="J909" s="82"/>
      <c r="K909" s="82"/>
      <c r="L909" s="43"/>
      <c r="M909" s="43"/>
      <c r="N909" s="82"/>
      <c r="O909" s="82"/>
      <c r="P909" s="43"/>
      <c r="Q909" s="43"/>
      <c r="R909" s="82"/>
      <c r="S909" s="69"/>
      <c r="T909" s="82"/>
    </row>
    <row r="910" spans="2:20" x14ac:dyDescent="0.35">
      <c r="B910" s="41"/>
      <c r="C910" s="80"/>
      <c r="D910" s="81"/>
      <c r="E910" s="81"/>
      <c r="F910" s="81"/>
      <c r="G910" s="82"/>
      <c r="H910" s="69"/>
      <c r="I910" s="69"/>
      <c r="J910" s="82"/>
      <c r="K910" s="82"/>
      <c r="L910" s="43"/>
      <c r="M910" s="43"/>
      <c r="N910" s="82"/>
      <c r="O910" s="82"/>
      <c r="P910" s="43"/>
      <c r="Q910" s="43"/>
      <c r="R910" s="82"/>
      <c r="S910" s="69"/>
      <c r="T910" s="82"/>
    </row>
    <row r="911" spans="2:20" x14ac:dyDescent="0.35">
      <c r="B911" s="41"/>
      <c r="C911" s="80"/>
      <c r="D911" s="81"/>
      <c r="E911" s="81"/>
      <c r="F911" s="81"/>
      <c r="G911" s="82"/>
      <c r="H911" s="69"/>
      <c r="I911" s="69"/>
      <c r="J911" s="82"/>
      <c r="K911" s="82"/>
      <c r="L911" s="43"/>
      <c r="M911" s="43"/>
      <c r="N911" s="82"/>
      <c r="O911" s="82"/>
      <c r="P911" s="43"/>
      <c r="Q911" s="43"/>
      <c r="R911" s="82"/>
      <c r="S911" s="69"/>
      <c r="T911" s="82"/>
    </row>
    <row r="912" spans="2:20" x14ac:dyDescent="0.35">
      <c r="B912" s="41"/>
      <c r="C912" s="80"/>
      <c r="D912" s="81"/>
      <c r="E912" s="81"/>
      <c r="F912" s="81"/>
      <c r="G912" s="82"/>
      <c r="H912" s="69"/>
      <c r="I912" s="69"/>
      <c r="J912" s="82"/>
      <c r="K912" s="82"/>
      <c r="L912" s="43"/>
      <c r="M912" s="43"/>
      <c r="N912" s="82"/>
      <c r="O912" s="82"/>
      <c r="P912" s="43"/>
      <c r="Q912" s="43"/>
      <c r="R912" s="82"/>
      <c r="S912" s="69"/>
      <c r="T912" s="82"/>
    </row>
    <row r="913" spans="2:20" x14ac:dyDescent="0.35">
      <c r="B913" s="41"/>
      <c r="C913" s="80"/>
      <c r="D913" s="81"/>
      <c r="E913" s="81"/>
      <c r="F913" s="81"/>
      <c r="G913" s="82"/>
      <c r="H913" s="69"/>
      <c r="I913" s="69"/>
      <c r="J913" s="82"/>
      <c r="K913" s="82"/>
      <c r="L913" s="43"/>
      <c r="M913" s="43"/>
      <c r="N913" s="82"/>
      <c r="O913" s="82"/>
      <c r="P913" s="43"/>
      <c r="Q913" s="43"/>
      <c r="R913" s="82"/>
      <c r="S913" s="69"/>
      <c r="T913" s="82"/>
    </row>
    <row r="914" spans="2:20" x14ac:dyDescent="0.35">
      <c r="B914" s="41"/>
      <c r="C914" s="80"/>
      <c r="D914" s="81"/>
      <c r="E914" s="81"/>
      <c r="F914" s="81"/>
      <c r="G914" s="82"/>
      <c r="H914" s="69"/>
      <c r="I914" s="69"/>
      <c r="J914" s="82"/>
      <c r="K914" s="82"/>
      <c r="L914" s="43"/>
      <c r="M914" s="43"/>
      <c r="N914" s="82"/>
      <c r="O914" s="82"/>
      <c r="P914" s="43"/>
      <c r="Q914" s="43"/>
      <c r="R914" s="82"/>
      <c r="S914" s="69"/>
      <c r="T914" s="82"/>
    </row>
    <row r="915" spans="2:20" x14ac:dyDescent="0.35">
      <c r="B915" s="41"/>
      <c r="C915" s="80"/>
      <c r="D915" s="81"/>
      <c r="E915" s="81"/>
      <c r="F915" s="81"/>
      <c r="G915" s="82"/>
      <c r="H915" s="69"/>
      <c r="I915" s="69"/>
      <c r="J915" s="82"/>
      <c r="K915" s="82"/>
      <c r="L915" s="43"/>
      <c r="M915" s="43"/>
      <c r="N915" s="82"/>
      <c r="O915" s="82"/>
      <c r="P915" s="43"/>
      <c r="Q915" s="43"/>
      <c r="R915" s="82"/>
      <c r="S915" s="69"/>
      <c r="T915" s="82"/>
    </row>
    <row r="916" spans="2:20" x14ac:dyDescent="0.35">
      <c r="B916" s="41"/>
      <c r="C916" s="80"/>
      <c r="D916" s="81"/>
      <c r="E916" s="81"/>
      <c r="F916" s="81"/>
      <c r="G916" s="82"/>
      <c r="H916" s="69"/>
      <c r="I916" s="69"/>
      <c r="J916" s="82"/>
      <c r="K916" s="82"/>
      <c r="L916" s="43"/>
      <c r="M916" s="43"/>
      <c r="N916" s="82"/>
      <c r="O916" s="82"/>
      <c r="P916" s="43"/>
      <c r="Q916" s="43"/>
      <c r="R916" s="82"/>
      <c r="S916" s="69"/>
      <c r="T916" s="82"/>
    </row>
    <row r="917" spans="2:20" x14ac:dyDescent="0.35">
      <c r="B917" s="41"/>
      <c r="C917" s="80"/>
      <c r="D917" s="81"/>
      <c r="E917" s="81"/>
      <c r="F917" s="81"/>
      <c r="G917" s="82"/>
      <c r="H917" s="69"/>
      <c r="I917" s="69"/>
      <c r="J917" s="82"/>
      <c r="K917" s="82"/>
      <c r="L917" s="43"/>
      <c r="M917" s="43"/>
      <c r="N917" s="82"/>
      <c r="O917" s="82"/>
      <c r="P917" s="43"/>
      <c r="Q917" s="43"/>
      <c r="R917" s="82"/>
      <c r="S917" s="69"/>
      <c r="T917" s="82"/>
    </row>
    <row r="918" spans="2:20" x14ac:dyDescent="0.35">
      <c r="B918" s="41"/>
      <c r="C918" s="80"/>
      <c r="D918" s="81"/>
      <c r="E918" s="81"/>
      <c r="F918" s="81"/>
      <c r="G918" s="82"/>
      <c r="H918" s="69"/>
      <c r="I918" s="69"/>
      <c r="J918" s="82"/>
      <c r="K918" s="82"/>
      <c r="L918" s="43"/>
      <c r="M918" s="43"/>
      <c r="N918" s="82"/>
      <c r="O918" s="82"/>
      <c r="P918" s="43"/>
      <c r="Q918" s="43"/>
      <c r="R918" s="82"/>
      <c r="S918" s="69"/>
      <c r="T918" s="82"/>
    </row>
    <row r="919" spans="2:20" x14ac:dyDescent="0.35">
      <c r="B919" s="41"/>
      <c r="C919" s="80"/>
      <c r="D919" s="81"/>
      <c r="E919" s="81"/>
      <c r="F919" s="81"/>
      <c r="G919" s="82"/>
      <c r="H919" s="69"/>
      <c r="I919" s="69"/>
      <c r="J919" s="82"/>
      <c r="K919" s="82"/>
      <c r="L919" s="43"/>
      <c r="M919" s="43"/>
      <c r="N919" s="82"/>
      <c r="O919" s="82"/>
      <c r="P919" s="43"/>
      <c r="Q919" s="43"/>
      <c r="R919" s="82"/>
      <c r="S919" s="69"/>
      <c r="T919" s="82"/>
    </row>
    <row r="920" spans="2:20" x14ac:dyDescent="0.35">
      <c r="B920" s="41"/>
      <c r="C920" s="80"/>
      <c r="D920" s="81"/>
      <c r="E920" s="81"/>
      <c r="F920" s="81"/>
      <c r="G920" s="82"/>
      <c r="H920" s="69"/>
      <c r="I920" s="69"/>
      <c r="J920" s="82"/>
      <c r="K920" s="82"/>
      <c r="L920" s="43"/>
      <c r="M920" s="43"/>
      <c r="N920" s="82"/>
      <c r="O920" s="82"/>
      <c r="P920" s="43"/>
      <c r="Q920" s="43"/>
      <c r="R920" s="82"/>
      <c r="S920" s="69"/>
      <c r="T920" s="82"/>
    </row>
    <row r="921" spans="2:20" x14ac:dyDescent="0.35">
      <c r="B921" s="41"/>
      <c r="C921" s="80"/>
      <c r="D921" s="81"/>
      <c r="E921" s="81"/>
      <c r="F921" s="81"/>
      <c r="G921" s="82"/>
      <c r="H921" s="69"/>
      <c r="I921" s="69"/>
      <c r="J921" s="82"/>
      <c r="K921" s="82"/>
      <c r="L921" s="43"/>
      <c r="M921" s="43"/>
      <c r="N921" s="82"/>
      <c r="O921" s="82"/>
      <c r="P921" s="43"/>
      <c r="Q921" s="43"/>
      <c r="R921" s="82"/>
      <c r="S921" s="69"/>
      <c r="T921" s="82"/>
    </row>
    <row r="922" spans="2:20" x14ac:dyDescent="0.35">
      <c r="B922" s="41"/>
      <c r="C922" s="80"/>
      <c r="D922" s="81"/>
      <c r="E922" s="81"/>
      <c r="F922" s="81"/>
      <c r="G922" s="82"/>
      <c r="H922" s="69"/>
      <c r="I922" s="69"/>
      <c r="J922" s="82"/>
      <c r="K922" s="82"/>
      <c r="L922" s="43"/>
      <c r="M922" s="43"/>
      <c r="N922" s="82"/>
      <c r="O922" s="82"/>
      <c r="P922" s="43"/>
      <c r="Q922" s="43"/>
      <c r="R922" s="82"/>
      <c r="S922" s="69"/>
      <c r="T922" s="82"/>
    </row>
    <row r="923" spans="2:20" x14ac:dyDescent="0.35">
      <c r="B923" s="41"/>
      <c r="C923" s="80"/>
      <c r="D923" s="81"/>
      <c r="E923" s="81"/>
      <c r="F923" s="81"/>
      <c r="G923" s="82"/>
      <c r="H923" s="69"/>
      <c r="I923" s="69"/>
      <c r="J923" s="82"/>
      <c r="K923" s="82"/>
      <c r="L923" s="43"/>
      <c r="M923" s="43"/>
      <c r="N923" s="82"/>
      <c r="O923" s="82"/>
      <c r="P923" s="43"/>
      <c r="Q923" s="43"/>
      <c r="R923" s="82"/>
      <c r="S923" s="69"/>
      <c r="T923" s="82"/>
    </row>
    <row r="924" spans="2:20" x14ac:dyDescent="0.35">
      <c r="B924" s="41"/>
      <c r="C924" s="80"/>
      <c r="D924" s="81"/>
      <c r="E924" s="81"/>
      <c r="F924" s="81"/>
      <c r="G924" s="82"/>
      <c r="H924" s="69"/>
      <c r="I924" s="69"/>
      <c r="J924" s="82"/>
      <c r="K924" s="82"/>
      <c r="L924" s="43"/>
      <c r="M924" s="43"/>
      <c r="N924" s="82"/>
      <c r="O924" s="82"/>
      <c r="P924" s="43"/>
      <c r="Q924" s="43"/>
      <c r="R924" s="82"/>
      <c r="S924" s="69"/>
      <c r="T924" s="82"/>
    </row>
    <row r="925" spans="2:20" x14ac:dyDescent="0.35">
      <c r="B925" s="41"/>
      <c r="C925" s="80"/>
      <c r="D925" s="81"/>
      <c r="E925" s="81"/>
      <c r="F925" s="81"/>
      <c r="G925" s="82"/>
      <c r="H925" s="69"/>
      <c r="I925" s="69"/>
      <c r="J925" s="82"/>
      <c r="K925" s="82"/>
      <c r="L925" s="43"/>
      <c r="M925" s="43"/>
      <c r="N925" s="82"/>
      <c r="O925" s="82"/>
      <c r="P925" s="43"/>
      <c r="Q925" s="43"/>
      <c r="R925" s="82"/>
      <c r="S925" s="69"/>
      <c r="T925" s="82"/>
    </row>
    <row r="926" spans="2:20" x14ac:dyDescent="0.35">
      <c r="B926" s="41"/>
      <c r="C926" s="80"/>
      <c r="D926" s="81"/>
      <c r="E926" s="81"/>
      <c r="F926" s="81"/>
      <c r="G926" s="82"/>
      <c r="H926" s="69"/>
      <c r="I926" s="69"/>
      <c r="J926" s="82"/>
      <c r="K926" s="82"/>
      <c r="L926" s="43"/>
      <c r="M926" s="43"/>
      <c r="N926" s="82"/>
      <c r="O926" s="82"/>
      <c r="P926" s="43"/>
      <c r="Q926" s="43"/>
      <c r="R926" s="82"/>
      <c r="S926" s="69"/>
      <c r="T926" s="82"/>
    </row>
    <row r="927" spans="2:20" x14ac:dyDescent="0.35">
      <c r="B927" s="41"/>
      <c r="C927" s="80"/>
      <c r="D927" s="81"/>
      <c r="E927" s="81"/>
      <c r="F927" s="81"/>
      <c r="G927" s="82"/>
      <c r="H927" s="69"/>
      <c r="I927" s="69"/>
      <c r="J927" s="82"/>
      <c r="K927" s="82"/>
      <c r="L927" s="43"/>
      <c r="M927" s="43"/>
      <c r="N927" s="82"/>
      <c r="O927" s="82"/>
      <c r="P927" s="43"/>
      <c r="Q927" s="43"/>
      <c r="R927" s="82"/>
      <c r="S927" s="69"/>
      <c r="T927" s="82"/>
    </row>
    <row r="928" spans="2:20" x14ac:dyDescent="0.35">
      <c r="B928" s="41"/>
      <c r="C928" s="80"/>
      <c r="D928" s="81"/>
      <c r="E928" s="81"/>
      <c r="F928" s="81"/>
      <c r="G928" s="82"/>
      <c r="H928" s="69"/>
      <c r="I928" s="69"/>
      <c r="J928" s="82"/>
      <c r="K928" s="82"/>
      <c r="L928" s="43"/>
      <c r="M928" s="43"/>
      <c r="N928" s="82"/>
      <c r="O928" s="82"/>
      <c r="P928" s="43"/>
      <c r="Q928" s="43"/>
      <c r="R928" s="82"/>
      <c r="S928" s="69"/>
      <c r="T928" s="82"/>
    </row>
    <row r="929" spans="2:20" x14ac:dyDescent="0.35">
      <c r="B929" s="41"/>
      <c r="C929" s="80"/>
      <c r="D929" s="81"/>
      <c r="E929" s="81"/>
      <c r="F929" s="81"/>
      <c r="G929" s="82"/>
      <c r="H929" s="69"/>
      <c r="I929" s="69"/>
      <c r="J929" s="82"/>
      <c r="K929" s="82"/>
      <c r="L929" s="43"/>
      <c r="M929" s="43"/>
      <c r="N929" s="82"/>
      <c r="O929" s="82"/>
      <c r="P929" s="43"/>
      <c r="Q929" s="43"/>
      <c r="R929" s="82"/>
      <c r="S929" s="69"/>
      <c r="T929" s="82"/>
    </row>
    <row r="930" spans="2:20" x14ac:dyDescent="0.35">
      <c r="B930" s="41"/>
      <c r="C930" s="80"/>
      <c r="D930" s="81"/>
      <c r="E930" s="81"/>
      <c r="F930" s="81"/>
      <c r="G930" s="82"/>
      <c r="H930" s="69"/>
      <c r="I930" s="69"/>
      <c r="J930" s="82"/>
      <c r="K930" s="82"/>
      <c r="L930" s="43"/>
      <c r="M930" s="43"/>
      <c r="N930" s="82"/>
      <c r="O930" s="82"/>
      <c r="P930" s="43"/>
      <c r="Q930" s="43"/>
      <c r="R930" s="82"/>
      <c r="S930" s="69"/>
      <c r="T930" s="82"/>
    </row>
    <row r="931" spans="2:20" x14ac:dyDescent="0.35">
      <c r="B931" s="41"/>
      <c r="C931" s="80"/>
      <c r="D931" s="81"/>
      <c r="E931" s="81"/>
      <c r="F931" s="81"/>
      <c r="G931" s="82"/>
      <c r="H931" s="69"/>
      <c r="I931" s="69"/>
      <c r="J931" s="82"/>
      <c r="K931" s="82"/>
      <c r="L931" s="43"/>
      <c r="M931" s="43"/>
      <c r="N931" s="82"/>
      <c r="O931" s="82"/>
      <c r="P931" s="43"/>
      <c r="Q931" s="43"/>
      <c r="R931" s="82"/>
      <c r="S931" s="69"/>
      <c r="T931" s="82"/>
    </row>
    <row r="932" spans="2:20" x14ac:dyDescent="0.35">
      <c r="B932" s="41"/>
      <c r="C932" s="80"/>
      <c r="D932" s="81"/>
      <c r="E932" s="81"/>
      <c r="F932" s="81"/>
      <c r="G932" s="82"/>
      <c r="H932" s="69"/>
      <c r="I932" s="69"/>
      <c r="J932" s="82"/>
      <c r="K932" s="82"/>
      <c r="L932" s="43"/>
      <c r="M932" s="43"/>
      <c r="N932" s="82"/>
      <c r="O932" s="82"/>
      <c r="P932" s="43"/>
      <c r="Q932" s="43"/>
      <c r="R932" s="82"/>
      <c r="S932" s="69"/>
      <c r="T932" s="82"/>
    </row>
    <row r="933" spans="2:20" x14ac:dyDescent="0.35">
      <c r="B933" s="41"/>
      <c r="C933" s="80"/>
      <c r="D933" s="81"/>
      <c r="E933" s="81"/>
      <c r="F933" s="81"/>
      <c r="G933" s="82"/>
      <c r="H933" s="69"/>
      <c r="I933" s="69"/>
      <c r="J933" s="82"/>
      <c r="K933" s="82"/>
      <c r="L933" s="43"/>
      <c r="M933" s="43"/>
      <c r="N933" s="82"/>
      <c r="O933" s="82"/>
      <c r="P933" s="43"/>
      <c r="Q933" s="43"/>
      <c r="R933" s="82"/>
      <c r="S933" s="69"/>
      <c r="T933" s="82"/>
    </row>
    <row r="934" spans="2:20" x14ac:dyDescent="0.35">
      <c r="B934" s="41"/>
      <c r="C934" s="80"/>
      <c r="D934" s="81"/>
      <c r="E934" s="81"/>
      <c r="F934" s="81"/>
      <c r="G934" s="82"/>
      <c r="H934" s="69"/>
      <c r="I934" s="69"/>
      <c r="J934" s="82"/>
      <c r="K934" s="82"/>
      <c r="L934" s="43"/>
      <c r="M934" s="43"/>
      <c r="N934" s="82"/>
      <c r="O934" s="82"/>
      <c r="P934" s="43"/>
      <c r="Q934" s="43"/>
      <c r="R934" s="82"/>
      <c r="S934" s="69"/>
      <c r="T934" s="82"/>
    </row>
    <row r="935" spans="2:20" x14ac:dyDescent="0.35">
      <c r="B935" s="41"/>
      <c r="C935" s="80"/>
      <c r="D935" s="81"/>
      <c r="E935" s="81"/>
      <c r="F935" s="81"/>
      <c r="G935" s="82"/>
      <c r="H935" s="69"/>
      <c r="I935" s="69"/>
      <c r="J935" s="82"/>
      <c r="K935" s="82"/>
      <c r="L935" s="43"/>
      <c r="M935" s="43"/>
      <c r="N935" s="82"/>
      <c r="O935" s="82"/>
      <c r="P935" s="43"/>
      <c r="Q935" s="43"/>
      <c r="R935" s="82"/>
      <c r="S935" s="69"/>
      <c r="T935" s="82"/>
    </row>
    <row r="936" spans="2:20" x14ac:dyDescent="0.35">
      <c r="B936" s="41"/>
      <c r="C936" s="80"/>
      <c r="D936" s="81"/>
      <c r="E936" s="81"/>
      <c r="F936" s="81"/>
      <c r="G936" s="82"/>
      <c r="H936" s="69"/>
      <c r="I936" s="69"/>
      <c r="J936" s="82"/>
      <c r="K936" s="82"/>
      <c r="L936" s="43"/>
      <c r="M936" s="43"/>
      <c r="N936" s="82"/>
      <c r="O936" s="82"/>
      <c r="P936" s="43"/>
      <c r="Q936" s="43"/>
      <c r="R936" s="82"/>
      <c r="S936" s="69"/>
      <c r="T936" s="82"/>
    </row>
    <row r="937" spans="2:20" x14ac:dyDescent="0.35">
      <c r="B937" s="41"/>
      <c r="C937" s="80"/>
      <c r="D937" s="81"/>
      <c r="E937" s="81"/>
      <c r="F937" s="81"/>
      <c r="G937" s="82"/>
      <c r="H937" s="69"/>
      <c r="I937" s="69"/>
      <c r="J937" s="82"/>
      <c r="K937" s="82"/>
      <c r="L937" s="43"/>
      <c r="M937" s="43"/>
      <c r="N937" s="82"/>
      <c r="O937" s="82"/>
      <c r="P937" s="43"/>
      <c r="Q937" s="43"/>
      <c r="R937" s="82"/>
      <c r="S937" s="69"/>
      <c r="T937" s="82"/>
    </row>
    <row r="938" spans="2:20" x14ac:dyDescent="0.35">
      <c r="B938" s="41"/>
      <c r="C938" s="80"/>
      <c r="D938" s="81"/>
      <c r="E938" s="81"/>
      <c r="F938" s="81"/>
      <c r="G938" s="82"/>
      <c r="H938" s="69"/>
      <c r="I938" s="69"/>
      <c r="J938" s="82"/>
      <c r="K938" s="82"/>
      <c r="L938" s="43"/>
      <c r="M938" s="43"/>
      <c r="N938" s="82"/>
      <c r="O938" s="82"/>
      <c r="P938" s="43"/>
      <c r="Q938" s="43"/>
      <c r="R938" s="82"/>
      <c r="S938" s="69"/>
      <c r="T938" s="82"/>
    </row>
    <row r="939" spans="2:20" x14ac:dyDescent="0.35">
      <c r="B939" s="41"/>
      <c r="C939" s="80"/>
      <c r="D939" s="81"/>
      <c r="E939" s="81"/>
      <c r="F939" s="81"/>
      <c r="G939" s="82"/>
      <c r="H939" s="69"/>
      <c r="I939" s="69"/>
      <c r="J939" s="82"/>
      <c r="K939" s="82"/>
      <c r="L939" s="43"/>
      <c r="M939" s="43"/>
      <c r="N939" s="82"/>
      <c r="O939" s="82"/>
      <c r="P939" s="43"/>
      <c r="Q939" s="43"/>
      <c r="R939" s="82"/>
      <c r="S939" s="69"/>
      <c r="T939" s="82"/>
    </row>
    <row r="940" spans="2:20" x14ac:dyDescent="0.35">
      <c r="B940" s="41"/>
      <c r="C940" s="80"/>
      <c r="D940" s="81"/>
      <c r="E940" s="81"/>
      <c r="F940" s="81"/>
      <c r="G940" s="82"/>
      <c r="H940" s="69"/>
      <c r="I940" s="69"/>
      <c r="J940" s="82"/>
      <c r="K940" s="82"/>
      <c r="L940" s="43"/>
      <c r="M940" s="43"/>
      <c r="N940" s="82"/>
      <c r="O940" s="82"/>
      <c r="P940" s="43"/>
      <c r="Q940" s="43"/>
      <c r="R940" s="82"/>
      <c r="S940" s="69"/>
      <c r="T940" s="82"/>
    </row>
    <row r="941" spans="2:20" x14ac:dyDescent="0.35">
      <c r="B941" s="41"/>
      <c r="C941" s="80"/>
      <c r="D941" s="81"/>
      <c r="E941" s="81"/>
      <c r="F941" s="81"/>
      <c r="G941" s="82"/>
      <c r="H941" s="69"/>
      <c r="I941" s="69"/>
      <c r="J941" s="82"/>
      <c r="K941" s="82"/>
      <c r="L941" s="43"/>
      <c r="M941" s="43"/>
      <c r="N941" s="82"/>
      <c r="O941" s="82"/>
      <c r="P941" s="43"/>
      <c r="Q941" s="43"/>
      <c r="R941" s="82"/>
      <c r="S941" s="69"/>
      <c r="T941" s="82"/>
    </row>
    <row r="942" spans="2:20" x14ac:dyDescent="0.35">
      <c r="B942" s="41"/>
      <c r="C942" s="80"/>
      <c r="D942" s="81"/>
      <c r="E942" s="81"/>
      <c r="F942" s="81"/>
      <c r="G942" s="82"/>
      <c r="H942" s="69"/>
      <c r="I942" s="69"/>
      <c r="J942" s="82"/>
      <c r="K942" s="82"/>
      <c r="L942" s="43"/>
      <c r="M942" s="43"/>
      <c r="N942" s="82"/>
      <c r="O942" s="82"/>
      <c r="P942" s="43"/>
      <c r="Q942" s="43"/>
      <c r="R942" s="82"/>
      <c r="S942" s="69"/>
      <c r="T942" s="82"/>
    </row>
    <row r="943" spans="2:20" x14ac:dyDescent="0.35">
      <c r="B943" s="41"/>
      <c r="C943" s="80"/>
      <c r="D943" s="81"/>
      <c r="E943" s="81"/>
      <c r="F943" s="81"/>
      <c r="G943" s="82"/>
      <c r="H943" s="69"/>
      <c r="I943" s="69"/>
      <c r="J943" s="82"/>
      <c r="K943" s="82"/>
      <c r="L943" s="43"/>
      <c r="M943" s="43"/>
      <c r="N943" s="82"/>
      <c r="O943" s="82"/>
      <c r="P943" s="43"/>
      <c r="Q943" s="43"/>
      <c r="R943" s="82"/>
      <c r="S943" s="69"/>
      <c r="T943" s="82"/>
    </row>
    <row r="944" spans="2:20" x14ac:dyDescent="0.35">
      <c r="B944" s="41"/>
      <c r="C944" s="80"/>
      <c r="D944" s="81"/>
      <c r="E944" s="81"/>
      <c r="F944" s="81"/>
      <c r="G944" s="82"/>
      <c r="H944" s="69"/>
      <c r="I944" s="69"/>
      <c r="J944" s="82"/>
      <c r="K944" s="82"/>
      <c r="L944" s="43"/>
      <c r="M944" s="43"/>
      <c r="N944" s="82"/>
      <c r="O944" s="82"/>
      <c r="P944" s="43"/>
      <c r="Q944" s="43"/>
      <c r="R944" s="82"/>
      <c r="S944" s="69"/>
      <c r="T944" s="82"/>
    </row>
    <row r="945" spans="2:20" x14ac:dyDescent="0.35">
      <c r="B945" s="41"/>
      <c r="C945" s="80"/>
      <c r="D945" s="81"/>
      <c r="E945" s="81"/>
      <c r="F945" s="81"/>
      <c r="G945" s="82"/>
      <c r="H945" s="69"/>
      <c r="I945" s="69"/>
      <c r="J945" s="82"/>
      <c r="K945" s="82"/>
      <c r="L945" s="43"/>
      <c r="M945" s="43"/>
      <c r="N945" s="82"/>
      <c r="O945" s="82"/>
      <c r="P945" s="43"/>
      <c r="Q945" s="43"/>
      <c r="R945" s="82"/>
      <c r="S945" s="69"/>
      <c r="T945" s="82"/>
    </row>
    <row r="946" spans="2:20" x14ac:dyDescent="0.35">
      <c r="B946" s="41"/>
      <c r="C946" s="80"/>
      <c r="D946" s="81"/>
      <c r="E946" s="81"/>
      <c r="F946" s="81"/>
      <c r="G946" s="82"/>
      <c r="H946" s="69"/>
      <c r="I946" s="69"/>
      <c r="J946" s="82"/>
      <c r="K946" s="82"/>
      <c r="L946" s="43"/>
      <c r="M946" s="43"/>
      <c r="N946" s="82"/>
      <c r="O946" s="82"/>
      <c r="P946" s="43"/>
      <c r="Q946" s="43"/>
      <c r="R946" s="82"/>
      <c r="S946" s="69"/>
      <c r="T946" s="82"/>
    </row>
    <row r="947" spans="2:20" x14ac:dyDescent="0.35">
      <c r="B947" s="41"/>
      <c r="C947" s="80"/>
      <c r="D947" s="81"/>
      <c r="E947" s="81"/>
      <c r="F947" s="81"/>
      <c r="G947" s="82"/>
      <c r="H947" s="69"/>
      <c r="I947" s="69"/>
      <c r="J947" s="82"/>
      <c r="K947" s="82"/>
      <c r="L947" s="43"/>
      <c r="M947" s="43"/>
      <c r="N947" s="82"/>
      <c r="O947" s="82"/>
      <c r="P947" s="43"/>
      <c r="Q947" s="43"/>
      <c r="R947" s="82"/>
      <c r="S947" s="69"/>
      <c r="T947" s="82"/>
    </row>
    <row r="948" spans="2:20" x14ac:dyDescent="0.35">
      <c r="B948" s="41"/>
      <c r="C948" s="80"/>
      <c r="D948" s="81"/>
      <c r="E948" s="81"/>
      <c r="F948" s="81"/>
      <c r="G948" s="82"/>
      <c r="H948" s="69"/>
      <c r="I948" s="69"/>
      <c r="J948" s="82"/>
      <c r="K948" s="82"/>
      <c r="L948" s="43"/>
      <c r="M948" s="43"/>
      <c r="N948" s="82"/>
      <c r="O948" s="82"/>
      <c r="P948" s="43"/>
      <c r="Q948" s="43"/>
      <c r="R948" s="82"/>
      <c r="S948" s="69"/>
      <c r="T948" s="82"/>
    </row>
    <row r="949" spans="2:20" x14ac:dyDescent="0.35">
      <c r="B949" s="41"/>
      <c r="C949" s="80"/>
      <c r="D949" s="81"/>
      <c r="E949" s="81"/>
      <c r="F949" s="81"/>
      <c r="G949" s="82"/>
      <c r="H949" s="69"/>
      <c r="I949" s="69"/>
      <c r="J949" s="82"/>
      <c r="K949" s="82"/>
      <c r="L949" s="43"/>
      <c r="M949" s="43"/>
      <c r="N949" s="82"/>
      <c r="O949" s="82"/>
      <c r="P949" s="43"/>
      <c r="Q949" s="43"/>
      <c r="R949" s="82"/>
      <c r="S949" s="69"/>
      <c r="T949" s="82"/>
    </row>
    <row r="950" spans="2:20" x14ac:dyDescent="0.35">
      <c r="B950" s="41"/>
      <c r="C950" s="80"/>
      <c r="D950" s="81"/>
      <c r="E950" s="81"/>
      <c r="F950" s="81"/>
      <c r="G950" s="82"/>
      <c r="H950" s="69"/>
      <c r="I950" s="69"/>
      <c r="J950" s="82"/>
      <c r="K950" s="82"/>
      <c r="L950" s="43"/>
      <c r="M950" s="43"/>
      <c r="N950" s="82"/>
      <c r="O950" s="82"/>
      <c r="P950" s="43"/>
      <c r="Q950" s="43"/>
      <c r="R950" s="82"/>
      <c r="S950" s="69"/>
      <c r="T950" s="82"/>
    </row>
    <row r="951" spans="2:20" x14ac:dyDescent="0.35">
      <c r="B951" s="41"/>
      <c r="C951" s="80"/>
      <c r="D951" s="81"/>
      <c r="E951" s="81"/>
      <c r="F951" s="81"/>
      <c r="G951" s="82"/>
      <c r="H951" s="69"/>
      <c r="I951" s="69"/>
      <c r="J951" s="82"/>
      <c r="K951" s="82"/>
      <c r="L951" s="43"/>
      <c r="M951" s="43"/>
      <c r="N951" s="82"/>
      <c r="O951" s="82"/>
      <c r="P951" s="43"/>
      <c r="Q951" s="43"/>
      <c r="R951" s="82"/>
      <c r="S951" s="69"/>
      <c r="T951" s="82"/>
    </row>
    <row r="952" spans="2:20" x14ac:dyDescent="0.35">
      <c r="B952" s="41"/>
      <c r="C952" s="80"/>
      <c r="D952" s="81"/>
      <c r="E952" s="81"/>
      <c r="F952" s="81"/>
      <c r="G952" s="82"/>
      <c r="H952" s="69"/>
      <c r="I952" s="69"/>
      <c r="J952" s="82"/>
      <c r="K952" s="82"/>
      <c r="L952" s="43"/>
      <c r="M952" s="43"/>
      <c r="N952" s="82"/>
      <c r="O952" s="82"/>
      <c r="P952" s="43"/>
      <c r="Q952" s="43"/>
      <c r="R952" s="82"/>
      <c r="S952" s="69"/>
      <c r="T952" s="82"/>
    </row>
    <row r="953" spans="2:20" x14ac:dyDescent="0.35">
      <c r="B953" s="41"/>
      <c r="C953" s="80"/>
      <c r="D953" s="81"/>
      <c r="E953" s="81"/>
      <c r="F953" s="81"/>
      <c r="G953" s="82"/>
      <c r="H953" s="69"/>
      <c r="I953" s="69"/>
      <c r="J953" s="82"/>
      <c r="K953" s="82"/>
      <c r="L953" s="43"/>
      <c r="M953" s="43"/>
      <c r="N953" s="82"/>
      <c r="O953" s="82"/>
      <c r="P953" s="43"/>
      <c r="Q953" s="43"/>
      <c r="R953" s="82"/>
      <c r="S953" s="69"/>
      <c r="T953" s="82"/>
    </row>
    <row r="954" spans="2:20" x14ac:dyDescent="0.35">
      <c r="B954" s="41"/>
      <c r="C954" s="80"/>
      <c r="D954" s="81"/>
      <c r="E954" s="81"/>
      <c r="F954" s="81"/>
      <c r="G954" s="82"/>
      <c r="H954" s="69"/>
      <c r="I954" s="69"/>
      <c r="J954" s="82"/>
      <c r="K954" s="82"/>
      <c r="L954" s="43"/>
      <c r="M954" s="43"/>
      <c r="N954" s="82"/>
      <c r="O954" s="82"/>
      <c r="P954" s="43"/>
      <c r="Q954" s="43"/>
      <c r="R954" s="82"/>
      <c r="S954" s="69"/>
      <c r="T954" s="82"/>
    </row>
    <row r="955" spans="2:20" x14ac:dyDescent="0.35">
      <c r="B955" s="41"/>
      <c r="C955" s="80"/>
      <c r="D955" s="81"/>
      <c r="E955" s="81"/>
      <c r="F955" s="81"/>
      <c r="G955" s="82"/>
      <c r="H955" s="69"/>
      <c r="I955" s="69"/>
      <c r="J955" s="82"/>
      <c r="K955" s="82"/>
      <c r="L955" s="43"/>
      <c r="M955" s="43"/>
      <c r="N955" s="82"/>
      <c r="O955" s="82"/>
      <c r="P955" s="43"/>
      <c r="Q955" s="43"/>
      <c r="R955" s="82"/>
      <c r="S955" s="69"/>
      <c r="T955" s="82"/>
    </row>
    <row r="956" spans="2:20" x14ac:dyDescent="0.35">
      <c r="B956" s="41"/>
      <c r="C956" s="80"/>
      <c r="D956" s="81"/>
      <c r="E956" s="81"/>
      <c r="F956" s="81"/>
      <c r="G956" s="82"/>
      <c r="H956" s="69"/>
      <c r="I956" s="69"/>
      <c r="J956" s="82"/>
      <c r="K956" s="82"/>
      <c r="L956" s="43"/>
      <c r="M956" s="43"/>
      <c r="N956" s="82"/>
      <c r="O956" s="82"/>
      <c r="P956" s="43"/>
      <c r="Q956" s="43"/>
      <c r="R956" s="82"/>
      <c r="S956" s="69"/>
      <c r="T956" s="82"/>
    </row>
    <row r="957" spans="2:20" x14ac:dyDescent="0.35">
      <c r="B957" s="41"/>
      <c r="C957" s="80"/>
      <c r="D957" s="81"/>
      <c r="E957" s="81"/>
      <c r="F957" s="81"/>
      <c r="G957" s="82"/>
      <c r="H957" s="69"/>
      <c r="I957" s="69"/>
      <c r="J957" s="82"/>
      <c r="K957" s="82"/>
      <c r="L957" s="43"/>
      <c r="M957" s="43"/>
      <c r="N957" s="82"/>
      <c r="O957" s="82"/>
      <c r="P957" s="43"/>
      <c r="Q957" s="43"/>
      <c r="R957" s="82"/>
      <c r="S957" s="69"/>
      <c r="T957" s="82"/>
    </row>
    <row r="958" spans="2:20" x14ac:dyDescent="0.35">
      <c r="B958" s="41"/>
      <c r="C958" s="80"/>
      <c r="D958" s="81"/>
      <c r="E958" s="81"/>
      <c r="F958" s="81"/>
      <c r="G958" s="82"/>
      <c r="H958" s="69"/>
      <c r="I958" s="69"/>
      <c r="J958" s="82"/>
      <c r="K958" s="82"/>
      <c r="L958" s="43"/>
      <c r="M958" s="43"/>
      <c r="N958" s="82"/>
      <c r="O958" s="82"/>
      <c r="P958" s="43"/>
      <c r="Q958" s="43"/>
      <c r="R958" s="82"/>
      <c r="S958" s="69"/>
      <c r="T958" s="82"/>
    </row>
    <row r="959" spans="2:20" x14ac:dyDescent="0.35">
      <c r="B959" s="41"/>
      <c r="C959" s="80"/>
      <c r="D959" s="81"/>
      <c r="E959" s="81"/>
      <c r="F959" s="81"/>
      <c r="G959" s="82"/>
      <c r="H959" s="69"/>
      <c r="I959" s="69"/>
      <c r="J959" s="82"/>
      <c r="K959" s="82"/>
      <c r="L959" s="43"/>
      <c r="M959" s="43"/>
      <c r="N959" s="82"/>
      <c r="O959" s="82"/>
      <c r="P959" s="43"/>
      <c r="Q959" s="43"/>
      <c r="R959" s="82"/>
      <c r="S959" s="69"/>
      <c r="T959" s="82"/>
    </row>
    <row r="960" spans="2:20" x14ac:dyDescent="0.35">
      <c r="B960" s="41"/>
      <c r="C960" s="80"/>
      <c r="D960" s="81"/>
      <c r="E960" s="81"/>
      <c r="F960" s="81"/>
      <c r="G960" s="82"/>
      <c r="H960" s="69"/>
      <c r="I960" s="69"/>
      <c r="J960" s="82"/>
      <c r="K960" s="82"/>
      <c r="L960" s="43"/>
      <c r="M960" s="43"/>
      <c r="N960" s="82"/>
      <c r="O960" s="82"/>
      <c r="P960" s="43"/>
      <c r="Q960" s="43"/>
      <c r="R960" s="82"/>
      <c r="S960" s="69"/>
      <c r="T960" s="82"/>
    </row>
    <row r="961" spans="2:20" x14ac:dyDescent="0.35">
      <c r="B961" s="41"/>
      <c r="C961" s="80"/>
      <c r="D961" s="81"/>
      <c r="E961" s="81"/>
      <c r="F961" s="81"/>
      <c r="G961" s="82"/>
      <c r="H961" s="69"/>
      <c r="I961" s="69"/>
      <c r="J961" s="82"/>
      <c r="K961" s="82"/>
      <c r="L961" s="43"/>
      <c r="M961" s="43"/>
      <c r="N961" s="82"/>
      <c r="O961" s="82"/>
      <c r="P961" s="43"/>
      <c r="Q961" s="43"/>
      <c r="R961" s="82"/>
      <c r="S961" s="69"/>
      <c r="T961" s="82"/>
    </row>
    <row r="962" spans="2:20" x14ac:dyDescent="0.35">
      <c r="B962" s="41"/>
      <c r="C962" s="80"/>
      <c r="D962" s="81"/>
      <c r="E962" s="81"/>
      <c r="F962" s="81"/>
      <c r="G962" s="82"/>
      <c r="H962" s="69"/>
      <c r="I962" s="69"/>
      <c r="J962" s="82"/>
      <c r="K962" s="82"/>
      <c r="L962" s="43"/>
      <c r="M962" s="43"/>
      <c r="N962" s="82"/>
      <c r="O962" s="82"/>
      <c r="P962" s="43"/>
      <c r="Q962" s="43"/>
      <c r="R962" s="82"/>
      <c r="S962" s="69"/>
      <c r="T962" s="82"/>
    </row>
    <row r="963" spans="2:20" x14ac:dyDescent="0.35">
      <c r="B963" s="41"/>
      <c r="C963" s="80"/>
      <c r="D963" s="81"/>
      <c r="E963" s="81"/>
      <c r="F963" s="81"/>
      <c r="G963" s="82"/>
      <c r="H963" s="69"/>
      <c r="I963" s="69"/>
      <c r="J963" s="82"/>
      <c r="K963" s="82"/>
      <c r="L963" s="43"/>
      <c r="M963" s="43"/>
      <c r="N963" s="82"/>
      <c r="O963" s="82"/>
      <c r="P963" s="43"/>
      <c r="Q963" s="43"/>
      <c r="R963" s="82"/>
      <c r="S963" s="69"/>
      <c r="T963" s="82"/>
    </row>
    <row r="964" spans="2:20" x14ac:dyDescent="0.35">
      <c r="B964" s="41"/>
      <c r="C964" s="80"/>
      <c r="D964" s="81"/>
      <c r="E964" s="81"/>
      <c r="F964" s="81"/>
      <c r="G964" s="82"/>
      <c r="H964" s="69"/>
      <c r="I964" s="69"/>
      <c r="J964" s="82"/>
      <c r="K964" s="82"/>
      <c r="L964" s="43"/>
      <c r="M964" s="43"/>
      <c r="N964" s="82"/>
      <c r="O964" s="82"/>
      <c r="P964" s="43"/>
      <c r="Q964" s="43"/>
      <c r="R964" s="82"/>
      <c r="S964" s="69"/>
      <c r="T964" s="82"/>
    </row>
    <row r="965" spans="2:20" x14ac:dyDescent="0.35">
      <c r="B965" s="41"/>
      <c r="C965" s="80"/>
      <c r="D965" s="81"/>
      <c r="E965" s="81"/>
      <c r="F965" s="81"/>
      <c r="G965" s="82"/>
      <c r="H965" s="69"/>
      <c r="I965" s="69"/>
      <c r="J965" s="82"/>
      <c r="K965" s="82"/>
      <c r="L965" s="43"/>
      <c r="M965" s="43"/>
      <c r="N965" s="82"/>
      <c r="O965" s="82"/>
      <c r="P965" s="43"/>
      <c r="Q965" s="43"/>
      <c r="R965" s="82"/>
      <c r="S965" s="69"/>
      <c r="T965" s="82"/>
    </row>
    <row r="966" spans="2:20" x14ac:dyDescent="0.35">
      <c r="B966" s="41"/>
      <c r="C966" s="80"/>
      <c r="D966" s="81"/>
      <c r="E966" s="81"/>
      <c r="F966" s="81"/>
      <c r="G966" s="82"/>
      <c r="H966" s="69"/>
      <c r="I966" s="69"/>
      <c r="J966" s="82"/>
      <c r="K966" s="82"/>
      <c r="L966" s="43"/>
      <c r="M966" s="43"/>
      <c r="N966" s="82"/>
      <c r="O966" s="82"/>
      <c r="P966" s="43"/>
      <c r="Q966" s="43"/>
      <c r="R966" s="82"/>
      <c r="S966" s="69"/>
      <c r="T966" s="82"/>
    </row>
    <row r="967" spans="2:20" x14ac:dyDescent="0.35">
      <c r="B967" s="41"/>
      <c r="C967" s="80"/>
      <c r="D967" s="81"/>
      <c r="E967" s="81"/>
      <c r="F967" s="81"/>
      <c r="G967" s="82"/>
      <c r="H967" s="69"/>
      <c r="I967" s="69"/>
      <c r="J967" s="82"/>
      <c r="K967" s="82"/>
      <c r="L967" s="43"/>
      <c r="M967" s="43"/>
      <c r="N967" s="82"/>
      <c r="O967" s="82"/>
      <c r="P967" s="43"/>
      <c r="Q967" s="43"/>
      <c r="R967" s="82"/>
      <c r="S967" s="69"/>
      <c r="T967" s="82"/>
    </row>
    <row r="968" spans="2:20" x14ac:dyDescent="0.35">
      <c r="B968" s="41"/>
      <c r="C968" s="80"/>
      <c r="D968" s="81"/>
      <c r="E968" s="81"/>
      <c r="F968" s="81"/>
      <c r="G968" s="82"/>
      <c r="H968" s="69"/>
      <c r="I968" s="69"/>
      <c r="J968" s="82"/>
      <c r="K968" s="82"/>
      <c r="L968" s="43"/>
      <c r="M968" s="43"/>
      <c r="N968" s="82"/>
      <c r="O968" s="82"/>
      <c r="P968" s="43"/>
      <c r="Q968" s="43"/>
      <c r="R968" s="82"/>
      <c r="S968" s="69"/>
      <c r="T968" s="82"/>
    </row>
    <row r="969" spans="2:20" x14ac:dyDescent="0.35">
      <c r="B969" s="41"/>
      <c r="C969" s="80"/>
      <c r="D969" s="81"/>
      <c r="E969" s="81"/>
      <c r="F969" s="81"/>
      <c r="G969" s="82"/>
      <c r="H969" s="69"/>
      <c r="I969" s="69"/>
      <c r="J969" s="82"/>
      <c r="K969" s="82"/>
      <c r="L969" s="43"/>
      <c r="M969" s="43"/>
      <c r="N969" s="82"/>
      <c r="O969" s="82"/>
      <c r="P969" s="43"/>
      <c r="Q969" s="43"/>
      <c r="R969" s="82"/>
      <c r="S969" s="69"/>
      <c r="T969" s="82"/>
    </row>
    <row r="970" spans="2:20" x14ac:dyDescent="0.35">
      <c r="B970" s="41"/>
      <c r="C970" s="80"/>
      <c r="D970" s="81"/>
      <c r="E970" s="81"/>
      <c r="F970" s="81"/>
      <c r="G970" s="82"/>
      <c r="H970" s="69"/>
      <c r="I970" s="69"/>
      <c r="J970" s="82"/>
      <c r="K970" s="82"/>
      <c r="L970" s="43"/>
      <c r="M970" s="43"/>
      <c r="N970" s="82"/>
      <c r="O970" s="82"/>
      <c r="P970" s="43"/>
      <c r="Q970" s="43"/>
      <c r="R970" s="82"/>
      <c r="S970" s="69"/>
      <c r="T970" s="82"/>
    </row>
    <row r="971" spans="2:20" x14ac:dyDescent="0.35">
      <c r="B971" s="41"/>
      <c r="C971" s="80"/>
      <c r="D971" s="81"/>
      <c r="E971" s="81"/>
      <c r="F971" s="81"/>
      <c r="G971" s="82"/>
      <c r="H971" s="69"/>
      <c r="I971" s="69"/>
      <c r="J971" s="82"/>
      <c r="K971" s="82"/>
      <c r="L971" s="43"/>
      <c r="M971" s="43"/>
      <c r="N971" s="82"/>
      <c r="O971" s="82"/>
      <c r="P971" s="43"/>
      <c r="Q971" s="43"/>
      <c r="R971" s="82"/>
      <c r="S971" s="69"/>
      <c r="T971" s="82"/>
    </row>
    <row r="972" spans="2:20" x14ac:dyDescent="0.35">
      <c r="B972" s="41"/>
      <c r="C972" s="80"/>
      <c r="D972" s="81"/>
      <c r="E972" s="81"/>
      <c r="F972" s="81"/>
      <c r="G972" s="82"/>
      <c r="H972" s="69"/>
      <c r="I972" s="69"/>
      <c r="J972" s="82"/>
      <c r="K972" s="82"/>
      <c r="L972" s="43"/>
      <c r="M972" s="43"/>
      <c r="N972" s="82"/>
      <c r="O972" s="82"/>
      <c r="P972" s="43"/>
      <c r="Q972" s="43"/>
      <c r="R972" s="82"/>
      <c r="S972" s="69"/>
      <c r="T972" s="82"/>
    </row>
    <row r="973" spans="2:20" x14ac:dyDescent="0.35">
      <c r="B973" s="41"/>
      <c r="C973" s="80"/>
      <c r="D973" s="81"/>
      <c r="E973" s="81"/>
      <c r="F973" s="81"/>
      <c r="G973" s="82"/>
      <c r="H973" s="69"/>
      <c r="I973" s="69"/>
      <c r="J973" s="82"/>
      <c r="K973" s="82"/>
      <c r="L973" s="43"/>
      <c r="M973" s="43"/>
      <c r="N973" s="82"/>
      <c r="O973" s="82"/>
      <c r="P973" s="43"/>
      <c r="Q973" s="43"/>
      <c r="R973" s="82"/>
      <c r="S973" s="69"/>
      <c r="T973" s="82"/>
    </row>
    <row r="974" spans="2:20" x14ac:dyDescent="0.35">
      <c r="B974" s="41"/>
      <c r="C974" s="80"/>
      <c r="D974" s="81"/>
      <c r="E974" s="81"/>
      <c r="F974" s="81"/>
      <c r="G974" s="82"/>
      <c r="H974" s="69"/>
      <c r="I974" s="69"/>
      <c r="J974" s="82"/>
      <c r="K974" s="82"/>
      <c r="L974" s="43"/>
      <c r="M974" s="43"/>
      <c r="N974" s="82"/>
      <c r="O974" s="82"/>
      <c r="P974" s="43"/>
      <c r="Q974" s="43"/>
      <c r="R974" s="82"/>
      <c r="S974" s="69"/>
      <c r="T974" s="82"/>
    </row>
    <row r="975" spans="2:20" x14ac:dyDescent="0.35">
      <c r="B975" s="41"/>
      <c r="C975" s="80"/>
      <c r="D975" s="81"/>
      <c r="E975" s="81"/>
      <c r="F975" s="81"/>
      <c r="G975" s="82"/>
      <c r="H975" s="69"/>
      <c r="I975" s="69"/>
      <c r="J975" s="82"/>
      <c r="K975" s="82"/>
      <c r="L975" s="43"/>
      <c r="M975" s="43"/>
      <c r="N975" s="82"/>
      <c r="O975" s="82"/>
      <c r="P975" s="43"/>
      <c r="Q975" s="43"/>
      <c r="R975" s="82"/>
      <c r="S975" s="69"/>
      <c r="T975" s="82"/>
    </row>
    <row r="976" spans="2:20" x14ac:dyDescent="0.35">
      <c r="B976" s="41"/>
      <c r="C976" s="80"/>
      <c r="D976" s="81"/>
      <c r="E976" s="81"/>
      <c r="F976" s="81"/>
      <c r="G976" s="82"/>
      <c r="H976" s="69"/>
      <c r="I976" s="69"/>
      <c r="J976" s="82"/>
      <c r="K976" s="82"/>
      <c r="L976" s="43"/>
      <c r="M976" s="43"/>
      <c r="N976" s="82"/>
      <c r="O976" s="82"/>
      <c r="P976" s="43"/>
      <c r="Q976" s="43"/>
      <c r="R976" s="82"/>
      <c r="S976" s="69"/>
      <c r="T976" s="82"/>
    </row>
    <row r="977" spans="2:20" x14ac:dyDescent="0.35">
      <c r="B977" s="41"/>
      <c r="C977" s="80"/>
      <c r="D977" s="81"/>
      <c r="E977" s="81"/>
      <c r="F977" s="81"/>
      <c r="G977" s="82"/>
      <c r="H977" s="69"/>
      <c r="I977" s="69"/>
      <c r="J977" s="82"/>
      <c r="K977" s="82"/>
      <c r="L977" s="43"/>
      <c r="M977" s="43"/>
      <c r="N977" s="82"/>
      <c r="O977" s="82"/>
      <c r="P977" s="43"/>
      <c r="Q977" s="43"/>
      <c r="R977" s="82"/>
      <c r="S977" s="69"/>
      <c r="T977" s="82"/>
    </row>
    <row r="978" spans="2:20" x14ac:dyDescent="0.35">
      <c r="B978" s="41"/>
      <c r="C978" s="80"/>
      <c r="D978" s="81"/>
      <c r="E978" s="81"/>
      <c r="F978" s="81"/>
      <c r="G978" s="82"/>
      <c r="H978" s="69"/>
      <c r="I978" s="69"/>
      <c r="J978" s="82"/>
      <c r="K978" s="82"/>
      <c r="L978" s="43"/>
      <c r="M978" s="43"/>
      <c r="N978" s="82"/>
      <c r="O978" s="82"/>
      <c r="P978" s="43"/>
      <c r="Q978" s="43"/>
      <c r="R978" s="82"/>
      <c r="S978" s="69"/>
      <c r="T978" s="82"/>
    </row>
    <row r="979" spans="2:20" x14ac:dyDescent="0.35">
      <c r="B979" s="41"/>
      <c r="C979" s="80"/>
      <c r="D979" s="81"/>
      <c r="E979" s="81"/>
      <c r="F979" s="81"/>
      <c r="G979" s="82"/>
      <c r="H979" s="69"/>
      <c r="I979" s="69"/>
      <c r="J979" s="82"/>
      <c r="K979" s="82"/>
      <c r="L979" s="43"/>
      <c r="M979" s="43"/>
      <c r="N979" s="82"/>
      <c r="O979" s="82"/>
      <c r="P979" s="43"/>
      <c r="Q979" s="43"/>
      <c r="R979" s="82"/>
      <c r="S979" s="69"/>
      <c r="T979" s="82"/>
    </row>
    <row r="980" spans="2:20" x14ac:dyDescent="0.35">
      <c r="B980" s="41"/>
      <c r="C980" s="80"/>
      <c r="D980" s="81"/>
      <c r="E980" s="81"/>
      <c r="F980" s="81"/>
      <c r="G980" s="82"/>
      <c r="H980" s="69"/>
      <c r="I980" s="69"/>
      <c r="J980" s="82"/>
      <c r="K980" s="82"/>
      <c r="L980" s="43"/>
      <c r="M980" s="43"/>
      <c r="N980" s="82"/>
      <c r="O980" s="82"/>
      <c r="P980" s="43"/>
      <c r="Q980" s="43"/>
      <c r="R980" s="82"/>
      <c r="S980" s="69"/>
      <c r="T980" s="82"/>
    </row>
    <row r="981" spans="2:20" x14ac:dyDescent="0.35">
      <c r="B981" s="41"/>
      <c r="C981" s="80"/>
      <c r="D981" s="81"/>
      <c r="E981" s="81"/>
      <c r="F981" s="81"/>
      <c r="G981" s="82"/>
      <c r="H981" s="69"/>
      <c r="I981" s="69"/>
      <c r="J981" s="82"/>
      <c r="K981" s="82"/>
      <c r="L981" s="43"/>
      <c r="M981" s="43"/>
      <c r="N981" s="82"/>
      <c r="O981" s="82"/>
      <c r="P981" s="43"/>
      <c r="Q981" s="43"/>
      <c r="R981" s="82"/>
      <c r="S981" s="69"/>
      <c r="T981" s="82"/>
    </row>
    <row r="982" spans="2:20" x14ac:dyDescent="0.35">
      <c r="B982" s="41"/>
      <c r="C982" s="80"/>
      <c r="D982" s="81"/>
      <c r="E982" s="81"/>
      <c r="F982" s="81"/>
      <c r="G982" s="82"/>
      <c r="H982" s="69"/>
      <c r="I982" s="69"/>
      <c r="J982" s="82"/>
      <c r="K982" s="82"/>
      <c r="L982" s="43"/>
      <c r="M982" s="43"/>
      <c r="N982" s="82"/>
      <c r="O982" s="82"/>
      <c r="P982" s="43"/>
      <c r="Q982" s="43"/>
      <c r="R982" s="82"/>
      <c r="S982" s="69"/>
      <c r="T982" s="82"/>
    </row>
    <row r="983" spans="2:20" x14ac:dyDescent="0.35">
      <c r="B983" s="41"/>
      <c r="C983" s="80"/>
      <c r="D983" s="81"/>
      <c r="E983" s="81"/>
      <c r="F983" s="81"/>
      <c r="G983" s="82"/>
      <c r="H983" s="69"/>
      <c r="I983" s="69"/>
      <c r="J983" s="82"/>
      <c r="K983" s="82"/>
      <c r="L983" s="43"/>
      <c r="M983" s="43"/>
      <c r="N983" s="82"/>
      <c r="O983" s="82"/>
      <c r="P983" s="43"/>
      <c r="Q983" s="43"/>
      <c r="R983" s="82"/>
      <c r="S983" s="69"/>
      <c r="T983" s="82"/>
    </row>
    <row r="984" spans="2:20" x14ac:dyDescent="0.35">
      <c r="B984" s="41"/>
      <c r="C984" s="80"/>
      <c r="D984" s="81"/>
      <c r="E984" s="81"/>
      <c r="F984" s="81"/>
      <c r="G984" s="82"/>
      <c r="H984" s="69"/>
      <c r="I984" s="69"/>
      <c r="J984" s="82"/>
      <c r="K984" s="82"/>
      <c r="L984" s="43"/>
      <c r="M984" s="43"/>
      <c r="N984" s="82"/>
      <c r="O984" s="82"/>
      <c r="P984" s="43"/>
      <c r="Q984" s="43"/>
      <c r="R984" s="82"/>
      <c r="S984" s="69"/>
      <c r="T984" s="82"/>
    </row>
    <row r="985" spans="2:20" x14ac:dyDescent="0.35">
      <c r="B985" s="41"/>
      <c r="C985" s="80"/>
      <c r="D985" s="81"/>
      <c r="E985" s="81"/>
      <c r="F985" s="81"/>
      <c r="G985" s="82"/>
      <c r="H985" s="69"/>
      <c r="I985" s="69"/>
      <c r="J985" s="82"/>
      <c r="K985" s="82"/>
      <c r="L985" s="43"/>
      <c r="M985" s="43"/>
      <c r="N985" s="82"/>
      <c r="O985" s="82"/>
      <c r="P985" s="43"/>
      <c r="Q985" s="43"/>
      <c r="R985" s="82"/>
      <c r="S985" s="69"/>
      <c r="T985" s="82"/>
    </row>
    <row r="986" spans="2:20" x14ac:dyDescent="0.35">
      <c r="B986" s="41"/>
      <c r="C986" s="80"/>
      <c r="D986" s="81"/>
      <c r="E986" s="81"/>
      <c r="F986" s="81"/>
      <c r="G986" s="82"/>
      <c r="H986" s="69"/>
      <c r="I986" s="69"/>
      <c r="J986" s="82"/>
      <c r="K986" s="82"/>
      <c r="L986" s="43"/>
      <c r="M986" s="43"/>
      <c r="N986" s="82"/>
      <c r="O986" s="82"/>
      <c r="P986" s="43"/>
      <c r="Q986" s="43"/>
      <c r="R986" s="82"/>
      <c r="S986" s="69"/>
      <c r="T986" s="82"/>
    </row>
    <row r="987" spans="2:20" x14ac:dyDescent="0.35">
      <c r="B987" s="41"/>
      <c r="C987" s="80"/>
      <c r="D987" s="81"/>
      <c r="E987" s="81"/>
      <c r="F987" s="81"/>
      <c r="G987" s="82"/>
      <c r="H987" s="69"/>
      <c r="I987" s="69"/>
      <c r="J987" s="82"/>
      <c r="K987" s="82"/>
      <c r="L987" s="43"/>
      <c r="M987" s="43"/>
      <c r="N987" s="82"/>
      <c r="O987" s="82"/>
      <c r="P987" s="43"/>
      <c r="Q987" s="43"/>
      <c r="R987" s="82"/>
      <c r="S987" s="69"/>
      <c r="T987" s="82"/>
    </row>
    <row r="988" spans="2:20" x14ac:dyDescent="0.35">
      <c r="B988" s="41"/>
      <c r="C988" s="80"/>
      <c r="D988" s="81"/>
      <c r="E988" s="81"/>
      <c r="F988" s="81"/>
      <c r="G988" s="82"/>
      <c r="H988" s="69"/>
      <c r="I988" s="69"/>
      <c r="J988" s="82"/>
      <c r="K988" s="82"/>
      <c r="L988" s="43"/>
      <c r="M988" s="43"/>
      <c r="N988" s="82"/>
      <c r="O988" s="82"/>
      <c r="P988" s="43"/>
      <c r="Q988" s="43"/>
      <c r="R988" s="82"/>
      <c r="S988" s="69"/>
      <c r="T988" s="82"/>
    </row>
    <row r="989" spans="2:20" x14ac:dyDescent="0.35">
      <c r="B989" s="41"/>
      <c r="C989" s="80"/>
      <c r="D989" s="81"/>
      <c r="E989" s="81"/>
      <c r="F989" s="81"/>
      <c r="G989" s="82"/>
      <c r="H989" s="69"/>
      <c r="I989" s="69"/>
      <c r="J989" s="82"/>
      <c r="K989" s="82"/>
      <c r="L989" s="43"/>
      <c r="M989" s="43"/>
      <c r="N989" s="82"/>
      <c r="O989" s="82"/>
      <c r="P989" s="43"/>
      <c r="Q989" s="43"/>
      <c r="R989" s="82"/>
      <c r="S989" s="69"/>
      <c r="T989" s="82"/>
    </row>
    <row r="990" spans="2:20" x14ac:dyDescent="0.35">
      <c r="B990" s="41"/>
      <c r="C990" s="80"/>
      <c r="D990" s="81"/>
      <c r="E990" s="81"/>
      <c r="F990" s="81"/>
      <c r="G990" s="82"/>
      <c r="H990" s="69"/>
      <c r="I990" s="69"/>
      <c r="J990" s="82"/>
      <c r="K990" s="82"/>
      <c r="L990" s="43"/>
      <c r="M990" s="43"/>
      <c r="N990" s="82"/>
      <c r="O990" s="82"/>
      <c r="P990" s="43"/>
      <c r="Q990" s="43"/>
      <c r="R990" s="82"/>
      <c r="S990" s="69"/>
      <c r="T990" s="82"/>
    </row>
    <row r="991" spans="2:20" x14ac:dyDescent="0.35">
      <c r="B991" s="41"/>
      <c r="C991" s="80"/>
      <c r="D991" s="81"/>
      <c r="E991" s="81"/>
      <c r="F991" s="81"/>
      <c r="G991" s="82"/>
      <c r="H991" s="69"/>
      <c r="I991" s="69"/>
      <c r="J991" s="82"/>
      <c r="K991" s="82"/>
      <c r="L991" s="43"/>
      <c r="M991" s="43"/>
      <c r="N991" s="82"/>
      <c r="O991" s="82"/>
      <c r="P991" s="43"/>
      <c r="Q991" s="43"/>
      <c r="R991" s="82"/>
      <c r="S991" s="69"/>
      <c r="T991" s="82"/>
    </row>
    <row r="992" spans="2:20" x14ac:dyDescent="0.35">
      <c r="B992" s="41"/>
      <c r="C992" s="80"/>
      <c r="D992" s="81"/>
      <c r="E992" s="81"/>
      <c r="F992" s="81"/>
      <c r="G992" s="82"/>
      <c r="H992" s="69"/>
      <c r="I992" s="69"/>
      <c r="J992" s="82"/>
      <c r="K992" s="82"/>
      <c r="L992" s="43"/>
      <c r="M992" s="43"/>
      <c r="N992" s="82"/>
      <c r="O992" s="82"/>
      <c r="P992" s="43"/>
      <c r="Q992" s="43"/>
      <c r="R992" s="82"/>
      <c r="S992" s="69"/>
      <c r="T992" s="82"/>
    </row>
    <row r="993" spans="2:20" x14ac:dyDescent="0.35">
      <c r="B993" s="41"/>
      <c r="C993" s="80"/>
      <c r="D993" s="81"/>
      <c r="E993" s="81"/>
      <c r="F993" s="81"/>
      <c r="G993" s="82"/>
      <c r="H993" s="69"/>
      <c r="I993" s="69"/>
      <c r="J993" s="82"/>
      <c r="K993" s="82"/>
      <c r="L993" s="43"/>
      <c r="M993" s="43"/>
      <c r="N993" s="82"/>
      <c r="O993" s="82"/>
      <c r="P993" s="43"/>
      <c r="Q993" s="43"/>
      <c r="R993" s="82"/>
      <c r="S993" s="69"/>
      <c r="T993" s="82"/>
    </row>
    <row r="994" spans="2:20" x14ac:dyDescent="0.35">
      <c r="B994" s="41"/>
      <c r="C994" s="80"/>
      <c r="D994" s="81"/>
      <c r="E994" s="81"/>
      <c r="F994" s="81"/>
      <c r="G994" s="82"/>
      <c r="H994" s="69"/>
      <c r="I994" s="69"/>
      <c r="J994" s="82"/>
      <c r="K994" s="82"/>
      <c r="L994" s="43"/>
      <c r="M994" s="43"/>
      <c r="N994" s="82"/>
      <c r="O994" s="82"/>
      <c r="P994" s="43"/>
      <c r="Q994" s="43"/>
      <c r="R994" s="82"/>
      <c r="S994" s="69"/>
      <c r="T994" s="82"/>
    </row>
    <row r="995" spans="2:20" x14ac:dyDescent="0.35">
      <c r="B995" s="41"/>
      <c r="C995" s="80"/>
      <c r="D995" s="81"/>
      <c r="E995" s="81"/>
      <c r="F995" s="81"/>
      <c r="G995" s="82"/>
      <c r="H995" s="69"/>
      <c r="I995" s="69"/>
      <c r="J995" s="82"/>
      <c r="K995" s="82"/>
      <c r="L995" s="43"/>
      <c r="M995" s="43"/>
      <c r="N995" s="82"/>
      <c r="O995" s="82"/>
      <c r="P995" s="43"/>
      <c r="Q995" s="43"/>
      <c r="R995" s="82"/>
      <c r="S995" s="69"/>
      <c r="T995" s="82"/>
    </row>
    <row r="996" spans="2:20" x14ac:dyDescent="0.35">
      <c r="B996" s="41"/>
      <c r="C996" s="80"/>
      <c r="D996" s="81"/>
      <c r="E996" s="81"/>
      <c r="F996" s="81"/>
      <c r="G996" s="82"/>
      <c r="H996" s="69"/>
      <c r="I996" s="69"/>
      <c r="J996" s="82"/>
      <c r="K996" s="82"/>
      <c r="L996" s="43"/>
      <c r="M996" s="43"/>
      <c r="N996" s="82"/>
      <c r="O996" s="82"/>
      <c r="P996" s="43"/>
      <c r="Q996" s="43"/>
      <c r="R996" s="82"/>
      <c r="S996" s="69"/>
      <c r="T996" s="82"/>
    </row>
    <row r="997" spans="2:20" x14ac:dyDescent="0.35">
      <c r="B997" s="41"/>
      <c r="C997" s="80"/>
      <c r="D997" s="81"/>
      <c r="E997" s="81"/>
      <c r="F997" s="81"/>
      <c r="G997" s="82"/>
      <c r="H997" s="69"/>
      <c r="I997" s="69"/>
      <c r="J997" s="82"/>
      <c r="K997" s="82"/>
      <c r="L997" s="43"/>
      <c r="M997" s="43"/>
      <c r="N997" s="82"/>
      <c r="O997" s="82"/>
      <c r="P997" s="43"/>
      <c r="Q997" s="43"/>
      <c r="R997" s="82"/>
      <c r="S997" s="69"/>
      <c r="T997" s="82"/>
    </row>
    <row r="998" spans="2:20" x14ac:dyDescent="0.35">
      <c r="B998" s="41"/>
      <c r="C998" s="80"/>
      <c r="D998" s="81"/>
      <c r="E998" s="81"/>
      <c r="F998" s="81"/>
      <c r="G998" s="82"/>
      <c r="H998" s="69"/>
      <c r="I998" s="69"/>
      <c r="J998" s="82"/>
      <c r="K998" s="82"/>
      <c r="L998" s="43"/>
      <c r="M998" s="43"/>
      <c r="N998" s="82"/>
      <c r="O998" s="82"/>
      <c r="P998" s="43"/>
      <c r="Q998" s="43"/>
      <c r="R998" s="82"/>
      <c r="S998" s="69"/>
      <c r="T998" s="82"/>
    </row>
    <row r="999" spans="2:20" x14ac:dyDescent="0.35">
      <c r="B999" s="41"/>
      <c r="C999" s="80"/>
      <c r="D999" s="81"/>
      <c r="E999" s="81"/>
      <c r="F999" s="81"/>
      <c r="G999" s="82"/>
      <c r="H999" s="69"/>
      <c r="I999" s="69"/>
      <c r="J999" s="82"/>
      <c r="K999" s="82"/>
      <c r="L999" s="43"/>
      <c r="M999" s="43"/>
      <c r="N999" s="82"/>
      <c r="O999" s="82"/>
      <c r="P999" s="43"/>
      <c r="Q999" s="43"/>
      <c r="R999" s="82"/>
      <c r="S999" s="69"/>
      <c r="T999" s="82"/>
    </row>
    <row r="1000" spans="2:20" x14ac:dyDescent="0.35">
      <c r="B1000" s="41"/>
      <c r="C1000" s="80"/>
      <c r="D1000" s="81"/>
      <c r="E1000" s="81"/>
      <c r="F1000" s="81"/>
      <c r="G1000" s="82"/>
      <c r="H1000" s="69"/>
      <c r="I1000" s="69"/>
      <c r="J1000" s="82"/>
      <c r="K1000" s="82"/>
      <c r="L1000" s="43"/>
      <c r="M1000" s="43"/>
      <c r="N1000" s="82"/>
      <c r="O1000" s="82"/>
      <c r="P1000" s="43"/>
      <c r="Q1000" s="43"/>
      <c r="R1000" s="82"/>
      <c r="S1000" s="69"/>
      <c r="T1000" s="82"/>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6" t="s">
        <v>2216</v>
      </c>
      <c r="B1" s="107" t="s">
        <v>0</v>
      </c>
      <c r="C1" s="107" t="s">
        <v>2217</v>
      </c>
      <c r="D1" s="107" t="s">
        <v>10</v>
      </c>
      <c r="E1" s="107" t="s">
        <v>2218</v>
      </c>
      <c r="F1" s="107" t="s">
        <v>2219</v>
      </c>
      <c r="G1" s="107" t="s">
        <v>2220</v>
      </c>
      <c r="H1" s="107" t="s">
        <v>2221</v>
      </c>
      <c r="I1" s="107" t="s">
        <v>2222</v>
      </c>
      <c r="J1" s="107" t="s">
        <v>2223</v>
      </c>
      <c r="K1" s="107" t="s">
        <v>2224</v>
      </c>
      <c r="L1" s="107" t="s">
        <v>2225</v>
      </c>
      <c r="M1" s="107" t="s">
        <v>2226</v>
      </c>
      <c r="N1" s="107" t="s">
        <v>2227</v>
      </c>
      <c r="O1" s="107" t="s">
        <v>2228</v>
      </c>
      <c r="P1" s="107" t="s">
        <v>2229</v>
      </c>
      <c r="Q1" s="107" t="s">
        <v>2230</v>
      </c>
      <c r="R1" s="107" t="s">
        <v>2231</v>
      </c>
      <c r="S1" s="107" t="s">
        <v>2232</v>
      </c>
      <c r="T1" s="107" t="s">
        <v>2233</v>
      </c>
      <c r="U1" s="107" t="s">
        <v>2234</v>
      </c>
      <c r="V1" s="107" t="s">
        <v>2235</v>
      </c>
      <c r="W1" s="107" t="s">
        <v>2236</v>
      </c>
      <c r="X1" s="107" t="s">
        <v>2237</v>
      </c>
      <c r="Y1" s="107" t="s">
        <v>2238</v>
      </c>
      <c r="Z1" s="107" t="s">
        <v>2239</v>
      </c>
      <c r="AA1" s="107" t="s">
        <v>2240</v>
      </c>
      <c r="AB1" s="107" t="s">
        <v>2241</v>
      </c>
      <c r="AC1" s="107" t="s">
        <v>2242</v>
      </c>
      <c r="AD1" s="107" t="s">
        <v>2243</v>
      </c>
      <c r="AE1" s="107" t="s">
        <v>2244</v>
      </c>
      <c r="AF1" s="107" t="s">
        <v>2245</v>
      </c>
      <c r="AG1" s="107" t="s">
        <v>2246</v>
      </c>
      <c r="AH1" s="107" t="s">
        <v>2247</v>
      </c>
      <c r="AI1" s="107" t="s">
        <v>2248</v>
      </c>
      <c r="AJ1" s="107" t="s">
        <v>2249</v>
      </c>
      <c r="AK1" s="107" t="s">
        <v>2250</v>
      </c>
      <c r="AL1" s="107" t="s">
        <v>2251</v>
      </c>
      <c r="AM1" s="107" t="s">
        <v>2252</v>
      </c>
      <c r="AN1" s="107" t="s">
        <v>2253</v>
      </c>
      <c r="AO1" s="107" t="s">
        <v>2254</v>
      </c>
      <c r="AP1" s="107" t="s">
        <v>2255</v>
      </c>
      <c r="AQ1" s="107" t="s">
        <v>2256</v>
      </c>
      <c r="AR1" s="107" t="s">
        <v>2257</v>
      </c>
      <c r="AS1" s="107" t="s">
        <v>2258</v>
      </c>
      <c r="AT1" s="107" t="s">
        <v>2259</v>
      </c>
      <c r="AU1" s="107" t="s">
        <v>2260</v>
      </c>
      <c r="AV1" s="107" t="s">
        <v>2261</v>
      </c>
      <c r="AW1" s="108" t="s">
        <v>2262</v>
      </c>
    </row>
    <row r="2" spans="1:49" ht="60" customHeight="1" outlineLevel="1" x14ac:dyDescent="0.35">
      <c r="A2" s="100" t="s">
        <v>2263</v>
      </c>
      <c r="B2" s="83">
        <v>1</v>
      </c>
      <c r="C2" s="85" t="s">
        <v>21</v>
      </c>
      <c r="D2" s="87" t="s">
        <v>2264</v>
      </c>
      <c r="E2" s="87" t="s">
        <v>21</v>
      </c>
      <c r="F2" s="83" t="s">
        <v>21</v>
      </c>
      <c r="G2" s="83" t="s">
        <v>21</v>
      </c>
      <c r="H2" s="83"/>
      <c r="I2" s="90" t="str">
        <f>IF(COUNTIF(J2:AW2,"&lt;&gt;")=0,"",SUMPRODUCT(((Recommendations[ImplStatus]="Implemented")+(Recommendations[ImplStatus]="Compensated"))*ISNUMBER(MATCH(Recommendations[Id],J2:AW2,0)))/COUNTIF(J2:AW2,"&lt;&gt;"))</f>
        <v/>
      </c>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103"/>
    </row>
    <row r="3" spans="1:49" ht="60" customHeight="1" x14ac:dyDescent="0.35">
      <c r="A3" s="101" t="s">
        <v>2263</v>
      </c>
      <c r="B3" s="84" t="s">
        <v>2265</v>
      </c>
      <c r="C3" s="86" t="s">
        <v>2266</v>
      </c>
      <c r="D3" s="88" t="s">
        <v>2267</v>
      </c>
      <c r="E3" s="88" t="s">
        <v>2268</v>
      </c>
      <c r="F3" s="89" t="s">
        <v>2269</v>
      </c>
      <c r="G3" s="89" t="s">
        <v>2270</v>
      </c>
      <c r="H3" s="89">
        <v>1</v>
      </c>
      <c r="I3" s="91" t="str">
        <f>IF(COUNTIF(J3:AW3,"&lt;&gt;")=0,"",SUMPRODUCT(((Recommendations[ImplStatus]="Implemented")+(Recommendations[ImplStatus]="Compensated"))*ISNUMBER(MATCH(Recommendations[Id],J3:AW3,0)))/COUNTIF(J3:AW3,"&lt;&gt;"))</f>
        <v/>
      </c>
      <c r="J3" s="93"/>
      <c r="K3" s="93"/>
      <c r="L3" s="93"/>
      <c r="M3" s="93"/>
      <c r="N3" s="93"/>
      <c r="O3" s="93"/>
      <c r="P3" s="93"/>
      <c r="Q3" s="93"/>
      <c r="R3" s="93"/>
      <c r="S3" s="93"/>
      <c r="T3" s="93"/>
      <c r="U3" s="93"/>
      <c r="V3" s="93"/>
      <c r="W3" s="93"/>
      <c r="X3" s="93"/>
      <c r="Y3" s="93"/>
      <c r="Z3" s="93"/>
      <c r="AA3" s="93"/>
      <c r="AB3" s="93"/>
      <c r="AC3" s="93"/>
      <c r="AD3" s="93"/>
      <c r="AE3" s="93"/>
      <c r="AF3" s="93"/>
      <c r="AG3" s="93"/>
      <c r="AH3" s="93"/>
      <c r="AI3" s="93"/>
      <c r="AJ3" s="93"/>
      <c r="AK3" s="93"/>
      <c r="AL3" s="93"/>
      <c r="AM3" s="93"/>
      <c r="AN3" s="93"/>
      <c r="AO3" s="93"/>
      <c r="AP3" s="93"/>
      <c r="AQ3" s="93"/>
      <c r="AR3" s="93"/>
      <c r="AS3" s="93"/>
      <c r="AT3" s="93"/>
      <c r="AU3" s="93"/>
      <c r="AV3" s="93"/>
      <c r="AW3" s="104"/>
    </row>
    <row r="4" spans="1:49" ht="60" customHeight="1" x14ac:dyDescent="0.35">
      <c r="A4" s="101" t="s">
        <v>2263</v>
      </c>
      <c r="B4" s="84" t="s">
        <v>2271</v>
      </c>
      <c r="C4" s="86" t="s">
        <v>2272</v>
      </c>
      <c r="D4" s="88" t="s">
        <v>2273</v>
      </c>
      <c r="E4" s="88" t="s">
        <v>2274</v>
      </c>
      <c r="F4" s="89" t="s">
        <v>2269</v>
      </c>
      <c r="G4" s="89" t="s">
        <v>2275</v>
      </c>
      <c r="H4" s="89">
        <v>1</v>
      </c>
      <c r="I4" s="91" t="str">
        <f>IF(COUNTIF(J4:AW4,"&lt;&gt;")=0,"",SUMPRODUCT(((Recommendations[ImplStatus]="Implemented")+(Recommendations[ImplStatus]="Compensated"))*ISNUMBER(MATCH(Recommendations[Id],J4:AW4,0)))/COUNTIF(J4:AW4,"&lt;&gt;"))</f>
        <v/>
      </c>
      <c r="J4" s="93"/>
      <c r="K4" s="93"/>
      <c r="L4" s="93"/>
      <c r="M4" s="93"/>
      <c r="N4" s="93"/>
      <c r="O4" s="93"/>
      <c r="P4" s="93"/>
      <c r="Q4" s="93"/>
      <c r="R4" s="93"/>
      <c r="S4" s="93"/>
      <c r="T4" s="93"/>
      <c r="U4" s="93"/>
      <c r="V4" s="93"/>
      <c r="W4" s="93"/>
      <c r="X4" s="93"/>
      <c r="Y4" s="93"/>
      <c r="Z4" s="93"/>
      <c r="AA4" s="93"/>
      <c r="AB4" s="93"/>
      <c r="AC4" s="93"/>
      <c r="AD4" s="93"/>
      <c r="AE4" s="93"/>
      <c r="AF4" s="93"/>
      <c r="AG4" s="93"/>
      <c r="AH4" s="93"/>
      <c r="AI4" s="93"/>
      <c r="AJ4" s="93"/>
      <c r="AK4" s="93"/>
      <c r="AL4" s="93"/>
      <c r="AM4" s="93"/>
      <c r="AN4" s="93"/>
      <c r="AO4" s="93"/>
      <c r="AP4" s="93"/>
      <c r="AQ4" s="93"/>
      <c r="AR4" s="93"/>
      <c r="AS4" s="93"/>
      <c r="AT4" s="93"/>
      <c r="AU4" s="93"/>
      <c r="AV4" s="93"/>
      <c r="AW4" s="104"/>
    </row>
    <row r="5" spans="1:49" ht="60" customHeight="1" x14ac:dyDescent="0.35">
      <c r="A5" s="101" t="s">
        <v>2263</v>
      </c>
      <c r="B5" s="84" t="s">
        <v>2276</v>
      </c>
      <c r="C5" s="86" t="s">
        <v>2277</v>
      </c>
      <c r="D5" s="88" t="s">
        <v>2278</v>
      </c>
      <c r="E5" s="88" t="s">
        <v>2279</v>
      </c>
      <c r="F5" s="89" t="s">
        <v>2269</v>
      </c>
      <c r="G5" s="89" t="s">
        <v>2280</v>
      </c>
      <c r="H5" s="89">
        <v>2</v>
      </c>
      <c r="I5" s="91" t="str">
        <f>IF(COUNTIF(J5:AW5,"&lt;&gt;")=0,"",SUMPRODUCT(((Recommendations[ImplStatus]="Implemented")+(Recommendations[ImplStatus]="Compensated"))*ISNUMBER(MATCH(Recommendations[Id],J5:AW5,0)))/COUNTIF(J5:AW5,"&lt;&gt;"))</f>
        <v/>
      </c>
      <c r="J5" s="93"/>
      <c r="K5" s="93"/>
      <c r="L5" s="93"/>
      <c r="M5" s="93"/>
      <c r="N5" s="93"/>
      <c r="O5" s="93"/>
      <c r="P5" s="93"/>
      <c r="Q5" s="93"/>
      <c r="R5" s="93"/>
      <c r="S5" s="93"/>
      <c r="T5" s="93"/>
      <c r="U5" s="93"/>
      <c r="V5" s="93"/>
      <c r="W5" s="93"/>
      <c r="X5" s="93"/>
      <c r="Y5" s="93"/>
      <c r="Z5" s="93"/>
      <c r="AA5" s="93"/>
      <c r="AB5" s="93"/>
      <c r="AC5" s="93"/>
      <c r="AD5" s="93"/>
      <c r="AE5" s="93"/>
      <c r="AF5" s="93"/>
      <c r="AG5" s="93"/>
      <c r="AH5" s="93"/>
      <c r="AI5" s="93"/>
      <c r="AJ5" s="93"/>
      <c r="AK5" s="93"/>
      <c r="AL5" s="93"/>
      <c r="AM5" s="93"/>
      <c r="AN5" s="93"/>
      <c r="AO5" s="93"/>
      <c r="AP5" s="93"/>
      <c r="AQ5" s="93"/>
      <c r="AR5" s="93"/>
      <c r="AS5" s="93"/>
      <c r="AT5" s="93"/>
      <c r="AU5" s="93"/>
      <c r="AV5" s="93"/>
      <c r="AW5" s="104"/>
    </row>
    <row r="6" spans="1:49" ht="60" customHeight="1" x14ac:dyDescent="0.35">
      <c r="A6" s="101" t="s">
        <v>2263</v>
      </c>
      <c r="B6" s="84" t="s">
        <v>2281</v>
      </c>
      <c r="C6" s="86" t="s">
        <v>2282</v>
      </c>
      <c r="D6" s="88" t="s">
        <v>2283</v>
      </c>
      <c r="E6" s="88" t="s">
        <v>2284</v>
      </c>
      <c r="F6" s="89" t="s">
        <v>2269</v>
      </c>
      <c r="G6" s="89" t="s">
        <v>2270</v>
      </c>
      <c r="H6" s="89">
        <v>2</v>
      </c>
      <c r="I6" s="91" t="str">
        <f>IF(COUNTIF(J6:AW6,"&lt;&gt;")=0,"",SUMPRODUCT(((Recommendations[ImplStatus]="Implemented")+(Recommendations[ImplStatus]="Compensated"))*ISNUMBER(MATCH(Recommendations[Id],J6:AW6,0)))/COUNTIF(J6:AW6,"&lt;&gt;"))</f>
        <v/>
      </c>
      <c r="J6" s="93"/>
      <c r="K6" s="93"/>
      <c r="L6" s="93"/>
      <c r="M6" s="93"/>
      <c r="N6" s="93"/>
      <c r="O6" s="93"/>
      <c r="P6" s="93"/>
      <c r="Q6" s="93"/>
      <c r="R6" s="93"/>
      <c r="S6" s="93"/>
      <c r="T6" s="93"/>
      <c r="U6" s="93"/>
      <c r="V6" s="93"/>
      <c r="W6" s="93"/>
      <c r="X6" s="93"/>
      <c r="Y6" s="93"/>
      <c r="Z6" s="93"/>
      <c r="AA6" s="93"/>
      <c r="AB6" s="93"/>
      <c r="AC6" s="93"/>
      <c r="AD6" s="93"/>
      <c r="AE6" s="93"/>
      <c r="AF6" s="93"/>
      <c r="AG6" s="93"/>
      <c r="AH6" s="93"/>
      <c r="AI6" s="93"/>
      <c r="AJ6" s="93"/>
      <c r="AK6" s="93"/>
      <c r="AL6" s="93"/>
      <c r="AM6" s="93"/>
      <c r="AN6" s="93"/>
      <c r="AO6" s="93"/>
      <c r="AP6" s="93"/>
      <c r="AQ6" s="93"/>
      <c r="AR6" s="93"/>
      <c r="AS6" s="93"/>
      <c r="AT6" s="93"/>
      <c r="AU6" s="93"/>
      <c r="AV6" s="93"/>
      <c r="AW6" s="104"/>
    </row>
    <row r="7" spans="1:49" ht="60" customHeight="1" x14ac:dyDescent="0.35">
      <c r="A7" s="101" t="s">
        <v>2263</v>
      </c>
      <c r="B7" s="84" t="s">
        <v>2285</v>
      </c>
      <c r="C7" s="86" t="s">
        <v>2286</v>
      </c>
      <c r="D7" s="88" t="s">
        <v>2287</v>
      </c>
      <c r="E7" s="88" t="s">
        <v>2288</v>
      </c>
      <c r="F7" s="89" t="s">
        <v>2269</v>
      </c>
      <c r="G7" s="89" t="s">
        <v>2280</v>
      </c>
      <c r="H7" s="89">
        <v>3</v>
      </c>
      <c r="I7" s="91" t="str">
        <f>IF(COUNTIF(J7:AW7,"&lt;&gt;")=0,"",SUMPRODUCT(((Recommendations[ImplStatus]="Implemented")+(Recommendations[ImplStatus]="Compensated"))*ISNUMBER(MATCH(Recommendations[Id],J7:AW7,0)))/COUNTIF(J7:AW7,"&lt;&gt;"))</f>
        <v/>
      </c>
      <c r="J7" s="93"/>
      <c r="K7" s="93"/>
      <c r="L7" s="93"/>
      <c r="M7" s="93"/>
      <c r="N7" s="93"/>
      <c r="O7" s="93"/>
      <c r="P7" s="93"/>
      <c r="Q7" s="93"/>
      <c r="R7" s="93"/>
      <c r="S7" s="93"/>
      <c r="T7" s="93"/>
      <c r="U7" s="93"/>
      <c r="V7" s="93"/>
      <c r="W7" s="93"/>
      <c r="X7" s="93"/>
      <c r="Y7" s="93"/>
      <c r="Z7" s="93"/>
      <c r="AA7" s="93"/>
      <c r="AB7" s="93"/>
      <c r="AC7" s="93"/>
      <c r="AD7" s="93"/>
      <c r="AE7" s="93"/>
      <c r="AF7" s="93"/>
      <c r="AG7" s="93"/>
      <c r="AH7" s="93"/>
      <c r="AI7" s="93"/>
      <c r="AJ7" s="93"/>
      <c r="AK7" s="93"/>
      <c r="AL7" s="93"/>
      <c r="AM7" s="93"/>
      <c r="AN7" s="93"/>
      <c r="AO7" s="93"/>
      <c r="AP7" s="93"/>
      <c r="AQ7" s="93"/>
      <c r="AR7" s="93"/>
      <c r="AS7" s="93"/>
      <c r="AT7" s="93"/>
      <c r="AU7" s="93"/>
      <c r="AV7" s="93"/>
      <c r="AW7" s="104"/>
    </row>
    <row r="8" spans="1:49" ht="60" customHeight="1" outlineLevel="1" x14ac:dyDescent="0.35">
      <c r="A8" s="100" t="s">
        <v>2289</v>
      </c>
      <c r="B8" s="83">
        <v>2</v>
      </c>
      <c r="C8" s="85" t="s">
        <v>21</v>
      </c>
      <c r="D8" s="87" t="s">
        <v>2290</v>
      </c>
      <c r="E8" s="87" t="s">
        <v>21</v>
      </c>
      <c r="F8" s="83" t="s">
        <v>21</v>
      </c>
      <c r="G8" s="83" t="s">
        <v>21</v>
      </c>
      <c r="H8" s="83"/>
      <c r="I8" s="90" t="str">
        <f>IF(COUNTIF(J8:AW8,"&lt;&gt;")=0,"",SUMPRODUCT(((Recommendations[ImplStatus]="Implemented")+(Recommendations[ImplStatus]="Compensated"))*ISNUMBER(MATCH(Recommendations[Id],J8:AW8,0)))/COUNTIF(J8:AW8,"&lt;&gt;"))</f>
        <v/>
      </c>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2"/>
      <c r="AU8" s="92"/>
      <c r="AV8" s="92"/>
      <c r="AW8" s="103"/>
    </row>
    <row r="9" spans="1:49" ht="60" customHeight="1" x14ac:dyDescent="0.35">
      <c r="A9" s="101" t="s">
        <v>2289</v>
      </c>
      <c r="B9" s="84" t="s">
        <v>2291</v>
      </c>
      <c r="C9" s="86" t="s">
        <v>2292</v>
      </c>
      <c r="D9" s="88" t="s">
        <v>2293</v>
      </c>
      <c r="E9" s="88" t="s">
        <v>2294</v>
      </c>
      <c r="F9" s="89" t="s">
        <v>2295</v>
      </c>
      <c r="G9" s="89" t="s">
        <v>2270</v>
      </c>
      <c r="H9" s="89">
        <v>1</v>
      </c>
      <c r="I9" s="91" t="str">
        <f>IF(COUNTIF(J9:AW9,"&lt;&gt;")=0,"",SUMPRODUCT(((Recommendations[ImplStatus]="Implemented")+(Recommendations[ImplStatus]="Compensated"))*ISNUMBER(MATCH(Recommendations[Id],J9:AW9,0)))/COUNTIF(J9:AW9,"&lt;&gt;"))</f>
        <v/>
      </c>
      <c r="J9" s="93"/>
      <c r="K9" s="93"/>
      <c r="L9" s="93"/>
      <c r="M9" s="93"/>
      <c r="N9" s="93"/>
      <c r="O9" s="93"/>
      <c r="P9" s="93"/>
      <c r="Q9" s="93"/>
      <c r="R9" s="93"/>
      <c r="S9" s="93"/>
      <c r="T9" s="93"/>
      <c r="U9" s="93"/>
      <c r="V9" s="93"/>
      <c r="W9" s="93"/>
      <c r="X9" s="93"/>
      <c r="Y9" s="93"/>
      <c r="Z9" s="93"/>
      <c r="AA9" s="93"/>
      <c r="AB9" s="93"/>
      <c r="AC9" s="93"/>
      <c r="AD9" s="93"/>
      <c r="AE9" s="93"/>
      <c r="AF9" s="93"/>
      <c r="AG9" s="93"/>
      <c r="AH9" s="93"/>
      <c r="AI9" s="93"/>
      <c r="AJ9" s="93"/>
      <c r="AK9" s="93"/>
      <c r="AL9" s="93"/>
      <c r="AM9" s="93"/>
      <c r="AN9" s="93"/>
      <c r="AO9" s="93"/>
      <c r="AP9" s="93"/>
      <c r="AQ9" s="93"/>
      <c r="AR9" s="93"/>
      <c r="AS9" s="93"/>
      <c r="AT9" s="93"/>
      <c r="AU9" s="93"/>
      <c r="AV9" s="93"/>
      <c r="AW9" s="104"/>
    </row>
    <row r="10" spans="1:49" ht="60" customHeight="1" x14ac:dyDescent="0.35">
      <c r="A10" s="101" t="s">
        <v>2289</v>
      </c>
      <c r="B10" s="84" t="s">
        <v>2296</v>
      </c>
      <c r="C10" s="86" t="s">
        <v>2297</v>
      </c>
      <c r="D10" s="88" t="s">
        <v>2298</v>
      </c>
      <c r="E10" s="88" t="s">
        <v>2299</v>
      </c>
      <c r="F10" s="89" t="s">
        <v>2295</v>
      </c>
      <c r="G10" s="89" t="s">
        <v>2270</v>
      </c>
      <c r="H10" s="89">
        <v>1</v>
      </c>
      <c r="I10" s="91" t="str">
        <f>IF(COUNTIF(J10:AW10,"&lt;&gt;")=0,"",SUMPRODUCT(((Recommendations[ImplStatus]="Implemented")+(Recommendations[ImplStatus]="Compensated"))*ISNUMBER(MATCH(Recommendations[Id],J10:AW10,0)))/COUNTIF(J10:AW10,"&lt;&gt;"))</f>
        <v/>
      </c>
      <c r="J10" s="93"/>
      <c r="K10" s="93"/>
      <c r="L10" s="93"/>
      <c r="M10" s="93"/>
      <c r="N10" s="93"/>
      <c r="O10" s="93"/>
      <c r="P10" s="93"/>
      <c r="Q10" s="93"/>
      <c r="R10" s="93"/>
      <c r="S10" s="93"/>
      <c r="T10" s="93"/>
      <c r="U10" s="93"/>
      <c r="V10" s="93"/>
      <c r="W10" s="93"/>
      <c r="X10" s="93"/>
      <c r="Y10" s="93"/>
      <c r="Z10" s="93"/>
      <c r="AA10" s="93"/>
      <c r="AB10" s="93"/>
      <c r="AC10" s="93"/>
      <c r="AD10" s="93"/>
      <c r="AE10" s="93"/>
      <c r="AF10" s="93"/>
      <c r="AG10" s="93"/>
      <c r="AH10" s="93"/>
      <c r="AI10" s="93"/>
      <c r="AJ10" s="93"/>
      <c r="AK10" s="93"/>
      <c r="AL10" s="93"/>
      <c r="AM10" s="93"/>
      <c r="AN10" s="93"/>
      <c r="AO10" s="93"/>
      <c r="AP10" s="93"/>
      <c r="AQ10" s="93"/>
      <c r="AR10" s="93"/>
      <c r="AS10" s="93"/>
      <c r="AT10" s="93"/>
      <c r="AU10" s="93"/>
      <c r="AV10" s="93"/>
      <c r="AW10" s="104"/>
    </row>
    <row r="11" spans="1:49" ht="60" customHeight="1" x14ac:dyDescent="0.35">
      <c r="A11" s="101" t="s">
        <v>2289</v>
      </c>
      <c r="B11" s="84" t="s">
        <v>2300</v>
      </c>
      <c r="C11" s="86" t="s">
        <v>2301</v>
      </c>
      <c r="D11" s="88" t="s">
        <v>2302</v>
      </c>
      <c r="E11" s="88" t="s">
        <v>2303</v>
      </c>
      <c r="F11" s="89" t="s">
        <v>2295</v>
      </c>
      <c r="G11" s="89" t="s">
        <v>2275</v>
      </c>
      <c r="H11" s="89">
        <v>1</v>
      </c>
      <c r="I11" s="91" t="str">
        <f>IF(COUNTIF(J11:AW11,"&lt;&gt;")=0,"",SUMPRODUCT(((Recommendations[ImplStatus]="Implemented")+(Recommendations[ImplStatus]="Compensated"))*ISNUMBER(MATCH(Recommendations[Id],J11:AW11,0)))/COUNTIF(J11:AW11,"&lt;&gt;"))</f>
        <v/>
      </c>
      <c r="J11" s="93"/>
      <c r="K11" s="93"/>
      <c r="L11" s="93"/>
      <c r="M11" s="93"/>
      <c r="N11" s="93"/>
      <c r="O11" s="93"/>
      <c r="P11" s="93"/>
      <c r="Q11" s="93"/>
      <c r="R11" s="93"/>
      <c r="S11" s="93"/>
      <c r="T11" s="93"/>
      <c r="U11" s="93"/>
      <c r="V11" s="93"/>
      <c r="W11" s="93"/>
      <c r="X11" s="93"/>
      <c r="Y11" s="93"/>
      <c r="Z11" s="93"/>
      <c r="AA11" s="93"/>
      <c r="AB11" s="93"/>
      <c r="AC11" s="93"/>
      <c r="AD11" s="93"/>
      <c r="AE11" s="93"/>
      <c r="AF11" s="93"/>
      <c r="AG11" s="93"/>
      <c r="AH11" s="93"/>
      <c r="AI11" s="93"/>
      <c r="AJ11" s="93"/>
      <c r="AK11" s="93"/>
      <c r="AL11" s="93"/>
      <c r="AM11" s="93"/>
      <c r="AN11" s="93"/>
      <c r="AO11" s="93"/>
      <c r="AP11" s="93"/>
      <c r="AQ11" s="93"/>
      <c r="AR11" s="93"/>
      <c r="AS11" s="93"/>
      <c r="AT11" s="93"/>
      <c r="AU11" s="93"/>
      <c r="AV11" s="93"/>
      <c r="AW11" s="104"/>
    </row>
    <row r="12" spans="1:49" ht="60" customHeight="1" x14ac:dyDescent="0.35">
      <c r="A12" s="101" t="s">
        <v>2289</v>
      </c>
      <c r="B12" s="84" t="s">
        <v>2304</v>
      </c>
      <c r="C12" s="86" t="s">
        <v>2305</v>
      </c>
      <c r="D12" s="88" t="s">
        <v>2306</v>
      </c>
      <c r="E12" s="88" t="s">
        <v>2307</v>
      </c>
      <c r="F12" s="89" t="s">
        <v>2295</v>
      </c>
      <c r="G12" s="89" t="s">
        <v>2280</v>
      </c>
      <c r="H12" s="89">
        <v>2</v>
      </c>
      <c r="I12" s="91" t="str">
        <f>IF(COUNTIF(J12:AW12,"&lt;&gt;")=0,"",SUMPRODUCT(((Recommendations[ImplStatus]="Implemented")+(Recommendations[ImplStatus]="Compensated"))*ISNUMBER(MATCH(Recommendations[Id],J12:AW12,0)))/COUNTIF(J12:AW12,"&lt;&gt;"))</f>
        <v/>
      </c>
      <c r="J12" s="93"/>
      <c r="K12" s="93"/>
      <c r="L12" s="93"/>
      <c r="M12" s="93"/>
      <c r="N12" s="93"/>
      <c r="O12" s="93"/>
      <c r="P12" s="93"/>
      <c r="Q12" s="93"/>
      <c r="R12" s="93"/>
      <c r="S12" s="93"/>
      <c r="T12" s="93"/>
      <c r="U12" s="93"/>
      <c r="V12" s="93"/>
      <c r="W12" s="93"/>
      <c r="X12" s="93"/>
      <c r="Y12" s="93"/>
      <c r="Z12" s="93"/>
      <c r="AA12" s="93"/>
      <c r="AB12" s="93"/>
      <c r="AC12" s="93"/>
      <c r="AD12" s="93"/>
      <c r="AE12" s="93"/>
      <c r="AF12" s="93"/>
      <c r="AG12" s="93"/>
      <c r="AH12" s="93"/>
      <c r="AI12" s="93"/>
      <c r="AJ12" s="93"/>
      <c r="AK12" s="93"/>
      <c r="AL12" s="93"/>
      <c r="AM12" s="93"/>
      <c r="AN12" s="93"/>
      <c r="AO12" s="93"/>
      <c r="AP12" s="93"/>
      <c r="AQ12" s="93"/>
      <c r="AR12" s="93"/>
      <c r="AS12" s="93"/>
      <c r="AT12" s="93"/>
      <c r="AU12" s="93"/>
      <c r="AV12" s="93"/>
      <c r="AW12" s="104"/>
    </row>
    <row r="13" spans="1:49" ht="60" customHeight="1" x14ac:dyDescent="0.35">
      <c r="A13" s="101" t="s">
        <v>2289</v>
      </c>
      <c r="B13" s="84" t="s">
        <v>2308</v>
      </c>
      <c r="C13" s="86" t="s">
        <v>2309</v>
      </c>
      <c r="D13" s="88" t="s">
        <v>2310</v>
      </c>
      <c r="E13" s="88" t="s">
        <v>2311</v>
      </c>
      <c r="F13" s="89" t="s">
        <v>2295</v>
      </c>
      <c r="G13" s="89" t="s">
        <v>2312</v>
      </c>
      <c r="H13" s="89">
        <v>2</v>
      </c>
      <c r="I13" s="91" t="str">
        <f>IF(COUNTIF(J13:AW13,"&lt;&gt;")=0,"",SUMPRODUCT(((Recommendations[ImplStatus]="Implemented")+(Recommendations[ImplStatus]="Compensated"))*ISNUMBER(MATCH(Recommendations[Id],J13:AW13,0)))/COUNTIF(J13:AW13,"&lt;&gt;"))</f>
        <v/>
      </c>
      <c r="J13" s="93"/>
      <c r="K13" s="93"/>
      <c r="L13" s="93"/>
      <c r="M13" s="93"/>
      <c r="N13" s="93"/>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c r="AR13" s="93"/>
      <c r="AS13" s="93"/>
      <c r="AT13" s="93"/>
      <c r="AU13" s="93"/>
      <c r="AV13" s="93"/>
      <c r="AW13" s="104"/>
    </row>
    <row r="14" spans="1:49" ht="60" customHeight="1" x14ac:dyDescent="0.35">
      <c r="A14" s="101" t="s">
        <v>2289</v>
      </c>
      <c r="B14" s="84" t="s">
        <v>2313</v>
      </c>
      <c r="C14" s="86" t="s">
        <v>2314</v>
      </c>
      <c r="D14" s="88" t="s">
        <v>2315</v>
      </c>
      <c r="E14" s="88" t="s">
        <v>2316</v>
      </c>
      <c r="F14" s="89" t="s">
        <v>2295</v>
      </c>
      <c r="G14" s="89" t="s">
        <v>2312</v>
      </c>
      <c r="H14" s="89">
        <v>2</v>
      </c>
      <c r="I14" s="91" t="str">
        <f>IF(COUNTIF(J14:AW14,"&lt;&gt;")=0,"",SUMPRODUCT(((Recommendations[ImplStatus]="Implemented")+(Recommendations[ImplStatus]="Compensated"))*ISNUMBER(MATCH(Recommendations[Id],J14:AW14,0)))/COUNTIF(J14:AW14,"&lt;&gt;"))</f>
        <v/>
      </c>
      <c r="J14" s="93"/>
      <c r="K14" s="93"/>
      <c r="L14" s="93"/>
      <c r="M14" s="93"/>
      <c r="N14" s="93"/>
      <c r="O14" s="93"/>
      <c r="P14" s="93"/>
      <c r="Q14" s="93"/>
      <c r="R14" s="93"/>
      <c r="S14" s="93"/>
      <c r="T14" s="93"/>
      <c r="U14" s="93"/>
      <c r="V14" s="93"/>
      <c r="W14" s="93"/>
      <c r="X14" s="93"/>
      <c r="Y14" s="93"/>
      <c r="Z14" s="93"/>
      <c r="AA14" s="93"/>
      <c r="AB14" s="93"/>
      <c r="AC14" s="93"/>
      <c r="AD14" s="93"/>
      <c r="AE14" s="93"/>
      <c r="AF14" s="93"/>
      <c r="AG14" s="93"/>
      <c r="AH14" s="93"/>
      <c r="AI14" s="93"/>
      <c r="AJ14" s="93"/>
      <c r="AK14" s="93"/>
      <c r="AL14" s="93"/>
      <c r="AM14" s="93"/>
      <c r="AN14" s="93"/>
      <c r="AO14" s="93"/>
      <c r="AP14" s="93"/>
      <c r="AQ14" s="93"/>
      <c r="AR14" s="93"/>
      <c r="AS14" s="93"/>
      <c r="AT14" s="93"/>
      <c r="AU14" s="93"/>
      <c r="AV14" s="93"/>
      <c r="AW14" s="104"/>
    </row>
    <row r="15" spans="1:49" ht="60" customHeight="1" x14ac:dyDescent="0.35">
      <c r="A15" s="101" t="s">
        <v>2289</v>
      </c>
      <c r="B15" s="84" t="s">
        <v>2317</v>
      </c>
      <c r="C15" s="86" t="s">
        <v>2318</v>
      </c>
      <c r="D15" s="88" t="s">
        <v>2319</v>
      </c>
      <c r="E15" s="88" t="s">
        <v>2320</v>
      </c>
      <c r="F15" s="89" t="s">
        <v>2295</v>
      </c>
      <c r="G15" s="89" t="s">
        <v>2312</v>
      </c>
      <c r="H15" s="89">
        <v>3</v>
      </c>
      <c r="I15" s="91">
        <f>IF(COUNTIF(J15:AW15,"&lt;&gt;")=0,"",SUMPRODUCT(((Recommendations[ImplStatus]="Implemented")+(Recommendations[ImplStatus]="Compensated"))*ISNUMBER(MATCH(Recommendations[Id],J15:AW15,0)))/COUNTIF(J15:AW15,"&lt;&gt;"))</f>
        <v>0</v>
      </c>
      <c r="J15" s="93" t="s">
        <v>1071</v>
      </c>
      <c r="K15" s="93"/>
      <c r="L15" s="93"/>
      <c r="M15" s="93"/>
      <c r="N15" s="93"/>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93"/>
      <c r="AU15" s="93"/>
      <c r="AV15" s="93"/>
      <c r="AW15" s="104"/>
    </row>
    <row r="16" spans="1:49" ht="60" customHeight="1" outlineLevel="1" x14ac:dyDescent="0.35">
      <c r="A16" s="100" t="s">
        <v>2321</v>
      </c>
      <c r="B16" s="83">
        <v>3</v>
      </c>
      <c r="C16" s="85" t="s">
        <v>21</v>
      </c>
      <c r="D16" s="87" t="s">
        <v>2322</v>
      </c>
      <c r="E16" s="87" t="s">
        <v>21</v>
      </c>
      <c r="F16" s="83" t="s">
        <v>21</v>
      </c>
      <c r="G16" s="83" t="s">
        <v>21</v>
      </c>
      <c r="H16" s="83"/>
      <c r="I16" s="90" t="str">
        <f>IF(COUNTIF(J16:AW16,"&lt;&gt;")=0,"",SUMPRODUCT(((Recommendations[ImplStatus]="Implemented")+(Recommendations[ImplStatus]="Compensated"))*ISNUMBER(MATCH(Recommendations[Id],J16:AW16,0)))/COUNTIF(J16:AW16,"&lt;&gt;"))</f>
        <v/>
      </c>
      <c r="J16" s="92"/>
      <c r="K16" s="92"/>
      <c r="L16" s="92"/>
      <c r="M16" s="92"/>
      <c r="N16" s="92"/>
      <c r="O16" s="92"/>
      <c r="P16" s="92"/>
      <c r="Q16" s="92"/>
      <c r="R16" s="92"/>
      <c r="S16" s="92"/>
      <c r="T16" s="92"/>
      <c r="U16" s="92"/>
      <c r="V16" s="92"/>
      <c r="W16" s="92"/>
      <c r="X16" s="92"/>
      <c r="Y16" s="92"/>
      <c r="Z16" s="92"/>
      <c r="AA16" s="92"/>
      <c r="AB16" s="92"/>
      <c r="AC16" s="92"/>
      <c r="AD16" s="92"/>
      <c r="AE16" s="92"/>
      <c r="AF16" s="92"/>
      <c r="AG16" s="92"/>
      <c r="AH16" s="92"/>
      <c r="AI16" s="92"/>
      <c r="AJ16" s="92"/>
      <c r="AK16" s="92"/>
      <c r="AL16" s="92"/>
      <c r="AM16" s="92"/>
      <c r="AN16" s="92"/>
      <c r="AO16" s="92"/>
      <c r="AP16" s="92"/>
      <c r="AQ16" s="92"/>
      <c r="AR16" s="92"/>
      <c r="AS16" s="92"/>
      <c r="AT16" s="92"/>
      <c r="AU16" s="92"/>
      <c r="AV16" s="92"/>
      <c r="AW16" s="103"/>
    </row>
    <row r="17" spans="1:49" ht="60" customHeight="1" x14ac:dyDescent="0.35">
      <c r="A17" s="101" t="s">
        <v>2321</v>
      </c>
      <c r="B17" s="84" t="s">
        <v>2323</v>
      </c>
      <c r="C17" s="86" t="s">
        <v>2324</v>
      </c>
      <c r="D17" s="88" t="s">
        <v>2325</v>
      </c>
      <c r="E17" s="88" t="s">
        <v>2326</v>
      </c>
      <c r="F17" s="89" t="s">
        <v>2327</v>
      </c>
      <c r="G17" s="89" t="s">
        <v>2328</v>
      </c>
      <c r="H17" s="89">
        <v>1</v>
      </c>
      <c r="I17" s="91" t="str">
        <f>IF(COUNTIF(J17:AW17,"&lt;&gt;")=0,"",SUMPRODUCT(((Recommendations[ImplStatus]="Implemented")+(Recommendations[ImplStatus]="Compensated"))*ISNUMBER(MATCH(Recommendations[Id],J17:AW17,0)))/COUNTIF(J17:AW17,"&lt;&gt;"))</f>
        <v/>
      </c>
      <c r="J17" s="93"/>
      <c r="K17" s="93"/>
      <c r="L17" s="93"/>
      <c r="M17" s="93"/>
      <c r="N17" s="93"/>
      <c r="O17" s="93"/>
      <c r="P17" s="93"/>
      <c r="Q17" s="93"/>
      <c r="R17" s="93"/>
      <c r="S17" s="93"/>
      <c r="T17" s="93"/>
      <c r="U17" s="93"/>
      <c r="V17" s="93"/>
      <c r="W17" s="93"/>
      <c r="X17" s="93"/>
      <c r="Y17" s="93"/>
      <c r="Z17" s="93"/>
      <c r="AA17" s="93"/>
      <c r="AB17" s="93"/>
      <c r="AC17" s="93"/>
      <c r="AD17" s="93"/>
      <c r="AE17" s="93"/>
      <c r="AF17" s="93"/>
      <c r="AG17" s="93"/>
      <c r="AH17" s="93"/>
      <c r="AI17" s="93"/>
      <c r="AJ17" s="93"/>
      <c r="AK17" s="93"/>
      <c r="AL17" s="93"/>
      <c r="AM17" s="93"/>
      <c r="AN17" s="93"/>
      <c r="AO17" s="93"/>
      <c r="AP17" s="93"/>
      <c r="AQ17" s="93"/>
      <c r="AR17" s="93"/>
      <c r="AS17" s="93"/>
      <c r="AT17" s="93"/>
      <c r="AU17" s="93"/>
      <c r="AV17" s="93"/>
      <c r="AW17" s="104"/>
    </row>
    <row r="18" spans="1:49" ht="60" customHeight="1" x14ac:dyDescent="0.35">
      <c r="A18" s="101" t="s">
        <v>2321</v>
      </c>
      <c r="B18" s="84" t="s">
        <v>2329</v>
      </c>
      <c r="C18" s="86" t="s">
        <v>2330</v>
      </c>
      <c r="D18" s="88" t="s">
        <v>2331</v>
      </c>
      <c r="E18" s="88" t="s">
        <v>2332</v>
      </c>
      <c r="F18" s="89" t="s">
        <v>2327</v>
      </c>
      <c r="G18" s="89" t="s">
        <v>2270</v>
      </c>
      <c r="H18" s="89">
        <v>1</v>
      </c>
      <c r="I18" s="91" t="str">
        <f>IF(COUNTIF(J18:AW18,"&lt;&gt;")=0,"",SUMPRODUCT(((Recommendations[ImplStatus]="Implemented")+(Recommendations[ImplStatus]="Compensated"))*ISNUMBER(MATCH(Recommendations[Id],J18:AW18,0)))/COUNTIF(J18:AW18,"&lt;&gt;"))</f>
        <v/>
      </c>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93"/>
      <c r="AU18" s="93"/>
      <c r="AV18" s="93"/>
      <c r="AW18" s="104"/>
    </row>
    <row r="19" spans="1:49" ht="60" customHeight="1" x14ac:dyDescent="0.35">
      <c r="A19" s="101" t="s">
        <v>2321</v>
      </c>
      <c r="B19" s="84" t="s">
        <v>2333</v>
      </c>
      <c r="C19" s="86" t="s">
        <v>2334</v>
      </c>
      <c r="D19" s="88" t="s">
        <v>2335</v>
      </c>
      <c r="E19" s="88" t="s">
        <v>2336</v>
      </c>
      <c r="F19" s="89" t="s">
        <v>2327</v>
      </c>
      <c r="G19" s="89" t="s">
        <v>2312</v>
      </c>
      <c r="H19" s="89">
        <v>1</v>
      </c>
      <c r="I19" s="91">
        <f>IF(COUNTIF(J19:AW19,"&lt;&gt;")=0,"",SUMPRODUCT(((Recommendations[ImplStatus]="Implemented")+(Recommendations[ImplStatus]="Compensated"))*ISNUMBER(MATCH(Recommendations[Id],J19:AW19,0)))/COUNTIF(J19:AW19,"&lt;&gt;"))</f>
        <v>0</v>
      </c>
      <c r="J19" s="93" t="s">
        <v>127</v>
      </c>
      <c r="K19" s="93" t="s">
        <v>132</v>
      </c>
      <c r="L19" s="93" t="s">
        <v>177</v>
      </c>
      <c r="M19" s="93" t="s">
        <v>212</v>
      </c>
      <c r="N19" s="93"/>
      <c r="O19" s="93"/>
      <c r="P19" s="93"/>
      <c r="Q19" s="93"/>
      <c r="R19" s="93"/>
      <c r="S19" s="93"/>
      <c r="T19" s="93"/>
      <c r="U19" s="93"/>
      <c r="V19" s="93"/>
      <c r="W19" s="93"/>
      <c r="X19" s="93"/>
      <c r="Y19" s="93"/>
      <c r="Z19" s="93"/>
      <c r="AA19" s="93"/>
      <c r="AB19" s="93"/>
      <c r="AC19" s="93"/>
      <c r="AD19" s="93"/>
      <c r="AE19" s="93"/>
      <c r="AF19" s="93"/>
      <c r="AG19" s="93"/>
      <c r="AH19" s="93"/>
      <c r="AI19" s="93"/>
      <c r="AJ19" s="93"/>
      <c r="AK19" s="93"/>
      <c r="AL19" s="93"/>
      <c r="AM19" s="93"/>
      <c r="AN19" s="93"/>
      <c r="AO19" s="93"/>
      <c r="AP19" s="93"/>
      <c r="AQ19" s="93"/>
      <c r="AR19" s="93"/>
      <c r="AS19" s="93"/>
      <c r="AT19" s="93"/>
      <c r="AU19" s="93"/>
      <c r="AV19" s="93"/>
      <c r="AW19" s="104"/>
    </row>
    <row r="20" spans="1:49" ht="60" customHeight="1" x14ac:dyDescent="0.35">
      <c r="A20" s="101" t="s">
        <v>2321</v>
      </c>
      <c r="B20" s="84" t="s">
        <v>2337</v>
      </c>
      <c r="C20" s="86" t="s">
        <v>2338</v>
      </c>
      <c r="D20" s="88" t="s">
        <v>2339</v>
      </c>
      <c r="E20" s="88" t="s">
        <v>2340</v>
      </c>
      <c r="F20" s="89" t="s">
        <v>2327</v>
      </c>
      <c r="G20" s="89" t="s">
        <v>2312</v>
      </c>
      <c r="H20" s="89">
        <v>1</v>
      </c>
      <c r="I20" s="91" t="str">
        <f>IF(COUNTIF(J20:AW20,"&lt;&gt;")=0,"",SUMPRODUCT(((Recommendations[ImplStatus]="Implemented")+(Recommendations[ImplStatus]="Compensated"))*ISNUMBER(MATCH(Recommendations[Id],J20:AW20,0)))/COUNTIF(J20:AW20,"&lt;&gt;"))</f>
        <v/>
      </c>
      <c r="J20" s="93"/>
      <c r="K20" s="93"/>
      <c r="L20" s="93"/>
      <c r="M20" s="93"/>
      <c r="N20" s="93"/>
      <c r="O20" s="93"/>
      <c r="P20" s="93"/>
      <c r="Q20" s="93"/>
      <c r="R20" s="93"/>
      <c r="S20" s="93"/>
      <c r="T20" s="93"/>
      <c r="U20" s="93"/>
      <c r="V20" s="93"/>
      <c r="W20" s="93"/>
      <c r="X20" s="93"/>
      <c r="Y20" s="93"/>
      <c r="Z20" s="93"/>
      <c r="AA20" s="93"/>
      <c r="AB20" s="93"/>
      <c r="AC20" s="93"/>
      <c r="AD20" s="93"/>
      <c r="AE20" s="93"/>
      <c r="AF20" s="93"/>
      <c r="AG20" s="93"/>
      <c r="AH20" s="93"/>
      <c r="AI20" s="93"/>
      <c r="AJ20" s="93"/>
      <c r="AK20" s="93"/>
      <c r="AL20" s="93"/>
      <c r="AM20" s="93"/>
      <c r="AN20" s="93"/>
      <c r="AO20" s="93"/>
      <c r="AP20" s="93"/>
      <c r="AQ20" s="93"/>
      <c r="AR20" s="93"/>
      <c r="AS20" s="93"/>
      <c r="AT20" s="93"/>
      <c r="AU20" s="93"/>
      <c r="AV20" s="93"/>
      <c r="AW20" s="104"/>
    </row>
    <row r="21" spans="1:49" ht="60" customHeight="1" x14ac:dyDescent="0.35">
      <c r="A21" s="101" t="s">
        <v>2321</v>
      </c>
      <c r="B21" s="84" t="s">
        <v>2341</v>
      </c>
      <c r="C21" s="86" t="s">
        <v>2342</v>
      </c>
      <c r="D21" s="88" t="s">
        <v>2343</v>
      </c>
      <c r="E21" s="88" t="s">
        <v>2344</v>
      </c>
      <c r="F21" s="89" t="s">
        <v>2327</v>
      </c>
      <c r="G21" s="89" t="s">
        <v>2312</v>
      </c>
      <c r="H21" s="89">
        <v>1</v>
      </c>
      <c r="I21" s="91" t="str">
        <f>IF(COUNTIF(J21:AW21,"&lt;&gt;")=0,"",SUMPRODUCT(((Recommendations[ImplStatus]="Implemented")+(Recommendations[ImplStatus]="Compensated"))*ISNUMBER(MATCH(Recommendations[Id],J21:AW21,0)))/COUNTIF(J21:AW21,"&lt;&gt;"))</f>
        <v/>
      </c>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93"/>
      <c r="AI21" s="93"/>
      <c r="AJ21" s="93"/>
      <c r="AK21" s="93"/>
      <c r="AL21" s="93"/>
      <c r="AM21" s="93"/>
      <c r="AN21" s="93"/>
      <c r="AO21" s="93"/>
      <c r="AP21" s="93"/>
      <c r="AQ21" s="93"/>
      <c r="AR21" s="93"/>
      <c r="AS21" s="93"/>
      <c r="AT21" s="93"/>
      <c r="AU21" s="93"/>
      <c r="AV21" s="93"/>
      <c r="AW21" s="104"/>
    </row>
    <row r="22" spans="1:49" ht="60" customHeight="1" x14ac:dyDescent="0.35">
      <c r="A22" s="101" t="s">
        <v>2321</v>
      </c>
      <c r="B22" s="84" t="s">
        <v>2345</v>
      </c>
      <c r="C22" s="86" t="s">
        <v>2346</v>
      </c>
      <c r="D22" s="88" t="s">
        <v>2347</v>
      </c>
      <c r="E22" s="88" t="s">
        <v>2348</v>
      </c>
      <c r="F22" s="89" t="s">
        <v>2327</v>
      </c>
      <c r="G22" s="89" t="s">
        <v>2312</v>
      </c>
      <c r="H22" s="89">
        <v>1</v>
      </c>
      <c r="I22" s="91" t="str">
        <f>IF(COUNTIF(J22:AW22,"&lt;&gt;")=0,"",SUMPRODUCT(((Recommendations[ImplStatus]="Implemented")+(Recommendations[ImplStatus]="Compensated"))*ISNUMBER(MATCH(Recommendations[Id],J22:AW22,0)))/COUNTIF(J22:AW22,"&lt;&gt;"))</f>
        <v/>
      </c>
      <c r="J22" s="93"/>
      <c r="K22" s="93"/>
      <c r="L22" s="93"/>
      <c r="M22" s="93"/>
      <c r="N22" s="93"/>
      <c r="O22" s="93"/>
      <c r="P22" s="93"/>
      <c r="Q22" s="93"/>
      <c r="R22" s="93"/>
      <c r="S22" s="93"/>
      <c r="T22" s="93"/>
      <c r="U22" s="93"/>
      <c r="V22" s="93"/>
      <c r="W22" s="93"/>
      <c r="X22" s="93"/>
      <c r="Y22" s="93"/>
      <c r="Z22" s="93"/>
      <c r="AA22" s="93"/>
      <c r="AB22" s="93"/>
      <c r="AC22" s="93"/>
      <c r="AD22" s="93"/>
      <c r="AE22" s="93"/>
      <c r="AF22" s="93"/>
      <c r="AG22" s="93"/>
      <c r="AH22" s="93"/>
      <c r="AI22" s="93"/>
      <c r="AJ22" s="93"/>
      <c r="AK22" s="93"/>
      <c r="AL22" s="93"/>
      <c r="AM22" s="93"/>
      <c r="AN22" s="93"/>
      <c r="AO22" s="93"/>
      <c r="AP22" s="93"/>
      <c r="AQ22" s="93"/>
      <c r="AR22" s="93"/>
      <c r="AS22" s="93"/>
      <c r="AT22" s="93"/>
      <c r="AU22" s="93"/>
      <c r="AV22" s="93"/>
      <c r="AW22" s="104"/>
    </row>
    <row r="23" spans="1:49" ht="60" customHeight="1" x14ac:dyDescent="0.35">
      <c r="A23" s="101" t="s">
        <v>2321</v>
      </c>
      <c r="B23" s="84" t="s">
        <v>2349</v>
      </c>
      <c r="C23" s="86" t="s">
        <v>2350</v>
      </c>
      <c r="D23" s="88" t="s">
        <v>2351</v>
      </c>
      <c r="E23" s="88" t="s">
        <v>2352</v>
      </c>
      <c r="F23" s="89" t="s">
        <v>2327</v>
      </c>
      <c r="G23" s="89" t="s">
        <v>2270</v>
      </c>
      <c r="H23" s="89">
        <v>2</v>
      </c>
      <c r="I23" s="91" t="str">
        <f>IF(COUNTIF(J23:AW23,"&lt;&gt;")=0,"",SUMPRODUCT(((Recommendations[ImplStatus]="Implemented")+(Recommendations[ImplStatus]="Compensated"))*ISNUMBER(MATCH(Recommendations[Id],J23:AW23,0)))/COUNTIF(J23:AW23,"&lt;&gt;"))</f>
        <v/>
      </c>
      <c r="J23" s="93"/>
      <c r="K23" s="93"/>
      <c r="L23" s="93"/>
      <c r="M23" s="93"/>
      <c r="N23" s="93"/>
      <c r="O23" s="93"/>
      <c r="P23" s="93"/>
      <c r="Q23" s="93"/>
      <c r="R23" s="93"/>
      <c r="S23" s="93"/>
      <c r="T23" s="93"/>
      <c r="U23" s="93"/>
      <c r="V23" s="93"/>
      <c r="W23" s="93"/>
      <c r="X23" s="93"/>
      <c r="Y23" s="93"/>
      <c r="Z23" s="93"/>
      <c r="AA23" s="93"/>
      <c r="AB23" s="93"/>
      <c r="AC23" s="93"/>
      <c r="AD23" s="93"/>
      <c r="AE23" s="93"/>
      <c r="AF23" s="93"/>
      <c r="AG23" s="93"/>
      <c r="AH23" s="93"/>
      <c r="AI23" s="93"/>
      <c r="AJ23" s="93"/>
      <c r="AK23" s="93"/>
      <c r="AL23" s="93"/>
      <c r="AM23" s="93"/>
      <c r="AN23" s="93"/>
      <c r="AO23" s="93"/>
      <c r="AP23" s="93"/>
      <c r="AQ23" s="93"/>
      <c r="AR23" s="93"/>
      <c r="AS23" s="93"/>
      <c r="AT23" s="93"/>
      <c r="AU23" s="93"/>
      <c r="AV23" s="93"/>
      <c r="AW23" s="104"/>
    </row>
    <row r="24" spans="1:49" ht="60" customHeight="1" x14ac:dyDescent="0.35">
      <c r="A24" s="101" t="s">
        <v>2321</v>
      </c>
      <c r="B24" s="84" t="s">
        <v>2353</v>
      </c>
      <c r="C24" s="86" t="s">
        <v>2354</v>
      </c>
      <c r="D24" s="88" t="s">
        <v>2355</v>
      </c>
      <c r="E24" s="88" t="s">
        <v>2356</v>
      </c>
      <c r="F24" s="89" t="s">
        <v>2327</v>
      </c>
      <c r="G24" s="89" t="s">
        <v>2270</v>
      </c>
      <c r="H24" s="89">
        <v>2</v>
      </c>
      <c r="I24" s="91" t="str">
        <f>IF(COUNTIF(J24:AW24,"&lt;&gt;")=0,"",SUMPRODUCT(((Recommendations[ImplStatus]="Implemented")+(Recommendations[ImplStatus]="Compensated"))*ISNUMBER(MATCH(Recommendations[Id],J24:AW24,0)))/COUNTIF(J24:AW24,"&lt;&gt;"))</f>
        <v/>
      </c>
      <c r="J24" s="93"/>
      <c r="K24" s="93"/>
      <c r="L24" s="93"/>
      <c r="M24" s="93"/>
      <c r="N24" s="93"/>
      <c r="O24" s="93"/>
      <c r="P24" s="93"/>
      <c r="Q24" s="93"/>
      <c r="R24" s="93"/>
      <c r="S24" s="93"/>
      <c r="T24" s="93"/>
      <c r="U24" s="93"/>
      <c r="V24" s="93"/>
      <c r="W24" s="93"/>
      <c r="X24" s="93"/>
      <c r="Y24" s="93"/>
      <c r="Z24" s="93"/>
      <c r="AA24" s="93"/>
      <c r="AB24" s="93"/>
      <c r="AC24" s="93"/>
      <c r="AD24" s="93"/>
      <c r="AE24" s="93"/>
      <c r="AF24" s="93"/>
      <c r="AG24" s="93"/>
      <c r="AH24" s="93"/>
      <c r="AI24" s="93"/>
      <c r="AJ24" s="93"/>
      <c r="AK24" s="93"/>
      <c r="AL24" s="93"/>
      <c r="AM24" s="93"/>
      <c r="AN24" s="93"/>
      <c r="AO24" s="93"/>
      <c r="AP24" s="93"/>
      <c r="AQ24" s="93"/>
      <c r="AR24" s="93"/>
      <c r="AS24" s="93"/>
      <c r="AT24" s="93"/>
      <c r="AU24" s="93"/>
      <c r="AV24" s="93"/>
      <c r="AW24" s="104"/>
    </row>
    <row r="25" spans="1:49" ht="60" customHeight="1" x14ac:dyDescent="0.35">
      <c r="A25" s="101" t="s">
        <v>2321</v>
      </c>
      <c r="B25" s="84" t="s">
        <v>2357</v>
      </c>
      <c r="C25" s="86" t="s">
        <v>2358</v>
      </c>
      <c r="D25" s="88" t="s">
        <v>2359</v>
      </c>
      <c r="E25" s="88" t="s">
        <v>2360</v>
      </c>
      <c r="F25" s="89" t="s">
        <v>2327</v>
      </c>
      <c r="G25" s="89" t="s">
        <v>2312</v>
      </c>
      <c r="H25" s="89">
        <v>2</v>
      </c>
      <c r="I25" s="91" t="str">
        <f>IF(COUNTIF(J25:AW25,"&lt;&gt;")=0,"",SUMPRODUCT(((Recommendations[ImplStatus]="Implemented")+(Recommendations[ImplStatus]="Compensated"))*ISNUMBER(MATCH(Recommendations[Id],J25:AW25,0)))/COUNTIF(J25:AW25,"&lt;&gt;"))</f>
        <v/>
      </c>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c r="AO25" s="93"/>
      <c r="AP25" s="93"/>
      <c r="AQ25" s="93"/>
      <c r="AR25" s="93"/>
      <c r="AS25" s="93"/>
      <c r="AT25" s="93"/>
      <c r="AU25" s="93"/>
      <c r="AV25" s="93"/>
      <c r="AW25" s="104"/>
    </row>
    <row r="26" spans="1:49" ht="60" customHeight="1" x14ac:dyDescent="0.35">
      <c r="A26" s="101" t="s">
        <v>2321</v>
      </c>
      <c r="B26" s="84" t="s">
        <v>2361</v>
      </c>
      <c r="C26" s="86" t="s">
        <v>2362</v>
      </c>
      <c r="D26" s="88" t="s">
        <v>2363</v>
      </c>
      <c r="E26" s="88" t="s">
        <v>2364</v>
      </c>
      <c r="F26" s="89" t="s">
        <v>2327</v>
      </c>
      <c r="G26" s="89" t="s">
        <v>2312</v>
      </c>
      <c r="H26" s="89">
        <v>2</v>
      </c>
      <c r="I26" s="91">
        <f>IF(COUNTIF(J26:AW26,"&lt;&gt;")=0,"",SUMPRODUCT(((Recommendations[ImplStatus]="Implemented")+(Recommendations[ImplStatus]="Compensated"))*ISNUMBER(MATCH(Recommendations[Id],J26:AW26,0)))/COUNTIF(J26:AW26,"&lt;&gt;"))</f>
        <v>0</v>
      </c>
      <c r="J26" s="93" t="s">
        <v>161</v>
      </c>
      <c r="K26" s="93" t="s">
        <v>299</v>
      </c>
      <c r="L26" s="93" t="s">
        <v>303</v>
      </c>
      <c r="M26" s="93" t="s">
        <v>306</v>
      </c>
      <c r="N26" s="93" t="s">
        <v>366</v>
      </c>
      <c r="O26" s="93" t="s">
        <v>371</v>
      </c>
      <c r="P26" s="93" t="s">
        <v>997</v>
      </c>
      <c r="Q26" s="93" t="s">
        <v>1081</v>
      </c>
      <c r="R26" s="93" t="s">
        <v>1085</v>
      </c>
      <c r="S26" s="93" t="s">
        <v>1090</v>
      </c>
      <c r="T26" s="93" t="s">
        <v>1093</v>
      </c>
      <c r="U26" s="93" t="s">
        <v>1196</v>
      </c>
      <c r="V26" s="93" t="s">
        <v>1289</v>
      </c>
      <c r="W26" s="93" t="s">
        <v>1294</v>
      </c>
      <c r="X26" s="93" t="s">
        <v>1298</v>
      </c>
      <c r="Y26" s="93" t="s">
        <v>1303</v>
      </c>
      <c r="Z26" s="93" t="s">
        <v>1308</v>
      </c>
      <c r="AA26" s="93" t="s">
        <v>1312</v>
      </c>
      <c r="AB26" s="93" t="s">
        <v>1582</v>
      </c>
      <c r="AC26" s="93" t="s">
        <v>1587</v>
      </c>
      <c r="AD26" s="93" t="s">
        <v>1592</v>
      </c>
      <c r="AE26" s="93" t="s">
        <v>1610</v>
      </c>
      <c r="AF26" s="93" t="s">
        <v>1613</v>
      </c>
      <c r="AG26" s="93" t="s">
        <v>1616</v>
      </c>
      <c r="AH26" s="93" t="s">
        <v>1774</v>
      </c>
      <c r="AI26" s="93" t="s">
        <v>1779</v>
      </c>
      <c r="AJ26" s="93" t="s">
        <v>1783</v>
      </c>
      <c r="AK26" s="93" t="s">
        <v>1850</v>
      </c>
      <c r="AL26" s="93" t="s">
        <v>1855</v>
      </c>
      <c r="AM26" s="93" t="s">
        <v>1860</v>
      </c>
      <c r="AN26" s="93" t="s">
        <v>1879</v>
      </c>
      <c r="AO26" s="93" t="s">
        <v>1884</v>
      </c>
      <c r="AP26" s="93" t="s">
        <v>1888</v>
      </c>
      <c r="AQ26" s="93" t="s">
        <v>1928</v>
      </c>
      <c r="AR26" s="93" t="s">
        <v>1933</v>
      </c>
      <c r="AS26" s="93" t="s">
        <v>1937</v>
      </c>
      <c r="AT26" s="93" t="s">
        <v>1941</v>
      </c>
      <c r="AU26" s="93" t="s">
        <v>1946</v>
      </c>
      <c r="AV26" s="93" t="s">
        <v>1950</v>
      </c>
      <c r="AW26" s="104" t="s">
        <v>1954</v>
      </c>
    </row>
    <row r="27" spans="1:49" ht="60" customHeight="1" x14ac:dyDescent="0.35">
      <c r="A27" s="101" t="s">
        <v>2321</v>
      </c>
      <c r="B27" s="84" t="s">
        <v>2365</v>
      </c>
      <c r="C27" s="86" t="s">
        <v>2366</v>
      </c>
      <c r="D27" s="88" t="s">
        <v>2367</v>
      </c>
      <c r="E27" s="88" t="s">
        <v>2368</v>
      </c>
      <c r="F27" s="89" t="s">
        <v>2327</v>
      </c>
      <c r="G27" s="89" t="s">
        <v>2312</v>
      </c>
      <c r="H27" s="89">
        <v>2</v>
      </c>
      <c r="I27" s="91" t="str">
        <f>IF(COUNTIF(J27:AW27,"&lt;&gt;")=0,"",SUMPRODUCT(((Recommendations[ImplStatus]="Implemented")+(Recommendations[ImplStatus]="Compensated"))*ISNUMBER(MATCH(Recommendations[Id],J27:AW27,0)))/COUNTIF(J27:AW27,"&lt;&gt;"))</f>
        <v/>
      </c>
      <c r="J27" s="93"/>
      <c r="K27" s="93"/>
      <c r="L27" s="93"/>
      <c r="M27" s="93"/>
      <c r="N27" s="93"/>
      <c r="O27" s="93"/>
      <c r="P27" s="93"/>
      <c r="Q27" s="93"/>
      <c r="R27" s="93"/>
      <c r="S27" s="93"/>
      <c r="T27" s="93"/>
      <c r="U27" s="93"/>
      <c r="V27" s="93"/>
      <c r="W27" s="93"/>
      <c r="X27" s="93"/>
      <c r="Y27" s="93"/>
      <c r="Z27" s="93"/>
      <c r="AA27" s="93"/>
      <c r="AB27" s="93"/>
      <c r="AC27" s="93"/>
      <c r="AD27" s="93"/>
      <c r="AE27" s="93"/>
      <c r="AF27" s="93"/>
      <c r="AG27" s="93"/>
      <c r="AH27" s="93"/>
      <c r="AI27" s="93"/>
      <c r="AJ27" s="93"/>
      <c r="AK27" s="93"/>
      <c r="AL27" s="93"/>
      <c r="AM27" s="93"/>
      <c r="AN27" s="93"/>
      <c r="AO27" s="93"/>
      <c r="AP27" s="93"/>
      <c r="AQ27" s="93"/>
      <c r="AR27" s="93"/>
      <c r="AS27" s="93"/>
      <c r="AT27" s="93"/>
      <c r="AU27" s="93"/>
      <c r="AV27" s="93"/>
      <c r="AW27" s="104"/>
    </row>
    <row r="28" spans="1:49" ht="60" customHeight="1" x14ac:dyDescent="0.35">
      <c r="A28" s="101" t="s">
        <v>2321</v>
      </c>
      <c r="B28" s="84" t="s">
        <v>2369</v>
      </c>
      <c r="C28" s="86" t="s">
        <v>2370</v>
      </c>
      <c r="D28" s="88" t="s">
        <v>2371</v>
      </c>
      <c r="E28" s="88" t="s">
        <v>2372</v>
      </c>
      <c r="F28" s="89" t="s">
        <v>2327</v>
      </c>
      <c r="G28" s="89" t="s">
        <v>2312</v>
      </c>
      <c r="H28" s="89">
        <v>2</v>
      </c>
      <c r="I28" s="91" t="str">
        <f>IF(COUNTIF(J28:AW28,"&lt;&gt;")=0,"",SUMPRODUCT(((Recommendations[ImplStatus]="Implemented")+(Recommendations[ImplStatus]="Compensated"))*ISNUMBER(MATCH(Recommendations[Id],J28:AW28,0)))/COUNTIF(J28:AW28,"&lt;&gt;"))</f>
        <v/>
      </c>
      <c r="J28" s="93"/>
      <c r="K28" s="93"/>
      <c r="L28" s="93"/>
      <c r="M28" s="93"/>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M28" s="93"/>
      <c r="AN28" s="93"/>
      <c r="AO28" s="93"/>
      <c r="AP28" s="93"/>
      <c r="AQ28" s="93"/>
      <c r="AR28" s="93"/>
      <c r="AS28" s="93"/>
      <c r="AT28" s="93"/>
      <c r="AU28" s="93"/>
      <c r="AV28" s="93"/>
      <c r="AW28" s="104"/>
    </row>
    <row r="29" spans="1:49" ht="60" customHeight="1" x14ac:dyDescent="0.35">
      <c r="A29" s="101" t="s">
        <v>2321</v>
      </c>
      <c r="B29" s="84" t="s">
        <v>2373</v>
      </c>
      <c r="C29" s="86" t="s">
        <v>2374</v>
      </c>
      <c r="D29" s="88" t="s">
        <v>2375</v>
      </c>
      <c r="E29" s="88" t="s">
        <v>2376</v>
      </c>
      <c r="F29" s="89" t="s">
        <v>2327</v>
      </c>
      <c r="G29" s="89" t="s">
        <v>2312</v>
      </c>
      <c r="H29" s="89">
        <v>3</v>
      </c>
      <c r="I29" s="91" t="str">
        <f>IF(COUNTIF(J29:AW29,"&lt;&gt;")=0,"",SUMPRODUCT(((Recommendations[ImplStatus]="Implemented")+(Recommendations[ImplStatus]="Compensated"))*ISNUMBER(MATCH(Recommendations[Id],J29:AW29,0)))/COUNTIF(J29:AW29,"&lt;&gt;"))</f>
        <v/>
      </c>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3"/>
      <c r="AO29" s="93"/>
      <c r="AP29" s="93"/>
      <c r="AQ29" s="93"/>
      <c r="AR29" s="93"/>
      <c r="AS29" s="93"/>
      <c r="AT29" s="93"/>
      <c r="AU29" s="93"/>
      <c r="AV29" s="93"/>
      <c r="AW29" s="104"/>
    </row>
    <row r="30" spans="1:49" ht="60" customHeight="1" x14ac:dyDescent="0.35">
      <c r="A30" s="101" t="s">
        <v>2321</v>
      </c>
      <c r="B30" s="84" t="s">
        <v>2377</v>
      </c>
      <c r="C30" s="86" t="s">
        <v>2378</v>
      </c>
      <c r="D30" s="88" t="s">
        <v>2379</v>
      </c>
      <c r="E30" s="88" t="s">
        <v>2380</v>
      </c>
      <c r="F30" s="89" t="s">
        <v>2327</v>
      </c>
      <c r="G30" s="89" t="s">
        <v>2280</v>
      </c>
      <c r="H30" s="89">
        <v>3</v>
      </c>
      <c r="I30" s="91" t="str">
        <f>IF(COUNTIF(J30:AW30,"&lt;&gt;")=0,"",SUMPRODUCT(((Recommendations[ImplStatus]="Implemented")+(Recommendations[ImplStatus]="Compensated"))*ISNUMBER(MATCH(Recommendations[Id],J30:AW30,0)))/COUNTIF(J30:AW30,"&lt;&gt;"))</f>
        <v/>
      </c>
      <c r="J30" s="93"/>
      <c r="K30" s="93"/>
      <c r="L30" s="93"/>
      <c r="M30" s="93"/>
      <c r="N30" s="93"/>
      <c r="O30" s="93"/>
      <c r="P30" s="93"/>
      <c r="Q30" s="93"/>
      <c r="R30" s="93"/>
      <c r="S30" s="93"/>
      <c r="T30" s="93"/>
      <c r="U30" s="93"/>
      <c r="V30" s="93"/>
      <c r="W30" s="93"/>
      <c r="X30" s="93"/>
      <c r="Y30" s="93"/>
      <c r="Z30" s="93"/>
      <c r="AA30" s="93"/>
      <c r="AB30" s="93"/>
      <c r="AC30" s="93"/>
      <c r="AD30" s="93"/>
      <c r="AE30" s="93"/>
      <c r="AF30" s="93"/>
      <c r="AG30" s="93"/>
      <c r="AH30" s="93"/>
      <c r="AI30" s="93"/>
      <c r="AJ30" s="93"/>
      <c r="AK30" s="93"/>
      <c r="AL30" s="93"/>
      <c r="AM30" s="93"/>
      <c r="AN30" s="93"/>
      <c r="AO30" s="93"/>
      <c r="AP30" s="93"/>
      <c r="AQ30" s="93"/>
      <c r="AR30" s="93"/>
      <c r="AS30" s="93"/>
      <c r="AT30" s="93"/>
      <c r="AU30" s="93"/>
      <c r="AV30" s="93"/>
      <c r="AW30" s="104"/>
    </row>
    <row r="31" spans="1:49" ht="60" customHeight="1" outlineLevel="1" x14ac:dyDescent="0.35">
      <c r="A31" s="100" t="s">
        <v>2381</v>
      </c>
      <c r="B31" s="83">
        <v>4</v>
      </c>
      <c r="C31" s="85" t="s">
        <v>21</v>
      </c>
      <c r="D31" s="87" t="s">
        <v>2382</v>
      </c>
      <c r="E31" s="87" t="s">
        <v>21</v>
      </c>
      <c r="F31" s="83" t="s">
        <v>21</v>
      </c>
      <c r="G31" s="83" t="s">
        <v>21</v>
      </c>
      <c r="H31" s="83"/>
      <c r="I31" s="90" t="str">
        <f>IF(COUNTIF(J31:AW31,"&lt;&gt;")=0,"",SUMPRODUCT(((Recommendations[ImplStatus]="Implemented")+(Recommendations[ImplStatus]="Compensated"))*ISNUMBER(MATCH(Recommendations[Id],J31:AW31,0)))/COUNTIF(J31:AW31,"&lt;&gt;"))</f>
        <v/>
      </c>
      <c r="J31" s="92"/>
      <c r="K31" s="92"/>
      <c r="L31" s="92"/>
      <c r="M31" s="92"/>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92"/>
      <c r="AO31" s="92"/>
      <c r="AP31" s="92"/>
      <c r="AQ31" s="92"/>
      <c r="AR31" s="92"/>
      <c r="AS31" s="92"/>
      <c r="AT31" s="92"/>
      <c r="AU31" s="92"/>
      <c r="AV31" s="92"/>
      <c r="AW31" s="103"/>
    </row>
    <row r="32" spans="1:49" ht="60" customHeight="1" x14ac:dyDescent="0.35">
      <c r="A32" s="101" t="s">
        <v>2381</v>
      </c>
      <c r="B32" s="84" t="s">
        <v>2383</v>
      </c>
      <c r="C32" s="86" t="s">
        <v>2384</v>
      </c>
      <c r="D32" s="88" t="s">
        <v>2385</v>
      </c>
      <c r="E32" s="88" t="s">
        <v>2386</v>
      </c>
      <c r="F32" s="89" t="s">
        <v>2387</v>
      </c>
      <c r="G32" s="89" t="s">
        <v>2328</v>
      </c>
      <c r="H32" s="89">
        <v>1</v>
      </c>
      <c r="I32" s="91" t="str">
        <f>IF(COUNTIF(J32:AW32,"&lt;&gt;")=0,"",SUMPRODUCT(((Recommendations[ImplStatus]="Implemented")+(Recommendations[ImplStatus]="Compensated"))*ISNUMBER(MATCH(Recommendations[Id],J32:AW32,0)))/COUNTIF(J32:AW32,"&lt;&gt;"))</f>
        <v/>
      </c>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104"/>
    </row>
    <row r="33" spans="1:49" ht="60" customHeight="1" x14ac:dyDescent="0.35">
      <c r="A33" s="101" t="s">
        <v>2381</v>
      </c>
      <c r="B33" s="84" t="s">
        <v>2388</v>
      </c>
      <c r="C33" s="86" t="s">
        <v>2389</v>
      </c>
      <c r="D33" s="88" t="s">
        <v>2390</v>
      </c>
      <c r="E33" s="88" t="s">
        <v>2391</v>
      </c>
      <c r="F33" s="89" t="s">
        <v>2387</v>
      </c>
      <c r="G33" s="89" t="s">
        <v>2328</v>
      </c>
      <c r="H33" s="89">
        <v>1</v>
      </c>
      <c r="I33" s="91" t="str">
        <f>IF(COUNTIF(J33:AW33,"&lt;&gt;")=0,"",SUMPRODUCT(((Recommendations[ImplStatus]="Implemented")+(Recommendations[ImplStatus]="Compensated"))*ISNUMBER(MATCH(Recommendations[Id],J33:AW33,0)))/COUNTIF(J33:AW33,"&lt;&gt;"))</f>
        <v/>
      </c>
      <c r="J33" s="93"/>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93"/>
      <c r="AR33" s="93"/>
      <c r="AS33" s="93"/>
      <c r="AT33" s="93"/>
      <c r="AU33" s="93"/>
      <c r="AV33" s="93"/>
      <c r="AW33" s="104"/>
    </row>
    <row r="34" spans="1:49" ht="60" customHeight="1" x14ac:dyDescent="0.35">
      <c r="A34" s="101" t="s">
        <v>2381</v>
      </c>
      <c r="B34" s="84" t="s">
        <v>2392</v>
      </c>
      <c r="C34" s="86" t="s">
        <v>2393</v>
      </c>
      <c r="D34" s="88" t="s">
        <v>2394</v>
      </c>
      <c r="E34" s="88" t="s">
        <v>2395</v>
      </c>
      <c r="F34" s="89" t="s">
        <v>2269</v>
      </c>
      <c r="G34" s="89" t="s">
        <v>2312</v>
      </c>
      <c r="H34" s="89">
        <v>1</v>
      </c>
      <c r="I34" s="91">
        <f>IF(COUNTIF(J34:AW34,"&lt;&gt;")=0,"",SUMPRODUCT(((Recommendations[ImplStatus]="Implemented")+(Recommendations[ImplStatus]="Compensated"))*ISNUMBER(MATCH(Recommendations[Id],J34:AW34,0)))/COUNTIF(J34:AW34,"&lt;&gt;"))</f>
        <v>0</v>
      </c>
      <c r="J34" s="93" t="s">
        <v>25</v>
      </c>
      <c r="K34" s="93" t="s">
        <v>352</v>
      </c>
      <c r="L34" s="93" t="s">
        <v>357</v>
      </c>
      <c r="M34" s="93" t="s">
        <v>889</v>
      </c>
      <c r="N34" s="93" t="s">
        <v>1002</v>
      </c>
      <c r="O34" s="93" t="s">
        <v>1755</v>
      </c>
      <c r="P34" s="93" t="s">
        <v>1760</v>
      </c>
      <c r="Q34" s="93" t="s">
        <v>1765</v>
      </c>
      <c r="R34" s="93"/>
      <c r="S34" s="93"/>
      <c r="T34" s="93"/>
      <c r="U34" s="93"/>
      <c r="V34" s="93"/>
      <c r="W34" s="93"/>
      <c r="X34" s="93"/>
      <c r="Y34" s="93"/>
      <c r="Z34" s="93"/>
      <c r="AA34" s="93"/>
      <c r="AB34" s="93"/>
      <c r="AC34" s="93"/>
      <c r="AD34" s="93"/>
      <c r="AE34" s="93"/>
      <c r="AF34" s="93"/>
      <c r="AG34" s="93"/>
      <c r="AH34" s="93"/>
      <c r="AI34" s="93"/>
      <c r="AJ34" s="93"/>
      <c r="AK34" s="93"/>
      <c r="AL34" s="93"/>
      <c r="AM34" s="93"/>
      <c r="AN34" s="93"/>
      <c r="AO34" s="93"/>
      <c r="AP34" s="93"/>
      <c r="AQ34" s="93"/>
      <c r="AR34" s="93"/>
      <c r="AS34" s="93"/>
      <c r="AT34" s="93"/>
      <c r="AU34" s="93"/>
      <c r="AV34" s="93"/>
      <c r="AW34" s="104"/>
    </row>
    <row r="35" spans="1:49" ht="60" customHeight="1" x14ac:dyDescent="0.35">
      <c r="A35" s="101" t="s">
        <v>2381</v>
      </c>
      <c r="B35" s="84" t="s">
        <v>2396</v>
      </c>
      <c r="C35" s="86" t="s">
        <v>2397</v>
      </c>
      <c r="D35" s="88" t="s">
        <v>2398</v>
      </c>
      <c r="E35" s="88" t="s">
        <v>2399</v>
      </c>
      <c r="F35" s="89" t="s">
        <v>2269</v>
      </c>
      <c r="G35" s="89" t="s">
        <v>2312</v>
      </c>
      <c r="H35" s="89">
        <v>1</v>
      </c>
      <c r="I35" s="91" t="str">
        <f>IF(COUNTIF(J35:AW35,"&lt;&gt;")=0,"",SUMPRODUCT(((Recommendations[ImplStatus]="Implemented")+(Recommendations[ImplStatus]="Compensated"))*ISNUMBER(MATCH(Recommendations[Id],J35:AW35,0)))/COUNTIF(J35:AW35,"&lt;&gt;"))</f>
        <v/>
      </c>
      <c r="J35" s="93"/>
      <c r="K35" s="93"/>
      <c r="L35" s="93"/>
      <c r="M35" s="93"/>
      <c r="N35" s="93"/>
      <c r="O35" s="93"/>
      <c r="P35" s="93"/>
      <c r="Q35" s="93"/>
      <c r="R35" s="93"/>
      <c r="S35" s="93"/>
      <c r="T35" s="93"/>
      <c r="U35" s="93"/>
      <c r="V35" s="93"/>
      <c r="W35" s="93"/>
      <c r="X35" s="93"/>
      <c r="Y35" s="93"/>
      <c r="Z35" s="93"/>
      <c r="AA35" s="93"/>
      <c r="AB35" s="93"/>
      <c r="AC35" s="93"/>
      <c r="AD35" s="93"/>
      <c r="AE35" s="93"/>
      <c r="AF35" s="93"/>
      <c r="AG35" s="93"/>
      <c r="AH35" s="93"/>
      <c r="AI35" s="93"/>
      <c r="AJ35" s="93"/>
      <c r="AK35" s="93"/>
      <c r="AL35" s="93"/>
      <c r="AM35" s="93"/>
      <c r="AN35" s="93"/>
      <c r="AO35" s="93"/>
      <c r="AP35" s="93"/>
      <c r="AQ35" s="93"/>
      <c r="AR35" s="93"/>
      <c r="AS35" s="93"/>
      <c r="AT35" s="93"/>
      <c r="AU35" s="93"/>
      <c r="AV35" s="93"/>
      <c r="AW35" s="104"/>
    </row>
    <row r="36" spans="1:49" ht="60" customHeight="1" x14ac:dyDescent="0.35">
      <c r="A36" s="101" t="s">
        <v>2381</v>
      </c>
      <c r="B36" s="84" t="s">
        <v>2400</v>
      </c>
      <c r="C36" s="86" t="s">
        <v>2401</v>
      </c>
      <c r="D36" s="88" t="s">
        <v>2402</v>
      </c>
      <c r="E36" s="88" t="s">
        <v>2403</v>
      </c>
      <c r="F36" s="89" t="s">
        <v>2269</v>
      </c>
      <c r="G36" s="89" t="s">
        <v>2312</v>
      </c>
      <c r="H36" s="89">
        <v>1</v>
      </c>
      <c r="I36" s="91" t="str">
        <f>IF(COUNTIF(J36:AW36,"&lt;&gt;")=0,"",SUMPRODUCT(((Recommendations[ImplStatus]="Implemented")+(Recommendations[ImplStatus]="Compensated"))*ISNUMBER(MATCH(Recommendations[Id],J36:AW36,0)))/COUNTIF(J36:AW36,"&lt;&gt;"))</f>
        <v/>
      </c>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93"/>
      <c r="AO36" s="93"/>
      <c r="AP36" s="93"/>
      <c r="AQ36" s="93"/>
      <c r="AR36" s="93"/>
      <c r="AS36" s="93"/>
      <c r="AT36" s="93"/>
      <c r="AU36" s="93"/>
      <c r="AV36" s="93"/>
      <c r="AW36" s="104"/>
    </row>
    <row r="37" spans="1:49" ht="60" customHeight="1" x14ac:dyDescent="0.35">
      <c r="A37" s="101" t="s">
        <v>2381</v>
      </c>
      <c r="B37" s="84" t="s">
        <v>2404</v>
      </c>
      <c r="C37" s="86" t="s">
        <v>2405</v>
      </c>
      <c r="D37" s="88" t="s">
        <v>2406</v>
      </c>
      <c r="E37" s="88" t="s">
        <v>2407</v>
      </c>
      <c r="F37" s="89" t="s">
        <v>2269</v>
      </c>
      <c r="G37" s="89" t="s">
        <v>2312</v>
      </c>
      <c r="H37" s="89">
        <v>1</v>
      </c>
      <c r="I37" s="91" t="str">
        <f>IF(COUNTIF(J37:AW37,"&lt;&gt;")=0,"",SUMPRODUCT(((Recommendations[ImplStatus]="Implemented")+(Recommendations[ImplStatus]="Compensated"))*ISNUMBER(MATCH(Recommendations[Id],J37:AW37,0)))/COUNTIF(J37:AW37,"&lt;&gt;"))</f>
        <v/>
      </c>
      <c r="J37" s="93"/>
      <c r="K37" s="93"/>
      <c r="L37" s="93"/>
      <c r="M37" s="93"/>
      <c r="N37" s="93"/>
      <c r="O37" s="93"/>
      <c r="P37" s="93"/>
      <c r="Q37" s="93"/>
      <c r="R37" s="93"/>
      <c r="S37" s="93"/>
      <c r="T37" s="93"/>
      <c r="U37" s="93"/>
      <c r="V37" s="93"/>
      <c r="W37" s="93"/>
      <c r="X37" s="93"/>
      <c r="Y37" s="93"/>
      <c r="Z37" s="93"/>
      <c r="AA37" s="93"/>
      <c r="AB37" s="93"/>
      <c r="AC37" s="93"/>
      <c r="AD37" s="93"/>
      <c r="AE37" s="93"/>
      <c r="AF37" s="93"/>
      <c r="AG37" s="93"/>
      <c r="AH37" s="93"/>
      <c r="AI37" s="93"/>
      <c r="AJ37" s="93"/>
      <c r="AK37" s="93"/>
      <c r="AL37" s="93"/>
      <c r="AM37" s="93"/>
      <c r="AN37" s="93"/>
      <c r="AO37" s="93"/>
      <c r="AP37" s="93"/>
      <c r="AQ37" s="93"/>
      <c r="AR37" s="93"/>
      <c r="AS37" s="93"/>
      <c r="AT37" s="93"/>
      <c r="AU37" s="93"/>
      <c r="AV37" s="93"/>
      <c r="AW37" s="104"/>
    </row>
    <row r="38" spans="1:49" ht="60" customHeight="1" x14ac:dyDescent="0.35">
      <c r="A38" s="101" t="s">
        <v>2381</v>
      </c>
      <c r="B38" s="84" t="s">
        <v>2408</v>
      </c>
      <c r="C38" s="86" t="s">
        <v>2409</v>
      </c>
      <c r="D38" s="88" t="s">
        <v>2410</v>
      </c>
      <c r="E38" s="88" t="s">
        <v>2411</v>
      </c>
      <c r="F38" s="89" t="s">
        <v>2412</v>
      </c>
      <c r="G38" s="89" t="s">
        <v>2312</v>
      </c>
      <c r="H38" s="89">
        <v>1</v>
      </c>
      <c r="I38" s="91">
        <f>IF(COUNTIF(J38:AW38,"&lt;&gt;")=0,"",SUMPRODUCT(((Recommendations[ImplStatus]="Implemented")+(Recommendations[ImplStatus]="Compensated"))*ISNUMBER(MATCH(Recommendations[Id],J38:AW38,0)))/COUNTIF(J38:AW38,"&lt;&gt;"))</f>
        <v>0</v>
      </c>
      <c r="J38" s="93" t="s">
        <v>835</v>
      </c>
      <c r="K38" s="93"/>
      <c r="L38" s="93"/>
      <c r="M38" s="93"/>
      <c r="N38" s="93"/>
      <c r="O38" s="93"/>
      <c r="P38" s="93"/>
      <c r="Q38" s="93"/>
      <c r="R38" s="93"/>
      <c r="S38" s="93"/>
      <c r="T38" s="93"/>
      <c r="U38" s="93"/>
      <c r="V38" s="93"/>
      <c r="W38" s="93"/>
      <c r="X38" s="93"/>
      <c r="Y38" s="93"/>
      <c r="Z38" s="93"/>
      <c r="AA38" s="93"/>
      <c r="AB38" s="93"/>
      <c r="AC38" s="93"/>
      <c r="AD38" s="93"/>
      <c r="AE38" s="93"/>
      <c r="AF38" s="93"/>
      <c r="AG38" s="93"/>
      <c r="AH38" s="93"/>
      <c r="AI38" s="93"/>
      <c r="AJ38" s="93"/>
      <c r="AK38" s="93"/>
      <c r="AL38" s="93"/>
      <c r="AM38" s="93"/>
      <c r="AN38" s="93"/>
      <c r="AO38" s="93"/>
      <c r="AP38" s="93"/>
      <c r="AQ38" s="93"/>
      <c r="AR38" s="93"/>
      <c r="AS38" s="93"/>
      <c r="AT38" s="93"/>
      <c r="AU38" s="93"/>
      <c r="AV38" s="93"/>
      <c r="AW38" s="104"/>
    </row>
    <row r="39" spans="1:49" ht="60" customHeight="1" x14ac:dyDescent="0.35">
      <c r="A39" s="101" t="s">
        <v>2381</v>
      </c>
      <c r="B39" s="84" t="s">
        <v>2413</v>
      </c>
      <c r="C39" s="86" t="s">
        <v>2414</v>
      </c>
      <c r="D39" s="88" t="s">
        <v>2415</v>
      </c>
      <c r="E39" s="88" t="s">
        <v>2416</v>
      </c>
      <c r="F39" s="89" t="s">
        <v>2269</v>
      </c>
      <c r="G39" s="89" t="s">
        <v>2312</v>
      </c>
      <c r="H39" s="89">
        <v>2</v>
      </c>
      <c r="I39" s="91">
        <f>IF(COUNTIF(J39:AW39,"&lt;&gt;")=0,"",SUMPRODUCT(((Recommendations[ImplStatus]="Implemented")+(Recommendations[ImplStatus]="Compensated"))*ISNUMBER(MATCH(Recommendations[Id],J39:AW39,0)))/COUNTIF(J39:AW39,"&lt;&gt;"))</f>
        <v>0</v>
      </c>
      <c r="J39" s="93" t="s">
        <v>137</v>
      </c>
      <c r="K39" s="93" t="s">
        <v>215</v>
      </c>
      <c r="L39" s="93" t="s">
        <v>626</v>
      </c>
      <c r="M39" s="93" t="s">
        <v>631</v>
      </c>
      <c r="N39" s="93" t="s">
        <v>635</v>
      </c>
      <c r="O39" s="93" t="s">
        <v>640</v>
      </c>
      <c r="P39" s="93" t="s">
        <v>645</v>
      </c>
      <c r="Q39" s="93" t="s">
        <v>650</v>
      </c>
      <c r="R39" s="93" t="s">
        <v>675</v>
      </c>
      <c r="S39" s="93" t="s">
        <v>680</v>
      </c>
      <c r="T39" s="93" t="s">
        <v>1502</v>
      </c>
      <c r="U39" s="93" t="s">
        <v>1507</v>
      </c>
      <c r="V39" s="93" t="s">
        <v>1512</v>
      </c>
      <c r="W39" s="93" t="s">
        <v>1517</v>
      </c>
      <c r="X39" s="93" t="s">
        <v>1522</v>
      </c>
      <c r="Y39" s="93" t="s">
        <v>1541</v>
      </c>
      <c r="Z39" s="93" t="s">
        <v>1729</v>
      </c>
      <c r="AA39" s="93" t="s">
        <v>1734</v>
      </c>
      <c r="AB39" s="93" t="s">
        <v>1738</v>
      </c>
      <c r="AC39" s="93" t="s">
        <v>1742</v>
      </c>
      <c r="AD39" s="93" t="s">
        <v>1747</v>
      </c>
      <c r="AE39" s="93" t="s">
        <v>1751</v>
      </c>
      <c r="AF39" s="93" t="s">
        <v>1865</v>
      </c>
      <c r="AG39" s="93" t="s">
        <v>1870</v>
      </c>
      <c r="AH39" s="93" t="s">
        <v>1874</v>
      </c>
      <c r="AI39" s="93"/>
      <c r="AJ39" s="93"/>
      <c r="AK39" s="93"/>
      <c r="AL39" s="93"/>
      <c r="AM39" s="93"/>
      <c r="AN39" s="93"/>
      <c r="AO39" s="93"/>
      <c r="AP39" s="93"/>
      <c r="AQ39" s="93"/>
      <c r="AR39" s="93"/>
      <c r="AS39" s="93"/>
      <c r="AT39" s="93"/>
      <c r="AU39" s="93"/>
      <c r="AV39" s="93"/>
      <c r="AW39" s="104"/>
    </row>
    <row r="40" spans="1:49" ht="60" customHeight="1" x14ac:dyDescent="0.35">
      <c r="A40" s="101" t="s">
        <v>2381</v>
      </c>
      <c r="B40" s="84" t="s">
        <v>2417</v>
      </c>
      <c r="C40" s="86" t="s">
        <v>2418</v>
      </c>
      <c r="D40" s="88" t="s">
        <v>2419</v>
      </c>
      <c r="E40" s="88" t="s">
        <v>2420</v>
      </c>
      <c r="F40" s="89" t="s">
        <v>2269</v>
      </c>
      <c r="G40" s="89" t="s">
        <v>2312</v>
      </c>
      <c r="H40" s="89">
        <v>2</v>
      </c>
      <c r="I40" s="91" t="str">
        <f>IF(COUNTIF(J40:AW40,"&lt;&gt;")=0,"",SUMPRODUCT(((Recommendations[ImplStatus]="Implemented")+(Recommendations[ImplStatus]="Compensated"))*ISNUMBER(MATCH(Recommendations[Id],J40:AW40,0)))/COUNTIF(J40:AW40,"&lt;&gt;"))</f>
        <v/>
      </c>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c r="AO40" s="93"/>
      <c r="AP40" s="93"/>
      <c r="AQ40" s="93"/>
      <c r="AR40" s="93"/>
      <c r="AS40" s="93"/>
      <c r="AT40" s="93"/>
      <c r="AU40" s="93"/>
      <c r="AV40" s="93"/>
      <c r="AW40" s="104"/>
    </row>
    <row r="41" spans="1:49" ht="60" customHeight="1" x14ac:dyDescent="0.35">
      <c r="A41" s="101" t="s">
        <v>2381</v>
      </c>
      <c r="B41" s="84" t="s">
        <v>2421</v>
      </c>
      <c r="C41" s="86" t="s">
        <v>2422</v>
      </c>
      <c r="D41" s="88" t="s">
        <v>2423</v>
      </c>
      <c r="E41" s="88" t="s">
        <v>2424</v>
      </c>
      <c r="F41" s="89" t="s">
        <v>2269</v>
      </c>
      <c r="G41" s="89" t="s">
        <v>2312</v>
      </c>
      <c r="H41" s="89">
        <v>2</v>
      </c>
      <c r="I41" s="91">
        <f>IF(COUNTIF(J41:AW41,"&lt;&gt;")=0,"",SUMPRODUCT(((Recommendations[ImplStatus]="Implemented")+(Recommendations[ImplStatus]="Compensated"))*ISNUMBER(MATCH(Recommendations[Id],J41:AW41,0)))/COUNTIF(J41:AW41,"&lt;&gt;"))</f>
        <v>0</v>
      </c>
      <c r="J41" s="93" t="s">
        <v>337</v>
      </c>
      <c r="K41" s="93" t="s">
        <v>1024</v>
      </c>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104"/>
    </row>
    <row r="42" spans="1:49" ht="60" customHeight="1" x14ac:dyDescent="0.35">
      <c r="A42" s="101" t="s">
        <v>2381</v>
      </c>
      <c r="B42" s="84" t="s">
        <v>2425</v>
      </c>
      <c r="C42" s="86" t="s">
        <v>2426</v>
      </c>
      <c r="D42" s="88" t="s">
        <v>2427</v>
      </c>
      <c r="E42" s="88" t="s">
        <v>2428</v>
      </c>
      <c r="F42" s="89" t="s">
        <v>2327</v>
      </c>
      <c r="G42" s="89" t="s">
        <v>2312</v>
      </c>
      <c r="H42" s="89">
        <v>2</v>
      </c>
      <c r="I42" s="91" t="str">
        <f>IF(COUNTIF(J42:AW42,"&lt;&gt;")=0,"",SUMPRODUCT(((Recommendations[ImplStatus]="Implemented")+(Recommendations[ImplStatus]="Compensated"))*ISNUMBER(MATCH(Recommendations[Id],J42:AW42,0)))/COUNTIF(J42:AW42,"&lt;&gt;"))</f>
        <v/>
      </c>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93"/>
      <c r="AN42" s="93"/>
      <c r="AO42" s="93"/>
      <c r="AP42" s="93"/>
      <c r="AQ42" s="93"/>
      <c r="AR42" s="93"/>
      <c r="AS42" s="93"/>
      <c r="AT42" s="93"/>
      <c r="AU42" s="93"/>
      <c r="AV42" s="93"/>
      <c r="AW42" s="104"/>
    </row>
    <row r="43" spans="1:49" ht="60" customHeight="1" x14ac:dyDescent="0.35">
      <c r="A43" s="101" t="s">
        <v>2381</v>
      </c>
      <c r="B43" s="84" t="s">
        <v>2429</v>
      </c>
      <c r="C43" s="86" t="s">
        <v>2430</v>
      </c>
      <c r="D43" s="88" t="s">
        <v>2431</v>
      </c>
      <c r="E43" s="88" t="s">
        <v>2432</v>
      </c>
      <c r="F43" s="89" t="s">
        <v>2327</v>
      </c>
      <c r="G43" s="89" t="s">
        <v>2312</v>
      </c>
      <c r="H43" s="89">
        <v>3</v>
      </c>
      <c r="I43" s="91" t="str">
        <f>IF(COUNTIF(J43:AW43,"&lt;&gt;")=0,"",SUMPRODUCT(((Recommendations[ImplStatus]="Implemented")+(Recommendations[ImplStatus]="Compensated"))*ISNUMBER(MATCH(Recommendations[Id],J43:AW43,0)))/COUNTIF(J43:AW43,"&lt;&gt;"))</f>
        <v/>
      </c>
      <c r="J43" s="93"/>
      <c r="K43" s="93"/>
      <c r="L43" s="93"/>
      <c r="M43" s="93"/>
      <c r="N43" s="93"/>
      <c r="O43" s="93"/>
      <c r="P43" s="93"/>
      <c r="Q43" s="93"/>
      <c r="R43" s="93"/>
      <c r="S43" s="93"/>
      <c r="T43" s="93"/>
      <c r="U43" s="93"/>
      <c r="V43" s="93"/>
      <c r="W43" s="93"/>
      <c r="X43" s="93"/>
      <c r="Y43" s="93"/>
      <c r="Z43" s="93"/>
      <c r="AA43" s="93"/>
      <c r="AB43" s="93"/>
      <c r="AC43" s="93"/>
      <c r="AD43" s="93"/>
      <c r="AE43" s="93"/>
      <c r="AF43" s="93"/>
      <c r="AG43" s="93"/>
      <c r="AH43" s="93"/>
      <c r="AI43" s="93"/>
      <c r="AJ43" s="93"/>
      <c r="AK43" s="93"/>
      <c r="AL43" s="93"/>
      <c r="AM43" s="93"/>
      <c r="AN43" s="93"/>
      <c r="AO43" s="93"/>
      <c r="AP43" s="93"/>
      <c r="AQ43" s="93"/>
      <c r="AR43" s="93"/>
      <c r="AS43" s="93"/>
      <c r="AT43" s="93"/>
      <c r="AU43" s="93"/>
      <c r="AV43" s="93"/>
      <c r="AW43" s="104"/>
    </row>
    <row r="44" spans="1:49" ht="60" customHeight="1" outlineLevel="1" x14ac:dyDescent="0.35">
      <c r="A44" s="100" t="s">
        <v>2433</v>
      </c>
      <c r="B44" s="83">
        <v>5</v>
      </c>
      <c r="C44" s="85" t="s">
        <v>21</v>
      </c>
      <c r="D44" s="87" t="s">
        <v>2434</v>
      </c>
      <c r="E44" s="87" t="s">
        <v>21</v>
      </c>
      <c r="F44" s="83" t="s">
        <v>21</v>
      </c>
      <c r="G44" s="83" t="s">
        <v>21</v>
      </c>
      <c r="H44" s="83"/>
      <c r="I44" s="90" t="str">
        <f>IF(COUNTIF(J44:AW44,"&lt;&gt;")=0,"",SUMPRODUCT(((Recommendations[ImplStatus]="Implemented")+(Recommendations[ImplStatus]="Compensated"))*ISNUMBER(MATCH(Recommendations[Id],J44:AW44,0)))/COUNTIF(J44:AW44,"&lt;&gt;"))</f>
        <v/>
      </c>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c r="AQ44" s="92"/>
      <c r="AR44" s="92"/>
      <c r="AS44" s="92"/>
      <c r="AT44" s="92"/>
      <c r="AU44" s="92"/>
      <c r="AV44" s="92"/>
      <c r="AW44" s="103"/>
    </row>
    <row r="45" spans="1:49" ht="60" customHeight="1" x14ac:dyDescent="0.35">
      <c r="A45" s="101" t="s">
        <v>2433</v>
      </c>
      <c r="B45" s="84" t="s">
        <v>2435</v>
      </c>
      <c r="C45" s="86" t="s">
        <v>2436</v>
      </c>
      <c r="D45" s="88" t="s">
        <v>2437</v>
      </c>
      <c r="E45" s="88" t="s">
        <v>2438</v>
      </c>
      <c r="F45" s="89" t="s">
        <v>2412</v>
      </c>
      <c r="G45" s="89" t="s">
        <v>2270</v>
      </c>
      <c r="H45" s="89">
        <v>1</v>
      </c>
      <c r="I45" s="91" t="str">
        <f>IF(COUNTIF(J45:AW45,"&lt;&gt;")=0,"",SUMPRODUCT(((Recommendations[ImplStatus]="Implemented")+(Recommendations[ImplStatus]="Compensated"))*ISNUMBER(MATCH(Recommendations[Id],J45:AW45,0)))/COUNTIF(J45:AW45,"&lt;&gt;"))</f>
        <v/>
      </c>
      <c r="J45" s="93"/>
      <c r="K45" s="93"/>
      <c r="L45" s="93"/>
      <c r="M45" s="93"/>
      <c r="N45" s="93"/>
      <c r="O45" s="93"/>
      <c r="P45" s="93"/>
      <c r="Q45" s="93"/>
      <c r="R45" s="93"/>
      <c r="S45" s="93"/>
      <c r="T45" s="93"/>
      <c r="U45" s="93"/>
      <c r="V45" s="93"/>
      <c r="W45" s="93"/>
      <c r="X45" s="93"/>
      <c r="Y45" s="93"/>
      <c r="Z45" s="93"/>
      <c r="AA45" s="93"/>
      <c r="AB45" s="93"/>
      <c r="AC45" s="93"/>
      <c r="AD45" s="93"/>
      <c r="AE45" s="93"/>
      <c r="AF45" s="93"/>
      <c r="AG45" s="93"/>
      <c r="AH45" s="93"/>
      <c r="AI45" s="93"/>
      <c r="AJ45" s="93"/>
      <c r="AK45" s="93"/>
      <c r="AL45" s="93"/>
      <c r="AM45" s="93"/>
      <c r="AN45" s="93"/>
      <c r="AO45" s="93"/>
      <c r="AP45" s="93"/>
      <c r="AQ45" s="93"/>
      <c r="AR45" s="93"/>
      <c r="AS45" s="93"/>
      <c r="AT45" s="93"/>
      <c r="AU45" s="93"/>
      <c r="AV45" s="93"/>
      <c r="AW45" s="104"/>
    </row>
    <row r="46" spans="1:49" ht="60" customHeight="1" x14ac:dyDescent="0.35">
      <c r="A46" s="101" t="s">
        <v>2433</v>
      </c>
      <c r="B46" s="84" t="s">
        <v>2439</v>
      </c>
      <c r="C46" s="86" t="s">
        <v>2440</v>
      </c>
      <c r="D46" s="88" t="s">
        <v>2441</v>
      </c>
      <c r="E46" s="88" t="s">
        <v>2442</v>
      </c>
      <c r="F46" s="89" t="s">
        <v>2412</v>
      </c>
      <c r="G46" s="89" t="s">
        <v>2312</v>
      </c>
      <c r="H46" s="89">
        <v>1</v>
      </c>
      <c r="I46" s="91">
        <f>IF(COUNTIF(J46:AW46,"&lt;&gt;")=0,"",SUMPRODUCT(((Recommendations[ImplStatus]="Implemented")+(Recommendations[ImplStatus]="Compensated"))*ISNUMBER(MATCH(Recommendations[Id],J46:AW46,0)))/COUNTIF(J46:AW46,"&lt;&gt;"))</f>
        <v>0</v>
      </c>
      <c r="J46" s="93" t="s">
        <v>592</v>
      </c>
      <c r="K46" s="93"/>
      <c r="L46" s="93"/>
      <c r="M46" s="93"/>
      <c r="N46" s="93"/>
      <c r="O46" s="93"/>
      <c r="P46" s="93"/>
      <c r="Q46" s="93"/>
      <c r="R46" s="93"/>
      <c r="S46" s="93"/>
      <c r="T46" s="93"/>
      <c r="U46" s="93"/>
      <c r="V46" s="93"/>
      <c r="W46" s="93"/>
      <c r="X46" s="93"/>
      <c r="Y46" s="93"/>
      <c r="Z46" s="93"/>
      <c r="AA46" s="93"/>
      <c r="AB46" s="93"/>
      <c r="AC46" s="93"/>
      <c r="AD46" s="93"/>
      <c r="AE46" s="93"/>
      <c r="AF46" s="93"/>
      <c r="AG46" s="93"/>
      <c r="AH46" s="93"/>
      <c r="AI46" s="93"/>
      <c r="AJ46" s="93"/>
      <c r="AK46" s="93"/>
      <c r="AL46" s="93"/>
      <c r="AM46" s="93"/>
      <c r="AN46" s="93"/>
      <c r="AO46" s="93"/>
      <c r="AP46" s="93"/>
      <c r="AQ46" s="93"/>
      <c r="AR46" s="93"/>
      <c r="AS46" s="93"/>
      <c r="AT46" s="93"/>
      <c r="AU46" s="93"/>
      <c r="AV46" s="93"/>
      <c r="AW46" s="104"/>
    </row>
    <row r="47" spans="1:49" ht="60" customHeight="1" x14ac:dyDescent="0.35">
      <c r="A47" s="101" t="s">
        <v>2433</v>
      </c>
      <c r="B47" s="84" t="s">
        <v>2443</v>
      </c>
      <c r="C47" s="86" t="s">
        <v>2444</v>
      </c>
      <c r="D47" s="88" t="s">
        <v>2445</v>
      </c>
      <c r="E47" s="88" t="s">
        <v>2446</v>
      </c>
      <c r="F47" s="89" t="s">
        <v>2412</v>
      </c>
      <c r="G47" s="89" t="s">
        <v>2312</v>
      </c>
      <c r="H47" s="89">
        <v>1</v>
      </c>
      <c r="I47" s="91">
        <f>IF(COUNTIF(J47:AW47,"&lt;&gt;")=0,"",SUMPRODUCT(((Recommendations[ImplStatus]="Implemented")+(Recommendations[ImplStatus]="Compensated"))*ISNUMBER(MATCH(Recommendations[Id],J47:AW47,0)))/COUNTIF(J47:AW47,"&lt;&gt;"))</f>
        <v>0</v>
      </c>
      <c r="J47" s="93" t="s">
        <v>317</v>
      </c>
      <c r="K47" s="93" t="s">
        <v>323</v>
      </c>
      <c r="L47" s="93" t="s">
        <v>850</v>
      </c>
      <c r="M47" s="93" t="s">
        <v>868</v>
      </c>
      <c r="N47" s="93"/>
      <c r="O47" s="93"/>
      <c r="P47" s="93"/>
      <c r="Q47" s="93"/>
      <c r="R47" s="93"/>
      <c r="S47" s="93"/>
      <c r="T47" s="93"/>
      <c r="U47" s="93"/>
      <c r="V47" s="93"/>
      <c r="W47" s="93"/>
      <c r="X47" s="93"/>
      <c r="Y47" s="93"/>
      <c r="Z47" s="93"/>
      <c r="AA47" s="93"/>
      <c r="AB47" s="93"/>
      <c r="AC47" s="93"/>
      <c r="AD47" s="93"/>
      <c r="AE47" s="93"/>
      <c r="AF47" s="93"/>
      <c r="AG47" s="93"/>
      <c r="AH47" s="93"/>
      <c r="AI47" s="93"/>
      <c r="AJ47" s="93"/>
      <c r="AK47" s="93"/>
      <c r="AL47" s="93"/>
      <c r="AM47" s="93"/>
      <c r="AN47" s="93"/>
      <c r="AO47" s="93"/>
      <c r="AP47" s="93"/>
      <c r="AQ47" s="93"/>
      <c r="AR47" s="93"/>
      <c r="AS47" s="93"/>
      <c r="AT47" s="93"/>
      <c r="AU47" s="93"/>
      <c r="AV47" s="93"/>
      <c r="AW47" s="104"/>
    </row>
    <row r="48" spans="1:49" ht="60" customHeight="1" x14ac:dyDescent="0.35">
      <c r="A48" s="101" t="s">
        <v>2433</v>
      </c>
      <c r="B48" s="84" t="s">
        <v>2447</v>
      </c>
      <c r="C48" s="86" t="s">
        <v>2448</v>
      </c>
      <c r="D48" s="88" t="s">
        <v>2449</v>
      </c>
      <c r="E48" s="88" t="s">
        <v>2450</v>
      </c>
      <c r="F48" s="89" t="s">
        <v>2412</v>
      </c>
      <c r="G48" s="89" t="s">
        <v>2312</v>
      </c>
      <c r="H48" s="89">
        <v>1</v>
      </c>
      <c r="I48" s="91">
        <f>IF(COUNTIF(J48:AW48,"&lt;&gt;")=0,"",SUMPRODUCT(((Recommendations[ImplStatus]="Implemented")+(Recommendations[ImplStatus]="Compensated"))*ISNUMBER(MATCH(Recommendations[Id],J48:AW48,0)))/COUNTIF(J48:AW48,"&lt;&gt;"))</f>
        <v>0</v>
      </c>
      <c r="J48" s="93" t="s">
        <v>1600</v>
      </c>
      <c r="K48" s="93" t="s">
        <v>1605</v>
      </c>
      <c r="L48" s="93" t="s">
        <v>1618</v>
      </c>
      <c r="M48" s="93" t="s">
        <v>1623</v>
      </c>
      <c r="N48" s="93" t="s">
        <v>1626</v>
      </c>
      <c r="O48" s="93" t="s">
        <v>1629</v>
      </c>
      <c r="P48" s="93" t="s">
        <v>1634</v>
      </c>
      <c r="Q48" s="93" t="s">
        <v>1637</v>
      </c>
      <c r="R48" s="93"/>
      <c r="S48" s="93"/>
      <c r="T48" s="93"/>
      <c r="U48" s="93"/>
      <c r="V48" s="93"/>
      <c r="W48" s="93"/>
      <c r="X48" s="93"/>
      <c r="Y48" s="93"/>
      <c r="Z48" s="93"/>
      <c r="AA48" s="93"/>
      <c r="AB48" s="93"/>
      <c r="AC48" s="93"/>
      <c r="AD48" s="93"/>
      <c r="AE48" s="93"/>
      <c r="AF48" s="93"/>
      <c r="AG48" s="93"/>
      <c r="AH48" s="93"/>
      <c r="AI48" s="93"/>
      <c r="AJ48" s="93"/>
      <c r="AK48" s="93"/>
      <c r="AL48" s="93"/>
      <c r="AM48" s="93"/>
      <c r="AN48" s="93"/>
      <c r="AO48" s="93"/>
      <c r="AP48" s="93"/>
      <c r="AQ48" s="93"/>
      <c r="AR48" s="93"/>
      <c r="AS48" s="93"/>
      <c r="AT48" s="93"/>
      <c r="AU48" s="93"/>
      <c r="AV48" s="93"/>
      <c r="AW48" s="104"/>
    </row>
    <row r="49" spans="1:49" ht="60" customHeight="1" x14ac:dyDescent="0.35">
      <c r="A49" s="101" t="s">
        <v>2433</v>
      </c>
      <c r="B49" s="84" t="s">
        <v>2451</v>
      </c>
      <c r="C49" s="86" t="s">
        <v>2452</v>
      </c>
      <c r="D49" s="88" t="s">
        <v>2453</v>
      </c>
      <c r="E49" s="88" t="s">
        <v>2454</v>
      </c>
      <c r="F49" s="89" t="s">
        <v>2412</v>
      </c>
      <c r="G49" s="89" t="s">
        <v>2270</v>
      </c>
      <c r="H49" s="89">
        <v>2</v>
      </c>
      <c r="I49" s="91" t="str">
        <f>IF(COUNTIF(J49:AW49,"&lt;&gt;")=0,"",SUMPRODUCT(((Recommendations[ImplStatus]="Implemented")+(Recommendations[ImplStatus]="Compensated"))*ISNUMBER(MATCH(Recommendations[Id],J49:AW49,0)))/COUNTIF(J49:AW49,"&lt;&gt;"))</f>
        <v/>
      </c>
      <c r="J49" s="93"/>
      <c r="K49" s="93"/>
      <c r="L49" s="93"/>
      <c r="M49" s="93"/>
      <c r="N49" s="93"/>
      <c r="O49" s="93"/>
      <c r="P49" s="93"/>
      <c r="Q49" s="93"/>
      <c r="R49" s="93"/>
      <c r="S49" s="93"/>
      <c r="T49" s="93"/>
      <c r="U49" s="93"/>
      <c r="V49" s="93"/>
      <c r="W49" s="93"/>
      <c r="X49" s="93"/>
      <c r="Y49" s="93"/>
      <c r="Z49" s="93"/>
      <c r="AA49" s="93"/>
      <c r="AB49" s="93"/>
      <c r="AC49" s="93"/>
      <c r="AD49" s="93"/>
      <c r="AE49" s="93"/>
      <c r="AF49" s="93"/>
      <c r="AG49" s="93"/>
      <c r="AH49" s="93"/>
      <c r="AI49" s="93"/>
      <c r="AJ49" s="93"/>
      <c r="AK49" s="93"/>
      <c r="AL49" s="93"/>
      <c r="AM49" s="93"/>
      <c r="AN49" s="93"/>
      <c r="AO49" s="93"/>
      <c r="AP49" s="93"/>
      <c r="AQ49" s="93"/>
      <c r="AR49" s="93"/>
      <c r="AS49" s="93"/>
      <c r="AT49" s="93"/>
      <c r="AU49" s="93"/>
      <c r="AV49" s="93"/>
      <c r="AW49" s="104"/>
    </row>
    <row r="50" spans="1:49" ht="60" customHeight="1" x14ac:dyDescent="0.35">
      <c r="A50" s="101" t="s">
        <v>2433</v>
      </c>
      <c r="B50" s="84" t="s">
        <v>2455</v>
      </c>
      <c r="C50" s="86" t="s">
        <v>2456</v>
      </c>
      <c r="D50" s="88" t="s">
        <v>2457</v>
      </c>
      <c r="E50" s="88" t="s">
        <v>2458</v>
      </c>
      <c r="F50" s="89" t="s">
        <v>2412</v>
      </c>
      <c r="G50" s="89" t="s">
        <v>2328</v>
      </c>
      <c r="H50" s="89">
        <v>2</v>
      </c>
      <c r="I50" s="91">
        <f>IF(COUNTIF(J50:AW50,"&lt;&gt;")=0,"",SUMPRODUCT(((Recommendations[ImplStatus]="Implemented")+(Recommendations[ImplStatus]="Compensated"))*ISNUMBER(MATCH(Recommendations[Id],J50:AW50,0)))/COUNTIF(J50:AW50,"&lt;&gt;"))</f>
        <v>0</v>
      </c>
      <c r="J50" s="93" t="s">
        <v>14</v>
      </c>
      <c r="K50" s="93" t="s">
        <v>855</v>
      </c>
      <c r="L50" s="93" t="s">
        <v>860</v>
      </c>
      <c r="M50" s="93" t="s">
        <v>865</v>
      </c>
      <c r="N50" s="93" t="s">
        <v>1490</v>
      </c>
      <c r="O50" s="93" t="s">
        <v>1495</v>
      </c>
      <c r="P50" s="93" t="s">
        <v>1499</v>
      </c>
      <c r="Q50" s="93" t="s">
        <v>1769</v>
      </c>
      <c r="R50" s="93"/>
      <c r="S50" s="93"/>
      <c r="T50" s="93"/>
      <c r="U50" s="93"/>
      <c r="V50" s="93"/>
      <c r="W50" s="93"/>
      <c r="X50" s="93"/>
      <c r="Y50" s="93"/>
      <c r="Z50" s="93"/>
      <c r="AA50" s="93"/>
      <c r="AB50" s="93"/>
      <c r="AC50" s="93"/>
      <c r="AD50" s="93"/>
      <c r="AE50" s="93"/>
      <c r="AF50" s="93"/>
      <c r="AG50" s="93"/>
      <c r="AH50" s="93"/>
      <c r="AI50" s="93"/>
      <c r="AJ50" s="93"/>
      <c r="AK50" s="93"/>
      <c r="AL50" s="93"/>
      <c r="AM50" s="93"/>
      <c r="AN50" s="93"/>
      <c r="AO50" s="93"/>
      <c r="AP50" s="93"/>
      <c r="AQ50" s="93"/>
      <c r="AR50" s="93"/>
      <c r="AS50" s="93"/>
      <c r="AT50" s="93"/>
      <c r="AU50" s="93"/>
      <c r="AV50" s="93"/>
      <c r="AW50" s="104"/>
    </row>
    <row r="51" spans="1:49" ht="60" customHeight="1" outlineLevel="1" x14ac:dyDescent="0.35">
      <c r="A51" s="100" t="s">
        <v>2459</v>
      </c>
      <c r="B51" s="83">
        <v>6</v>
      </c>
      <c r="C51" s="85" t="s">
        <v>21</v>
      </c>
      <c r="D51" s="87" t="s">
        <v>2460</v>
      </c>
      <c r="E51" s="87" t="s">
        <v>21</v>
      </c>
      <c r="F51" s="83" t="s">
        <v>21</v>
      </c>
      <c r="G51" s="83" t="s">
        <v>21</v>
      </c>
      <c r="H51" s="83"/>
      <c r="I51" s="90" t="str">
        <f>IF(COUNTIF(J51:AW51,"&lt;&gt;")=0,"",SUMPRODUCT(((Recommendations[ImplStatus]="Implemented")+(Recommendations[ImplStatus]="Compensated"))*ISNUMBER(MATCH(Recommendations[Id],J51:AW51,0)))/COUNTIF(J51:AW51,"&lt;&gt;"))</f>
        <v/>
      </c>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c r="AQ51" s="92"/>
      <c r="AR51" s="92"/>
      <c r="AS51" s="92"/>
      <c r="AT51" s="92"/>
      <c r="AU51" s="92"/>
      <c r="AV51" s="92"/>
      <c r="AW51" s="103"/>
    </row>
    <row r="52" spans="1:49" ht="60" customHeight="1" x14ac:dyDescent="0.35">
      <c r="A52" s="101" t="s">
        <v>2459</v>
      </c>
      <c r="B52" s="84" t="s">
        <v>2461</v>
      </c>
      <c r="C52" s="86" t="s">
        <v>2462</v>
      </c>
      <c r="D52" s="88" t="s">
        <v>2463</v>
      </c>
      <c r="E52" s="88" t="s">
        <v>2464</v>
      </c>
      <c r="F52" s="89" t="s">
        <v>2387</v>
      </c>
      <c r="G52" s="89" t="s">
        <v>2328</v>
      </c>
      <c r="H52" s="89">
        <v>1</v>
      </c>
      <c r="I52" s="91" t="str">
        <f>IF(COUNTIF(J52:AW52,"&lt;&gt;")=0,"",SUMPRODUCT(((Recommendations[ImplStatus]="Implemented")+(Recommendations[ImplStatus]="Compensated"))*ISNUMBER(MATCH(Recommendations[Id],J52:AW52,0)))/COUNTIF(J52:AW52,"&lt;&gt;"))</f>
        <v/>
      </c>
      <c r="J52" s="93"/>
      <c r="K52" s="93"/>
      <c r="L52" s="93"/>
      <c r="M52" s="93"/>
      <c r="N52" s="93"/>
      <c r="O52" s="93"/>
      <c r="P52" s="93"/>
      <c r="Q52" s="93"/>
      <c r="R52" s="93"/>
      <c r="S52" s="93"/>
      <c r="T52" s="93"/>
      <c r="U52" s="93"/>
      <c r="V52" s="93"/>
      <c r="W52" s="93"/>
      <c r="X52" s="93"/>
      <c r="Y52" s="93"/>
      <c r="Z52" s="93"/>
      <c r="AA52" s="93"/>
      <c r="AB52" s="93"/>
      <c r="AC52" s="93"/>
      <c r="AD52" s="93"/>
      <c r="AE52" s="93"/>
      <c r="AF52" s="93"/>
      <c r="AG52" s="93"/>
      <c r="AH52" s="93"/>
      <c r="AI52" s="93"/>
      <c r="AJ52" s="93"/>
      <c r="AK52" s="93"/>
      <c r="AL52" s="93"/>
      <c r="AM52" s="93"/>
      <c r="AN52" s="93"/>
      <c r="AO52" s="93"/>
      <c r="AP52" s="93"/>
      <c r="AQ52" s="93"/>
      <c r="AR52" s="93"/>
      <c r="AS52" s="93"/>
      <c r="AT52" s="93"/>
      <c r="AU52" s="93"/>
      <c r="AV52" s="93"/>
      <c r="AW52" s="104"/>
    </row>
    <row r="53" spans="1:49" ht="60" customHeight="1" x14ac:dyDescent="0.35">
      <c r="A53" s="101" t="s">
        <v>2459</v>
      </c>
      <c r="B53" s="84" t="s">
        <v>2465</v>
      </c>
      <c r="C53" s="86" t="s">
        <v>2466</v>
      </c>
      <c r="D53" s="88" t="s">
        <v>2467</v>
      </c>
      <c r="E53" s="88" t="s">
        <v>2468</v>
      </c>
      <c r="F53" s="89" t="s">
        <v>2387</v>
      </c>
      <c r="G53" s="89" t="s">
        <v>2328</v>
      </c>
      <c r="H53" s="89">
        <v>1</v>
      </c>
      <c r="I53" s="91" t="str">
        <f>IF(COUNTIF(J53:AW53,"&lt;&gt;")=0,"",SUMPRODUCT(((Recommendations[ImplStatus]="Implemented")+(Recommendations[ImplStatus]="Compensated"))*ISNUMBER(MATCH(Recommendations[Id],J53:AW53,0)))/COUNTIF(J53:AW53,"&lt;&gt;"))</f>
        <v/>
      </c>
      <c r="J53" s="93"/>
      <c r="K53" s="93"/>
      <c r="L53" s="93"/>
      <c r="M53" s="93"/>
      <c r="N53" s="93"/>
      <c r="O53" s="93"/>
      <c r="P53" s="93"/>
      <c r="Q53" s="93"/>
      <c r="R53" s="93"/>
      <c r="S53" s="93"/>
      <c r="T53" s="93"/>
      <c r="U53" s="93"/>
      <c r="V53" s="93"/>
      <c r="W53" s="93"/>
      <c r="X53" s="93"/>
      <c r="Y53" s="93"/>
      <c r="Z53" s="93"/>
      <c r="AA53" s="93"/>
      <c r="AB53" s="93"/>
      <c r="AC53" s="93"/>
      <c r="AD53" s="93"/>
      <c r="AE53" s="93"/>
      <c r="AF53" s="93"/>
      <c r="AG53" s="93"/>
      <c r="AH53" s="93"/>
      <c r="AI53" s="93"/>
      <c r="AJ53" s="93"/>
      <c r="AK53" s="93"/>
      <c r="AL53" s="93"/>
      <c r="AM53" s="93"/>
      <c r="AN53" s="93"/>
      <c r="AO53" s="93"/>
      <c r="AP53" s="93"/>
      <c r="AQ53" s="93"/>
      <c r="AR53" s="93"/>
      <c r="AS53" s="93"/>
      <c r="AT53" s="93"/>
      <c r="AU53" s="93"/>
      <c r="AV53" s="93"/>
      <c r="AW53" s="104"/>
    </row>
    <row r="54" spans="1:49" ht="60" customHeight="1" x14ac:dyDescent="0.35">
      <c r="A54" s="101" t="s">
        <v>2459</v>
      </c>
      <c r="B54" s="84" t="s">
        <v>2469</v>
      </c>
      <c r="C54" s="86" t="s">
        <v>2470</v>
      </c>
      <c r="D54" s="88" t="s">
        <v>2471</v>
      </c>
      <c r="E54" s="88" t="s">
        <v>2472</v>
      </c>
      <c r="F54" s="89" t="s">
        <v>2412</v>
      </c>
      <c r="G54" s="89" t="s">
        <v>2312</v>
      </c>
      <c r="H54" s="89">
        <v>1</v>
      </c>
      <c r="I54" s="91" t="str">
        <f>IF(COUNTIF(J54:AW54,"&lt;&gt;")=0,"",SUMPRODUCT(((Recommendations[ImplStatus]="Implemented")+(Recommendations[ImplStatus]="Compensated"))*ISNUMBER(MATCH(Recommendations[Id],J54:AW54,0)))/COUNTIF(J54:AW54,"&lt;&gt;"))</f>
        <v/>
      </c>
      <c r="J54" s="93"/>
      <c r="K54" s="93"/>
      <c r="L54" s="93"/>
      <c r="M54" s="93"/>
      <c r="N54" s="93"/>
      <c r="O54" s="93"/>
      <c r="P54" s="93"/>
      <c r="Q54" s="93"/>
      <c r="R54" s="93"/>
      <c r="S54" s="93"/>
      <c r="T54" s="93"/>
      <c r="U54" s="93"/>
      <c r="V54" s="93"/>
      <c r="W54" s="93"/>
      <c r="X54" s="93"/>
      <c r="Y54" s="93"/>
      <c r="Z54" s="93"/>
      <c r="AA54" s="93"/>
      <c r="AB54" s="93"/>
      <c r="AC54" s="93"/>
      <c r="AD54" s="93"/>
      <c r="AE54" s="93"/>
      <c r="AF54" s="93"/>
      <c r="AG54" s="93"/>
      <c r="AH54" s="93"/>
      <c r="AI54" s="93"/>
      <c r="AJ54" s="93"/>
      <c r="AK54" s="93"/>
      <c r="AL54" s="93"/>
      <c r="AM54" s="93"/>
      <c r="AN54" s="93"/>
      <c r="AO54" s="93"/>
      <c r="AP54" s="93"/>
      <c r="AQ54" s="93"/>
      <c r="AR54" s="93"/>
      <c r="AS54" s="93"/>
      <c r="AT54" s="93"/>
      <c r="AU54" s="93"/>
      <c r="AV54" s="93"/>
      <c r="AW54" s="104"/>
    </row>
    <row r="55" spans="1:49" ht="60" customHeight="1" x14ac:dyDescent="0.35">
      <c r="A55" s="101" t="s">
        <v>2459</v>
      </c>
      <c r="B55" s="84" t="s">
        <v>2473</v>
      </c>
      <c r="C55" s="86" t="s">
        <v>2474</v>
      </c>
      <c r="D55" s="88" t="s">
        <v>2475</v>
      </c>
      <c r="E55" s="88" t="s">
        <v>2476</v>
      </c>
      <c r="F55" s="89" t="s">
        <v>2412</v>
      </c>
      <c r="G55" s="89" t="s">
        <v>2312</v>
      </c>
      <c r="H55" s="89">
        <v>1</v>
      </c>
      <c r="I55" s="91" t="str">
        <f>IF(COUNTIF(J55:AW55,"&lt;&gt;")=0,"",SUMPRODUCT(((Recommendations[ImplStatus]="Implemented")+(Recommendations[ImplStatus]="Compensated"))*ISNUMBER(MATCH(Recommendations[Id],J55:AW55,0)))/COUNTIF(J55:AW55,"&lt;&gt;"))</f>
        <v/>
      </c>
      <c r="J55" s="93"/>
      <c r="K55" s="93"/>
      <c r="L55" s="93"/>
      <c r="M55" s="93"/>
      <c r="N55" s="93"/>
      <c r="O55" s="93"/>
      <c r="P55" s="93"/>
      <c r="Q55" s="93"/>
      <c r="R55" s="93"/>
      <c r="S55" s="93"/>
      <c r="T55" s="93"/>
      <c r="U55" s="93"/>
      <c r="V55" s="93"/>
      <c r="W55" s="93"/>
      <c r="X55" s="93"/>
      <c r="Y55" s="93"/>
      <c r="Z55" s="93"/>
      <c r="AA55" s="93"/>
      <c r="AB55" s="93"/>
      <c r="AC55" s="93"/>
      <c r="AD55" s="93"/>
      <c r="AE55" s="93"/>
      <c r="AF55" s="93"/>
      <c r="AG55" s="93"/>
      <c r="AH55" s="93"/>
      <c r="AI55" s="93"/>
      <c r="AJ55" s="93"/>
      <c r="AK55" s="93"/>
      <c r="AL55" s="93"/>
      <c r="AM55" s="93"/>
      <c r="AN55" s="93"/>
      <c r="AO55" s="93"/>
      <c r="AP55" s="93"/>
      <c r="AQ55" s="93"/>
      <c r="AR55" s="93"/>
      <c r="AS55" s="93"/>
      <c r="AT55" s="93"/>
      <c r="AU55" s="93"/>
      <c r="AV55" s="93"/>
      <c r="AW55" s="104"/>
    </row>
    <row r="56" spans="1:49" ht="60" customHeight="1" x14ac:dyDescent="0.35">
      <c r="A56" s="101" t="s">
        <v>2459</v>
      </c>
      <c r="B56" s="84" t="s">
        <v>2477</v>
      </c>
      <c r="C56" s="86" t="s">
        <v>2478</v>
      </c>
      <c r="D56" s="88" t="s">
        <v>2479</v>
      </c>
      <c r="E56" s="88" t="s">
        <v>2480</v>
      </c>
      <c r="F56" s="89" t="s">
        <v>2412</v>
      </c>
      <c r="G56" s="89" t="s">
        <v>2312</v>
      </c>
      <c r="H56" s="89">
        <v>1</v>
      </c>
      <c r="I56" s="91">
        <f>IF(COUNTIF(J56:AW56,"&lt;&gt;")=0,"",SUMPRODUCT(((Recommendations[ImplStatus]="Implemented")+(Recommendations[ImplStatus]="Compensated"))*ISNUMBER(MATCH(Recommendations[Id],J56:AW56,0)))/COUNTIF(J56:AW56,"&lt;&gt;"))</f>
        <v>0</v>
      </c>
      <c r="J56" s="93" t="s">
        <v>873</v>
      </c>
      <c r="K56" s="93"/>
      <c r="L56" s="93"/>
      <c r="M56" s="93"/>
      <c r="N56" s="93"/>
      <c r="O56" s="93"/>
      <c r="P56" s="93"/>
      <c r="Q56" s="93"/>
      <c r="R56" s="93"/>
      <c r="S56" s="93"/>
      <c r="T56" s="93"/>
      <c r="U56" s="93"/>
      <c r="V56" s="93"/>
      <c r="W56" s="93"/>
      <c r="X56" s="93"/>
      <c r="Y56" s="93"/>
      <c r="Z56" s="93"/>
      <c r="AA56" s="93"/>
      <c r="AB56" s="93"/>
      <c r="AC56" s="93"/>
      <c r="AD56" s="93"/>
      <c r="AE56" s="93"/>
      <c r="AF56" s="93"/>
      <c r="AG56" s="93"/>
      <c r="AH56" s="93"/>
      <c r="AI56" s="93"/>
      <c r="AJ56" s="93"/>
      <c r="AK56" s="93"/>
      <c r="AL56" s="93"/>
      <c r="AM56" s="93"/>
      <c r="AN56" s="93"/>
      <c r="AO56" s="93"/>
      <c r="AP56" s="93"/>
      <c r="AQ56" s="93"/>
      <c r="AR56" s="93"/>
      <c r="AS56" s="93"/>
      <c r="AT56" s="93"/>
      <c r="AU56" s="93"/>
      <c r="AV56" s="93"/>
      <c r="AW56" s="104"/>
    </row>
    <row r="57" spans="1:49" ht="60" customHeight="1" x14ac:dyDescent="0.35">
      <c r="A57" s="101" t="s">
        <v>2459</v>
      </c>
      <c r="B57" s="84" t="s">
        <v>2481</v>
      </c>
      <c r="C57" s="86" t="s">
        <v>2482</v>
      </c>
      <c r="D57" s="88" t="s">
        <v>2483</v>
      </c>
      <c r="E57" s="88" t="s">
        <v>2484</v>
      </c>
      <c r="F57" s="89" t="s">
        <v>2295</v>
      </c>
      <c r="G57" s="89" t="s">
        <v>2270</v>
      </c>
      <c r="H57" s="89">
        <v>2</v>
      </c>
      <c r="I57" s="91" t="str">
        <f>IF(COUNTIF(J57:AW57,"&lt;&gt;")=0,"",SUMPRODUCT(((Recommendations[ImplStatus]="Implemented")+(Recommendations[ImplStatus]="Compensated"))*ISNUMBER(MATCH(Recommendations[Id],J57:AW57,0)))/COUNTIF(J57:AW57,"&lt;&gt;"))</f>
        <v/>
      </c>
      <c r="J57" s="93"/>
      <c r="K57" s="93"/>
      <c r="L57" s="93"/>
      <c r="M57" s="93"/>
      <c r="N57" s="93"/>
      <c r="O57" s="93"/>
      <c r="P57" s="93"/>
      <c r="Q57" s="93"/>
      <c r="R57" s="93"/>
      <c r="S57" s="93"/>
      <c r="T57" s="93"/>
      <c r="U57" s="93"/>
      <c r="V57" s="93"/>
      <c r="W57" s="93"/>
      <c r="X57" s="93"/>
      <c r="Y57" s="93"/>
      <c r="Z57" s="93"/>
      <c r="AA57" s="93"/>
      <c r="AB57" s="93"/>
      <c r="AC57" s="93"/>
      <c r="AD57" s="93"/>
      <c r="AE57" s="93"/>
      <c r="AF57" s="93"/>
      <c r="AG57" s="93"/>
      <c r="AH57" s="93"/>
      <c r="AI57" s="93"/>
      <c r="AJ57" s="93"/>
      <c r="AK57" s="93"/>
      <c r="AL57" s="93"/>
      <c r="AM57" s="93"/>
      <c r="AN57" s="93"/>
      <c r="AO57" s="93"/>
      <c r="AP57" s="93"/>
      <c r="AQ57" s="93"/>
      <c r="AR57" s="93"/>
      <c r="AS57" s="93"/>
      <c r="AT57" s="93"/>
      <c r="AU57" s="93"/>
      <c r="AV57" s="93"/>
      <c r="AW57" s="104"/>
    </row>
    <row r="58" spans="1:49" ht="60" customHeight="1" x14ac:dyDescent="0.35">
      <c r="A58" s="101" t="s">
        <v>2459</v>
      </c>
      <c r="B58" s="84" t="s">
        <v>2485</v>
      </c>
      <c r="C58" s="86" t="s">
        <v>2486</v>
      </c>
      <c r="D58" s="88" t="s">
        <v>2487</v>
      </c>
      <c r="E58" s="88" t="s">
        <v>2488</v>
      </c>
      <c r="F58" s="89" t="s">
        <v>2412</v>
      </c>
      <c r="G58" s="89" t="s">
        <v>2312</v>
      </c>
      <c r="H58" s="89">
        <v>2</v>
      </c>
      <c r="I58" s="91" t="str">
        <f>IF(COUNTIF(J58:AW58,"&lt;&gt;")=0,"",SUMPRODUCT(((Recommendations[ImplStatus]="Implemented")+(Recommendations[ImplStatus]="Compensated"))*ISNUMBER(MATCH(Recommendations[Id],J58:AW58,0)))/COUNTIF(J58:AW58,"&lt;&gt;"))</f>
        <v/>
      </c>
      <c r="J58" s="93"/>
      <c r="K58" s="93"/>
      <c r="L58" s="93"/>
      <c r="M58" s="93"/>
      <c r="N58" s="93"/>
      <c r="O58" s="93"/>
      <c r="P58" s="93"/>
      <c r="Q58" s="93"/>
      <c r="R58" s="93"/>
      <c r="S58" s="93"/>
      <c r="T58" s="93"/>
      <c r="U58" s="93"/>
      <c r="V58" s="93"/>
      <c r="W58" s="93"/>
      <c r="X58" s="93"/>
      <c r="Y58" s="93"/>
      <c r="Z58" s="93"/>
      <c r="AA58" s="93"/>
      <c r="AB58" s="93"/>
      <c r="AC58" s="93"/>
      <c r="AD58" s="93"/>
      <c r="AE58" s="93"/>
      <c r="AF58" s="93"/>
      <c r="AG58" s="93"/>
      <c r="AH58" s="93"/>
      <c r="AI58" s="93"/>
      <c r="AJ58" s="93"/>
      <c r="AK58" s="93"/>
      <c r="AL58" s="93"/>
      <c r="AM58" s="93"/>
      <c r="AN58" s="93"/>
      <c r="AO58" s="93"/>
      <c r="AP58" s="93"/>
      <c r="AQ58" s="93"/>
      <c r="AR58" s="93"/>
      <c r="AS58" s="93"/>
      <c r="AT58" s="93"/>
      <c r="AU58" s="93"/>
      <c r="AV58" s="93"/>
      <c r="AW58" s="104"/>
    </row>
    <row r="59" spans="1:49" ht="60" customHeight="1" x14ac:dyDescent="0.35">
      <c r="A59" s="101" t="s">
        <v>2459</v>
      </c>
      <c r="B59" s="84" t="s">
        <v>2489</v>
      </c>
      <c r="C59" s="86" t="s">
        <v>2490</v>
      </c>
      <c r="D59" s="88" t="s">
        <v>2491</v>
      </c>
      <c r="E59" s="88" t="s">
        <v>2492</v>
      </c>
      <c r="F59" s="89" t="s">
        <v>2412</v>
      </c>
      <c r="G59" s="89" t="s">
        <v>2328</v>
      </c>
      <c r="H59" s="89">
        <v>3</v>
      </c>
      <c r="I59" s="91">
        <f>IF(COUNTIF(J59:AW59,"&lt;&gt;")=0,"",SUMPRODUCT(((Recommendations[ImplStatus]="Implemented")+(Recommendations[ImplStatus]="Compensated"))*ISNUMBER(MATCH(Recommendations[Id],J59:AW59,0)))/COUNTIF(J59:AW59,"&lt;&gt;"))</f>
        <v>0</v>
      </c>
      <c r="J59" s="93" t="s">
        <v>132</v>
      </c>
      <c r="K59" s="93" t="s">
        <v>212</v>
      </c>
      <c r="L59" s="93"/>
      <c r="M59" s="93"/>
      <c r="N59" s="93"/>
      <c r="O59" s="93"/>
      <c r="P59" s="93"/>
      <c r="Q59" s="93"/>
      <c r="R59" s="93"/>
      <c r="S59" s="93"/>
      <c r="T59" s="93"/>
      <c r="U59" s="93"/>
      <c r="V59" s="93"/>
      <c r="W59" s="93"/>
      <c r="X59" s="93"/>
      <c r="Y59" s="93"/>
      <c r="Z59" s="93"/>
      <c r="AA59" s="93"/>
      <c r="AB59" s="93"/>
      <c r="AC59" s="93"/>
      <c r="AD59" s="93"/>
      <c r="AE59" s="93"/>
      <c r="AF59" s="93"/>
      <c r="AG59" s="93"/>
      <c r="AH59" s="93"/>
      <c r="AI59" s="93"/>
      <c r="AJ59" s="93"/>
      <c r="AK59" s="93"/>
      <c r="AL59" s="93"/>
      <c r="AM59" s="93"/>
      <c r="AN59" s="93"/>
      <c r="AO59" s="93"/>
      <c r="AP59" s="93"/>
      <c r="AQ59" s="93"/>
      <c r="AR59" s="93"/>
      <c r="AS59" s="93"/>
      <c r="AT59" s="93"/>
      <c r="AU59" s="93"/>
      <c r="AV59" s="93"/>
      <c r="AW59" s="104"/>
    </row>
    <row r="60" spans="1:49" ht="60" customHeight="1" outlineLevel="1" x14ac:dyDescent="0.35">
      <c r="A60" s="100" t="s">
        <v>2493</v>
      </c>
      <c r="B60" s="83">
        <v>7</v>
      </c>
      <c r="C60" s="85" t="s">
        <v>21</v>
      </c>
      <c r="D60" s="87" t="s">
        <v>2494</v>
      </c>
      <c r="E60" s="87" t="s">
        <v>21</v>
      </c>
      <c r="F60" s="83" t="s">
        <v>21</v>
      </c>
      <c r="G60" s="83" t="s">
        <v>21</v>
      </c>
      <c r="H60" s="83"/>
      <c r="I60" s="90" t="str">
        <f>IF(COUNTIF(J60:AW60,"&lt;&gt;")=0,"",SUMPRODUCT(((Recommendations[ImplStatus]="Implemented")+(Recommendations[ImplStatus]="Compensated"))*ISNUMBER(MATCH(Recommendations[Id],J60:AW60,0)))/COUNTIF(J60:AW60,"&lt;&gt;"))</f>
        <v/>
      </c>
      <c r="J60" s="92"/>
      <c r="K60" s="92"/>
      <c r="L60" s="92"/>
      <c r="M60" s="92"/>
      <c r="N60" s="92"/>
      <c r="O60" s="92"/>
      <c r="P60" s="92"/>
      <c r="Q60" s="92"/>
      <c r="R60" s="92"/>
      <c r="S60" s="92"/>
      <c r="T60" s="92"/>
      <c r="U60" s="92"/>
      <c r="V60" s="92"/>
      <c r="W60" s="92"/>
      <c r="X60" s="92"/>
      <c r="Y60" s="92"/>
      <c r="Z60" s="92"/>
      <c r="AA60" s="92"/>
      <c r="AB60" s="92"/>
      <c r="AC60" s="92"/>
      <c r="AD60" s="92"/>
      <c r="AE60" s="92"/>
      <c r="AF60" s="92"/>
      <c r="AG60" s="92"/>
      <c r="AH60" s="92"/>
      <c r="AI60" s="92"/>
      <c r="AJ60" s="92"/>
      <c r="AK60" s="92"/>
      <c r="AL60" s="92"/>
      <c r="AM60" s="92"/>
      <c r="AN60" s="92"/>
      <c r="AO60" s="92"/>
      <c r="AP60" s="92"/>
      <c r="AQ60" s="92"/>
      <c r="AR60" s="92"/>
      <c r="AS60" s="92"/>
      <c r="AT60" s="92"/>
      <c r="AU60" s="92"/>
      <c r="AV60" s="92"/>
      <c r="AW60" s="103"/>
    </row>
    <row r="61" spans="1:49" ht="60" customHeight="1" x14ac:dyDescent="0.35">
      <c r="A61" s="101" t="s">
        <v>2493</v>
      </c>
      <c r="B61" s="84" t="s">
        <v>2495</v>
      </c>
      <c r="C61" s="86" t="s">
        <v>2496</v>
      </c>
      <c r="D61" s="88" t="s">
        <v>2497</v>
      </c>
      <c r="E61" s="88" t="s">
        <v>2498</v>
      </c>
      <c r="F61" s="89" t="s">
        <v>2387</v>
      </c>
      <c r="G61" s="89" t="s">
        <v>2328</v>
      </c>
      <c r="H61" s="89">
        <v>1</v>
      </c>
      <c r="I61" s="91" t="str">
        <f>IF(COUNTIF(J61:AW61,"&lt;&gt;")=0,"",SUMPRODUCT(((Recommendations[ImplStatus]="Implemented")+(Recommendations[ImplStatus]="Compensated"))*ISNUMBER(MATCH(Recommendations[Id],J61:AW61,0)))/COUNTIF(J61:AW61,"&lt;&gt;"))</f>
        <v/>
      </c>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93"/>
      <c r="AJ61" s="93"/>
      <c r="AK61" s="93"/>
      <c r="AL61" s="93"/>
      <c r="AM61" s="93"/>
      <c r="AN61" s="93"/>
      <c r="AO61" s="93"/>
      <c r="AP61" s="93"/>
      <c r="AQ61" s="93"/>
      <c r="AR61" s="93"/>
      <c r="AS61" s="93"/>
      <c r="AT61" s="93"/>
      <c r="AU61" s="93"/>
      <c r="AV61" s="93"/>
      <c r="AW61" s="104"/>
    </row>
    <row r="62" spans="1:49" ht="60" customHeight="1" x14ac:dyDescent="0.35">
      <c r="A62" s="101" t="s">
        <v>2493</v>
      </c>
      <c r="B62" s="84" t="s">
        <v>2499</v>
      </c>
      <c r="C62" s="86" t="s">
        <v>2500</v>
      </c>
      <c r="D62" s="88" t="s">
        <v>2501</v>
      </c>
      <c r="E62" s="88" t="s">
        <v>2502</v>
      </c>
      <c r="F62" s="89" t="s">
        <v>2387</v>
      </c>
      <c r="G62" s="89" t="s">
        <v>2328</v>
      </c>
      <c r="H62" s="89">
        <v>1</v>
      </c>
      <c r="I62" s="91" t="str">
        <f>IF(COUNTIF(J62:AW62,"&lt;&gt;")=0,"",SUMPRODUCT(((Recommendations[ImplStatus]="Implemented")+(Recommendations[ImplStatus]="Compensated"))*ISNUMBER(MATCH(Recommendations[Id],J62:AW62,0)))/COUNTIF(J62:AW62,"&lt;&gt;"))</f>
        <v/>
      </c>
      <c r="J62" s="93"/>
      <c r="K62" s="93"/>
      <c r="L62" s="93"/>
      <c r="M62" s="93"/>
      <c r="N62" s="93"/>
      <c r="O62" s="93"/>
      <c r="P62" s="93"/>
      <c r="Q62" s="93"/>
      <c r="R62" s="93"/>
      <c r="S62" s="93"/>
      <c r="T62" s="93"/>
      <c r="U62" s="93"/>
      <c r="V62" s="93"/>
      <c r="W62" s="93"/>
      <c r="X62" s="93"/>
      <c r="Y62" s="93"/>
      <c r="Z62" s="93"/>
      <c r="AA62" s="93"/>
      <c r="AB62" s="93"/>
      <c r="AC62" s="93"/>
      <c r="AD62" s="93"/>
      <c r="AE62" s="93"/>
      <c r="AF62" s="93"/>
      <c r="AG62" s="93"/>
      <c r="AH62" s="93"/>
      <c r="AI62" s="93"/>
      <c r="AJ62" s="93"/>
      <c r="AK62" s="93"/>
      <c r="AL62" s="93"/>
      <c r="AM62" s="93"/>
      <c r="AN62" s="93"/>
      <c r="AO62" s="93"/>
      <c r="AP62" s="93"/>
      <c r="AQ62" s="93"/>
      <c r="AR62" s="93"/>
      <c r="AS62" s="93"/>
      <c r="AT62" s="93"/>
      <c r="AU62" s="93"/>
      <c r="AV62" s="93"/>
      <c r="AW62" s="104"/>
    </row>
    <row r="63" spans="1:49" ht="60" customHeight="1" x14ac:dyDescent="0.35">
      <c r="A63" s="101" t="s">
        <v>2493</v>
      </c>
      <c r="B63" s="84" t="s">
        <v>2503</v>
      </c>
      <c r="C63" s="86" t="s">
        <v>2504</v>
      </c>
      <c r="D63" s="88" t="s">
        <v>2505</v>
      </c>
      <c r="E63" s="88" t="s">
        <v>2506</v>
      </c>
      <c r="F63" s="89" t="s">
        <v>2295</v>
      </c>
      <c r="G63" s="89" t="s">
        <v>2312</v>
      </c>
      <c r="H63" s="89">
        <v>1</v>
      </c>
      <c r="I63" s="91" t="str">
        <f>IF(COUNTIF(J63:AW63,"&lt;&gt;")=0,"",SUMPRODUCT(((Recommendations[ImplStatus]="Implemented")+(Recommendations[ImplStatus]="Compensated"))*ISNUMBER(MATCH(Recommendations[Id],J63:AW63,0)))/COUNTIF(J63:AW63,"&lt;&gt;"))</f>
        <v/>
      </c>
      <c r="J63" s="93"/>
      <c r="K63" s="93"/>
      <c r="L63" s="93"/>
      <c r="M63" s="93"/>
      <c r="N63" s="93"/>
      <c r="O63" s="93"/>
      <c r="P63" s="93"/>
      <c r="Q63" s="93"/>
      <c r="R63" s="93"/>
      <c r="S63" s="93"/>
      <c r="T63" s="93"/>
      <c r="U63" s="93"/>
      <c r="V63" s="93"/>
      <c r="W63" s="93"/>
      <c r="X63" s="93"/>
      <c r="Y63" s="93"/>
      <c r="Z63" s="93"/>
      <c r="AA63" s="93"/>
      <c r="AB63" s="93"/>
      <c r="AC63" s="93"/>
      <c r="AD63" s="93"/>
      <c r="AE63" s="93"/>
      <c r="AF63" s="93"/>
      <c r="AG63" s="93"/>
      <c r="AH63" s="93"/>
      <c r="AI63" s="93"/>
      <c r="AJ63" s="93"/>
      <c r="AK63" s="93"/>
      <c r="AL63" s="93"/>
      <c r="AM63" s="93"/>
      <c r="AN63" s="93"/>
      <c r="AO63" s="93"/>
      <c r="AP63" s="93"/>
      <c r="AQ63" s="93"/>
      <c r="AR63" s="93"/>
      <c r="AS63" s="93"/>
      <c r="AT63" s="93"/>
      <c r="AU63" s="93"/>
      <c r="AV63" s="93"/>
      <c r="AW63" s="104"/>
    </row>
    <row r="64" spans="1:49" ht="60" customHeight="1" x14ac:dyDescent="0.35">
      <c r="A64" s="101" t="s">
        <v>2493</v>
      </c>
      <c r="B64" s="84" t="s">
        <v>2507</v>
      </c>
      <c r="C64" s="86" t="s">
        <v>2508</v>
      </c>
      <c r="D64" s="88" t="s">
        <v>2509</v>
      </c>
      <c r="E64" s="88" t="s">
        <v>2510</v>
      </c>
      <c r="F64" s="89" t="s">
        <v>2295</v>
      </c>
      <c r="G64" s="89" t="s">
        <v>2312</v>
      </c>
      <c r="H64" s="89">
        <v>1</v>
      </c>
      <c r="I64" s="91">
        <f>IF(COUNTIF(J64:AW64,"&lt;&gt;")=0,"",SUMPRODUCT(((Recommendations[ImplStatus]="Implemented")+(Recommendations[ImplStatus]="Compensated"))*ISNUMBER(MATCH(Recommendations[Id],J64:AW64,0)))/COUNTIF(J64:AW64,"&lt;&gt;"))</f>
        <v>0</v>
      </c>
      <c r="J64" s="93" t="s">
        <v>223</v>
      </c>
      <c r="K64" s="93" t="s">
        <v>1962</v>
      </c>
      <c r="L64" s="93"/>
      <c r="M64" s="93"/>
      <c r="N64" s="93"/>
      <c r="O64" s="93"/>
      <c r="P64" s="93"/>
      <c r="Q64" s="93"/>
      <c r="R64" s="93"/>
      <c r="S64" s="93"/>
      <c r="T64" s="93"/>
      <c r="U64" s="93"/>
      <c r="V64" s="93"/>
      <c r="W64" s="93"/>
      <c r="X64" s="93"/>
      <c r="Y64" s="93"/>
      <c r="Z64" s="93"/>
      <c r="AA64" s="93"/>
      <c r="AB64" s="93"/>
      <c r="AC64" s="93"/>
      <c r="AD64" s="93"/>
      <c r="AE64" s="93"/>
      <c r="AF64" s="93"/>
      <c r="AG64" s="93"/>
      <c r="AH64" s="93"/>
      <c r="AI64" s="93"/>
      <c r="AJ64" s="93"/>
      <c r="AK64" s="93"/>
      <c r="AL64" s="93"/>
      <c r="AM64" s="93"/>
      <c r="AN64" s="93"/>
      <c r="AO64" s="93"/>
      <c r="AP64" s="93"/>
      <c r="AQ64" s="93"/>
      <c r="AR64" s="93"/>
      <c r="AS64" s="93"/>
      <c r="AT64" s="93"/>
      <c r="AU64" s="93"/>
      <c r="AV64" s="93"/>
      <c r="AW64" s="104"/>
    </row>
    <row r="65" spans="1:49" ht="60" customHeight="1" x14ac:dyDescent="0.35">
      <c r="A65" s="101" t="s">
        <v>2493</v>
      </c>
      <c r="B65" s="84" t="s">
        <v>2511</v>
      </c>
      <c r="C65" s="86" t="s">
        <v>2512</v>
      </c>
      <c r="D65" s="88" t="s">
        <v>2513</v>
      </c>
      <c r="E65" s="88" t="s">
        <v>2514</v>
      </c>
      <c r="F65" s="89" t="s">
        <v>2295</v>
      </c>
      <c r="G65" s="89" t="s">
        <v>2270</v>
      </c>
      <c r="H65" s="89">
        <v>2</v>
      </c>
      <c r="I65" s="91" t="str">
        <f>IF(COUNTIF(J65:AW65,"&lt;&gt;")=0,"",SUMPRODUCT(((Recommendations[ImplStatus]="Implemented")+(Recommendations[ImplStatus]="Compensated"))*ISNUMBER(MATCH(Recommendations[Id],J65:AW65,0)))/COUNTIF(J65:AW65,"&lt;&gt;"))</f>
        <v/>
      </c>
      <c r="J65" s="93"/>
      <c r="K65" s="93"/>
      <c r="L65" s="93"/>
      <c r="M65" s="93"/>
      <c r="N65" s="93"/>
      <c r="O65" s="93"/>
      <c r="P65" s="93"/>
      <c r="Q65" s="93"/>
      <c r="R65" s="93"/>
      <c r="S65" s="93"/>
      <c r="T65" s="93"/>
      <c r="U65" s="93"/>
      <c r="V65" s="93"/>
      <c r="W65" s="93"/>
      <c r="X65" s="93"/>
      <c r="Y65" s="93"/>
      <c r="Z65" s="93"/>
      <c r="AA65" s="93"/>
      <c r="AB65" s="93"/>
      <c r="AC65" s="93"/>
      <c r="AD65" s="93"/>
      <c r="AE65" s="93"/>
      <c r="AF65" s="93"/>
      <c r="AG65" s="93"/>
      <c r="AH65" s="93"/>
      <c r="AI65" s="93"/>
      <c r="AJ65" s="93"/>
      <c r="AK65" s="93"/>
      <c r="AL65" s="93"/>
      <c r="AM65" s="93"/>
      <c r="AN65" s="93"/>
      <c r="AO65" s="93"/>
      <c r="AP65" s="93"/>
      <c r="AQ65" s="93"/>
      <c r="AR65" s="93"/>
      <c r="AS65" s="93"/>
      <c r="AT65" s="93"/>
      <c r="AU65" s="93"/>
      <c r="AV65" s="93"/>
      <c r="AW65" s="104"/>
    </row>
    <row r="66" spans="1:49" ht="60" customHeight="1" x14ac:dyDescent="0.35">
      <c r="A66" s="101" t="s">
        <v>2493</v>
      </c>
      <c r="B66" s="84" t="s">
        <v>2515</v>
      </c>
      <c r="C66" s="86" t="s">
        <v>2516</v>
      </c>
      <c r="D66" s="88" t="s">
        <v>2517</v>
      </c>
      <c r="E66" s="88" t="s">
        <v>2518</v>
      </c>
      <c r="F66" s="89" t="s">
        <v>2295</v>
      </c>
      <c r="G66" s="89" t="s">
        <v>2270</v>
      </c>
      <c r="H66" s="89">
        <v>2</v>
      </c>
      <c r="I66" s="91" t="str">
        <f>IF(COUNTIF(J66:AW66,"&lt;&gt;")=0,"",SUMPRODUCT(((Recommendations[ImplStatus]="Implemented")+(Recommendations[ImplStatus]="Compensated"))*ISNUMBER(MATCH(Recommendations[Id],J66:AW66,0)))/COUNTIF(J66:AW66,"&lt;&gt;"))</f>
        <v/>
      </c>
      <c r="J66" s="93"/>
      <c r="K66" s="93"/>
      <c r="L66" s="93"/>
      <c r="M66" s="93"/>
      <c r="N66" s="93"/>
      <c r="O66" s="93"/>
      <c r="P66" s="93"/>
      <c r="Q66" s="93"/>
      <c r="R66" s="93"/>
      <c r="S66" s="93"/>
      <c r="T66" s="93"/>
      <c r="U66" s="93"/>
      <c r="V66" s="93"/>
      <c r="W66" s="93"/>
      <c r="X66" s="93"/>
      <c r="Y66" s="93"/>
      <c r="Z66" s="93"/>
      <c r="AA66" s="93"/>
      <c r="AB66" s="93"/>
      <c r="AC66" s="93"/>
      <c r="AD66" s="93"/>
      <c r="AE66" s="93"/>
      <c r="AF66" s="93"/>
      <c r="AG66" s="93"/>
      <c r="AH66" s="93"/>
      <c r="AI66" s="93"/>
      <c r="AJ66" s="93"/>
      <c r="AK66" s="93"/>
      <c r="AL66" s="93"/>
      <c r="AM66" s="93"/>
      <c r="AN66" s="93"/>
      <c r="AO66" s="93"/>
      <c r="AP66" s="93"/>
      <c r="AQ66" s="93"/>
      <c r="AR66" s="93"/>
      <c r="AS66" s="93"/>
      <c r="AT66" s="93"/>
      <c r="AU66" s="93"/>
      <c r="AV66" s="93"/>
      <c r="AW66" s="104"/>
    </row>
    <row r="67" spans="1:49" ht="60" customHeight="1" x14ac:dyDescent="0.35">
      <c r="A67" s="101" t="s">
        <v>2493</v>
      </c>
      <c r="B67" s="84" t="s">
        <v>2519</v>
      </c>
      <c r="C67" s="86" t="s">
        <v>2520</v>
      </c>
      <c r="D67" s="88" t="s">
        <v>2521</v>
      </c>
      <c r="E67" s="88" t="s">
        <v>2522</v>
      </c>
      <c r="F67" s="89" t="s">
        <v>2295</v>
      </c>
      <c r="G67" s="89" t="s">
        <v>2275</v>
      </c>
      <c r="H67" s="89">
        <v>2</v>
      </c>
      <c r="I67" s="91" t="str">
        <f>IF(COUNTIF(J67:AW67,"&lt;&gt;")=0,"",SUMPRODUCT(((Recommendations[ImplStatus]="Implemented")+(Recommendations[ImplStatus]="Compensated"))*ISNUMBER(MATCH(Recommendations[Id],J67:AW67,0)))/COUNTIF(J67:AW67,"&lt;&gt;"))</f>
        <v/>
      </c>
      <c r="J67" s="93"/>
      <c r="K67" s="93"/>
      <c r="L67" s="93"/>
      <c r="M67" s="93"/>
      <c r="N67" s="93"/>
      <c r="O67" s="93"/>
      <c r="P67" s="93"/>
      <c r="Q67" s="93"/>
      <c r="R67" s="93"/>
      <c r="S67" s="93"/>
      <c r="T67" s="93"/>
      <c r="U67" s="93"/>
      <c r="V67" s="93"/>
      <c r="W67" s="93"/>
      <c r="X67" s="93"/>
      <c r="Y67" s="93"/>
      <c r="Z67" s="93"/>
      <c r="AA67" s="93"/>
      <c r="AB67" s="93"/>
      <c r="AC67" s="93"/>
      <c r="AD67" s="93"/>
      <c r="AE67" s="93"/>
      <c r="AF67" s="93"/>
      <c r="AG67" s="93"/>
      <c r="AH67" s="93"/>
      <c r="AI67" s="93"/>
      <c r="AJ67" s="93"/>
      <c r="AK67" s="93"/>
      <c r="AL67" s="93"/>
      <c r="AM67" s="93"/>
      <c r="AN67" s="93"/>
      <c r="AO67" s="93"/>
      <c r="AP67" s="93"/>
      <c r="AQ67" s="93"/>
      <c r="AR67" s="93"/>
      <c r="AS67" s="93"/>
      <c r="AT67" s="93"/>
      <c r="AU67" s="93"/>
      <c r="AV67" s="93"/>
      <c r="AW67" s="104"/>
    </row>
    <row r="68" spans="1:49" ht="60" customHeight="1" outlineLevel="1" x14ac:dyDescent="0.35">
      <c r="A68" s="100" t="s">
        <v>2523</v>
      </c>
      <c r="B68" s="83">
        <v>8</v>
      </c>
      <c r="C68" s="85" t="s">
        <v>21</v>
      </c>
      <c r="D68" s="87" t="s">
        <v>2524</v>
      </c>
      <c r="E68" s="87" t="s">
        <v>21</v>
      </c>
      <c r="F68" s="83" t="s">
        <v>21</v>
      </c>
      <c r="G68" s="83" t="s">
        <v>21</v>
      </c>
      <c r="H68" s="83"/>
      <c r="I68" s="90" t="str">
        <f>IF(COUNTIF(J68:AW68,"&lt;&gt;")=0,"",SUMPRODUCT(((Recommendations[ImplStatus]="Implemented")+(Recommendations[ImplStatus]="Compensated"))*ISNUMBER(MATCH(Recommendations[Id],J68:AW68,0)))/COUNTIF(J68:AW68,"&lt;&gt;"))</f>
        <v/>
      </c>
      <c r="J68" s="92"/>
      <c r="K68" s="92"/>
      <c r="L68" s="92"/>
      <c r="M68" s="92"/>
      <c r="N68" s="92"/>
      <c r="O68" s="92"/>
      <c r="P68" s="92"/>
      <c r="Q68" s="92"/>
      <c r="R68" s="92"/>
      <c r="S68" s="92"/>
      <c r="T68" s="92"/>
      <c r="U68" s="92"/>
      <c r="V68" s="92"/>
      <c r="W68" s="92"/>
      <c r="X68" s="92"/>
      <c r="Y68" s="92"/>
      <c r="Z68" s="92"/>
      <c r="AA68" s="92"/>
      <c r="AB68" s="92"/>
      <c r="AC68" s="92"/>
      <c r="AD68" s="92"/>
      <c r="AE68" s="92"/>
      <c r="AF68" s="92"/>
      <c r="AG68" s="92"/>
      <c r="AH68" s="92"/>
      <c r="AI68" s="92"/>
      <c r="AJ68" s="92"/>
      <c r="AK68" s="92"/>
      <c r="AL68" s="92"/>
      <c r="AM68" s="92"/>
      <c r="AN68" s="92"/>
      <c r="AO68" s="92"/>
      <c r="AP68" s="92"/>
      <c r="AQ68" s="92"/>
      <c r="AR68" s="92"/>
      <c r="AS68" s="92"/>
      <c r="AT68" s="92"/>
      <c r="AU68" s="92"/>
      <c r="AV68" s="92"/>
      <c r="AW68" s="103"/>
    </row>
    <row r="69" spans="1:49" ht="60" customHeight="1" x14ac:dyDescent="0.35">
      <c r="A69" s="101" t="s">
        <v>2523</v>
      </c>
      <c r="B69" s="84" t="s">
        <v>2525</v>
      </c>
      <c r="C69" s="86" t="s">
        <v>2526</v>
      </c>
      <c r="D69" s="88" t="s">
        <v>2527</v>
      </c>
      <c r="E69" s="88" t="s">
        <v>2528</v>
      </c>
      <c r="F69" s="89" t="s">
        <v>2387</v>
      </c>
      <c r="G69" s="89" t="s">
        <v>2328</v>
      </c>
      <c r="H69" s="89">
        <v>1</v>
      </c>
      <c r="I69" s="91" t="str">
        <f>IF(COUNTIF(J69:AW69,"&lt;&gt;")=0,"",SUMPRODUCT(((Recommendations[ImplStatus]="Implemented")+(Recommendations[ImplStatus]="Compensated"))*ISNUMBER(MATCH(Recommendations[Id],J69:AW69,0)))/COUNTIF(J69:AW69,"&lt;&gt;"))</f>
        <v/>
      </c>
      <c r="J69" s="93"/>
      <c r="K69" s="93"/>
      <c r="L69" s="93"/>
      <c r="M69" s="93"/>
      <c r="N69" s="93"/>
      <c r="O69" s="93"/>
      <c r="P69" s="93"/>
      <c r="Q69" s="93"/>
      <c r="R69" s="93"/>
      <c r="S69" s="93"/>
      <c r="T69" s="93"/>
      <c r="U69" s="93"/>
      <c r="V69" s="93"/>
      <c r="W69" s="93"/>
      <c r="X69" s="93"/>
      <c r="Y69" s="93"/>
      <c r="Z69" s="93"/>
      <c r="AA69" s="93"/>
      <c r="AB69" s="93"/>
      <c r="AC69" s="93"/>
      <c r="AD69" s="93"/>
      <c r="AE69" s="93"/>
      <c r="AF69" s="93"/>
      <c r="AG69" s="93"/>
      <c r="AH69" s="93"/>
      <c r="AI69" s="93"/>
      <c r="AJ69" s="93"/>
      <c r="AK69" s="93"/>
      <c r="AL69" s="93"/>
      <c r="AM69" s="93"/>
      <c r="AN69" s="93"/>
      <c r="AO69" s="93"/>
      <c r="AP69" s="93"/>
      <c r="AQ69" s="93"/>
      <c r="AR69" s="93"/>
      <c r="AS69" s="93"/>
      <c r="AT69" s="93"/>
      <c r="AU69" s="93"/>
      <c r="AV69" s="93"/>
      <c r="AW69" s="104"/>
    </row>
    <row r="70" spans="1:49" ht="60" customHeight="1" x14ac:dyDescent="0.35">
      <c r="A70" s="101" t="s">
        <v>2523</v>
      </c>
      <c r="B70" s="84" t="s">
        <v>2529</v>
      </c>
      <c r="C70" s="86" t="s">
        <v>2530</v>
      </c>
      <c r="D70" s="88" t="s">
        <v>2531</v>
      </c>
      <c r="E70" s="88" t="s">
        <v>2532</v>
      </c>
      <c r="F70" s="89" t="s">
        <v>2327</v>
      </c>
      <c r="G70" s="89" t="s">
        <v>2280</v>
      </c>
      <c r="H70" s="89">
        <v>1</v>
      </c>
      <c r="I70" s="91">
        <f>IF(COUNTIF(J70:AW70,"&lt;&gt;")=0,"",SUMPRODUCT(((Recommendations[ImplStatus]="Implemented")+(Recommendations[ImplStatus]="Compensated"))*ISNUMBER(MATCH(Recommendations[Id],J70:AW70,0)))/COUNTIF(J70:AW70,"&lt;&gt;"))</f>
        <v>0</v>
      </c>
      <c r="J70" s="93" t="s">
        <v>51</v>
      </c>
      <c r="K70" s="93" t="s">
        <v>66</v>
      </c>
      <c r="L70" s="93" t="s">
        <v>69</v>
      </c>
      <c r="M70" s="93" t="s">
        <v>72</v>
      </c>
      <c r="N70" s="93" t="s">
        <v>79</v>
      </c>
      <c r="O70" s="93" t="s">
        <v>82</v>
      </c>
      <c r="P70" s="93" t="s">
        <v>85</v>
      </c>
      <c r="Q70" s="93" t="s">
        <v>88</v>
      </c>
      <c r="R70" s="93" t="s">
        <v>91</v>
      </c>
      <c r="S70" s="93" t="s">
        <v>94</v>
      </c>
      <c r="T70" s="93" t="s">
        <v>110</v>
      </c>
      <c r="U70" s="93" t="s">
        <v>142</v>
      </c>
      <c r="V70" s="93" t="s">
        <v>152</v>
      </c>
      <c r="W70" s="93" t="s">
        <v>228</v>
      </c>
      <c r="X70" s="93" t="s">
        <v>238</v>
      </c>
      <c r="Y70" s="93" t="s">
        <v>265</v>
      </c>
      <c r="Z70" s="93" t="s">
        <v>268</v>
      </c>
      <c r="AA70" s="93" t="s">
        <v>273</v>
      </c>
      <c r="AB70" s="93" t="s">
        <v>284</v>
      </c>
      <c r="AC70" s="93" t="s">
        <v>287</v>
      </c>
      <c r="AD70" s="93" t="s">
        <v>290</v>
      </c>
      <c r="AE70" s="93" t="s">
        <v>293</v>
      </c>
      <c r="AF70" s="93" t="s">
        <v>296</v>
      </c>
      <c r="AG70" s="93" t="s">
        <v>328</v>
      </c>
      <c r="AH70" s="93" t="s">
        <v>333</v>
      </c>
      <c r="AI70" s="93" t="s">
        <v>361</v>
      </c>
      <c r="AJ70" s="93" t="s">
        <v>375</v>
      </c>
      <c r="AK70" s="93" t="s">
        <v>480</v>
      </c>
      <c r="AL70" s="93" t="s">
        <v>485</v>
      </c>
      <c r="AM70" s="93" t="s">
        <v>489</v>
      </c>
      <c r="AN70" s="93" t="s">
        <v>493</v>
      </c>
      <c r="AO70" s="93" t="s">
        <v>497</v>
      </c>
      <c r="AP70" s="93" t="s">
        <v>501</v>
      </c>
      <c r="AQ70" s="93" t="s">
        <v>505</v>
      </c>
      <c r="AR70" s="93" t="s">
        <v>509</v>
      </c>
      <c r="AS70" s="93" t="s">
        <v>513</v>
      </c>
      <c r="AT70" s="93" t="s">
        <v>517</v>
      </c>
      <c r="AU70" s="93" t="s">
        <v>521</v>
      </c>
      <c r="AV70" s="93" t="s">
        <v>525</v>
      </c>
      <c r="AW70" s="104" t="s">
        <v>529</v>
      </c>
    </row>
    <row r="71" spans="1:49" ht="60" customHeight="1" x14ac:dyDescent="0.35">
      <c r="A71" s="101" t="s">
        <v>2523</v>
      </c>
      <c r="B71" s="84" t="s">
        <v>2533</v>
      </c>
      <c r="C71" s="86" t="s">
        <v>2534</v>
      </c>
      <c r="D71" s="88" t="s">
        <v>2535</v>
      </c>
      <c r="E71" s="88" t="s">
        <v>2536</v>
      </c>
      <c r="F71" s="89" t="s">
        <v>2327</v>
      </c>
      <c r="G71" s="89" t="s">
        <v>2312</v>
      </c>
      <c r="H71" s="89">
        <v>1</v>
      </c>
      <c r="I71" s="91">
        <f>IF(COUNTIF(J71:AW71,"&lt;&gt;")=0,"",SUMPRODUCT(((Recommendations[ImplStatus]="Implemented")+(Recommendations[ImplStatus]="Compensated"))*ISNUMBER(MATCH(Recommendations[Id],J71:AW71,0)))/COUNTIF(J71:AW71,"&lt;&gt;"))</f>
        <v>0</v>
      </c>
      <c r="J71" s="93" t="s">
        <v>1182</v>
      </c>
      <c r="K71" s="93" t="s">
        <v>1475</v>
      </c>
      <c r="L71" s="93" t="s">
        <v>1792</v>
      </c>
      <c r="M71" s="93"/>
      <c r="N71" s="93"/>
      <c r="O71" s="93"/>
      <c r="P71" s="93"/>
      <c r="Q71" s="93"/>
      <c r="R71" s="93"/>
      <c r="S71" s="93"/>
      <c r="T71" s="93"/>
      <c r="U71" s="93"/>
      <c r="V71" s="93"/>
      <c r="W71" s="93"/>
      <c r="X71" s="93"/>
      <c r="Y71" s="93"/>
      <c r="Z71" s="93"/>
      <c r="AA71" s="93"/>
      <c r="AB71" s="93"/>
      <c r="AC71" s="93"/>
      <c r="AD71" s="93"/>
      <c r="AE71" s="93"/>
      <c r="AF71" s="93"/>
      <c r="AG71" s="93"/>
      <c r="AH71" s="93"/>
      <c r="AI71" s="93"/>
      <c r="AJ71" s="93"/>
      <c r="AK71" s="93"/>
      <c r="AL71" s="93"/>
      <c r="AM71" s="93"/>
      <c r="AN71" s="93"/>
      <c r="AO71" s="93"/>
      <c r="AP71" s="93"/>
      <c r="AQ71" s="93"/>
      <c r="AR71" s="93"/>
      <c r="AS71" s="93"/>
      <c r="AT71" s="93"/>
      <c r="AU71" s="93"/>
      <c r="AV71" s="93"/>
      <c r="AW71" s="104"/>
    </row>
    <row r="72" spans="1:49" ht="60" customHeight="1" x14ac:dyDescent="0.35">
      <c r="A72" s="101" t="s">
        <v>2523</v>
      </c>
      <c r="B72" s="84" t="s">
        <v>2537</v>
      </c>
      <c r="C72" s="86" t="s">
        <v>2538</v>
      </c>
      <c r="D72" s="88" t="s">
        <v>2539</v>
      </c>
      <c r="E72" s="88" t="s">
        <v>2540</v>
      </c>
      <c r="F72" s="89" t="s">
        <v>2541</v>
      </c>
      <c r="G72" s="89" t="s">
        <v>2312</v>
      </c>
      <c r="H72" s="89">
        <v>2</v>
      </c>
      <c r="I72" s="91">
        <f>IF(COUNTIF(J72:AW72,"&lt;&gt;")=0,"",SUMPRODUCT(((Recommendations[ImplStatus]="Implemented")+(Recommendations[ImplStatus]="Compensated"))*ISNUMBER(MATCH(Recommendations[Id],J72:AW72,0)))/COUNTIF(J72:AW72,"&lt;&gt;"))</f>
        <v>0</v>
      </c>
      <c r="J72" s="93" t="s">
        <v>76</v>
      </c>
      <c r="K72" s="93" t="s">
        <v>203</v>
      </c>
      <c r="L72" s="93" t="s">
        <v>208</v>
      </c>
      <c r="M72" s="93" t="s">
        <v>1040</v>
      </c>
      <c r="N72" s="93" t="s">
        <v>1060</v>
      </c>
      <c r="O72" s="93" t="s">
        <v>1802</v>
      </c>
      <c r="P72" s="93" t="s">
        <v>1807</v>
      </c>
      <c r="Q72" s="93" t="s">
        <v>1811</v>
      </c>
      <c r="R72" s="93" t="s">
        <v>1815</v>
      </c>
      <c r="S72" s="93" t="s">
        <v>1819</v>
      </c>
      <c r="T72" s="93" t="s">
        <v>1822</v>
      </c>
      <c r="U72" s="93"/>
      <c r="V72" s="93"/>
      <c r="W72" s="93"/>
      <c r="X72" s="93"/>
      <c r="Y72" s="93"/>
      <c r="Z72" s="93"/>
      <c r="AA72" s="93"/>
      <c r="AB72" s="93"/>
      <c r="AC72" s="93"/>
      <c r="AD72" s="93"/>
      <c r="AE72" s="93"/>
      <c r="AF72" s="93"/>
      <c r="AG72" s="93"/>
      <c r="AH72" s="93"/>
      <c r="AI72" s="93"/>
      <c r="AJ72" s="93"/>
      <c r="AK72" s="93"/>
      <c r="AL72" s="93"/>
      <c r="AM72" s="93"/>
      <c r="AN72" s="93"/>
      <c r="AO72" s="93"/>
      <c r="AP72" s="93"/>
      <c r="AQ72" s="93"/>
      <c r="AR72" s="93"/>
      <c r="AS72" s="93"/>
      <c r="AT72" s="93"/>
      <c r="AU72" s="93"/>
      <c r="AV72" s="93"/>
      <c r="AW72" s="104"/>
    </row>
    <row r="73" spans="1:49" ht="60" customHeight="1" x14ac:dyDescent="0.35">
      <c r="A73" s="101" t="s">
        <v>2523</v>
      </c>
      <c r="B73" s="84" t="s">
        <v>2542</v>
      </c>
      <c r="C73" s="86" t="s">
        <v>2543</v>
      </c>
      <c r="D73" s="88" t="s">
        <v>2544</v>
      </c>
      <c r="E73" s="88" t="s">
        <v>2545</v>
      </c>
      <c r="F73" s="89" t="s">
        <v>2327</v>
      </c>
      <c r="G73" s="89" t="s">
        <v>2280</v>
      </c>
      <c r="H73" s="89">
        <v>2</v>
      </c>
      <c r="I73" s="91">
        <f>IF(COUNTIF(J73:AW73,"&lt;&gt;")=0,"",SUMPRODUCT(((Recommendations[ImplStatus]="Implemented")+(Recommendations[ImplStatus]="Compensated"))*ISNUMBER(MATCH(Recommendations[Id],J73:AW73,0)))/COUNTIF(J73:AW73,"&lt;&gt;"))</f>
        <v>0</v>
      </c>
      <c r="J73" s="93" t="s">
        <v>51</v>
      </c>
      <c r="K73" s="93" t="s">
        <v>61</v>
      </c>
      <c r="L73" s="93" t="s">
        <v>66</v>
      </c>
      <c r="M73" s="93" t="s">
        <v>69</v>
      </c>
      <c r="N73" s="93" t="s">
        <v>72</v>
      </c>
      <c r="O73" s="93" t="s">
        <v>79</v>
      </c>
      <c r="P73" s="93" t="s">
        <v>82</v>
      </c>
      <c r="Q73" s="93" t="s">
        <v>85</v>
      </c>
      <c r="R73" s="93" t="s">
        <v>88</v>
      </c>
      <c r="S73" s="93" t="s">
        <v>91</v>
      </c>
      <c r="T73" s="93" t="s">
        <v>94</v>
      </c>
      <c r="U73" s="93" t="s">
        <v>110</v>
      </c>
      <c r="V73" s="93" t="s">
        <v>142</v>
      </c>
      <c r="W73" s="93" t="s">
        <v>152</v>
      </c>
      <c r="X73" s="93" t="s">
        <v>228</v>
      </c>
      <c r="Y73" s="93" t="s">
        <v>232</v>
      </c>
      <c r="Z73" s="93" t="s">
        <v>235</v>
      </c>
      <c r="AA73" s="93" t="s">
        <v>238</v>
      </c>
      <c r="AB73" s="93" t="s">
        <v>241</v>
      </c>
      <c r="AC73" s="93" t="s">
        <v>244</v>
      </c>
      <c r="AD73" s="93" t="s">
        <v>247</v>
      </c>
      <c r="AE73" s="93" t="s">
        <v>250</v>
      </c>
      <c r="AF73" s="93" t="s">
        <v>253</v>
      </c>
      <c r="AG73" s="93" t="s">
        <v>256</v>
      </c>
      <c r="AH73" s="93" t="s">
        <v>259</v>
      </c>
      <c r="AI73" s="93" t="s">
        <v>262</v>
      </c>
      <c r="AJ73" s="93" t="s">
        <v>265</v>
      </c>
      <c r="AK73" s="93" t="s">
        <v>268</v>
      </c>
      <c r="AL73" s="93" t="s">
        <v>273</v>
      </c>
      <c r="AM73" s="93" t="s">
        <v>278</v>
      </c>
      <c r="AN73" s="93" t="s">
        <v>281</v>
      </c>
      <c r="AO73" s="93" t="s">
        <v>284</v>
      </c>
      <c r="AP73" s="93" t="s">
        <v>287</v>
      </c>
      <c r="AQ73" s="93" t="s">
        <v>290</v>
      </c>
      <c r="AR73" s="93" t="s">
        <v>293</v>
      </c>
      <c r="AS73" s="93" t="s">
        <v>296</v>
      </c>
      <c r="AT73" s="93" t="s">
        <v>411</v>
      </c>
      <c r="AU73" s="93" t="s">
        <v>416</v>
      </c>
      <c r="AV73" s="93" t="s">
        <v>421</v>
      </c>
      <c r="AW73" s="104" t="s">
        <v>425</v>
      </c>
    </row>
    <row r="74" spans="1:49" ht="60" customHeight="1" x14ac:dyDescent="0.35">
      <c r="A74" s="101" t="s">
        <v>2523</v>
      </c>
      <c r="B74" s="84" t="s">
        <v>2546</v>
      </c>
      <c r="C74" s="86" t="s">
        <v>2547</v>
      </c>
      <c r="D74" s="88" t="s">
        <v>2548</v>
      </c>
      <c r="E74" s="88" t="s">
        <v>2549</v>
      </c>
      <c r="F74" s="89" t="s">
        <v>2327</v>
      </c>
      <c r="G74" s="89" t="s">
        <v>2280</v>
      </c>
      <c r="H74" s="89">
        <v>2</v>
      </c>
      <c r="I74" s="91" t="str">
        <f>IF(COUNTIF(J74:AW74,"&lt;&gt;")=0,"",SUMPRODUCT(((Recommendations[ImplStatus]="Implemented")+(Recommendations[ImplStatus]="Compensated"))*ISNUMBER(MATCH(Recommendations[Id],J74:AW74,0)))/COUNTIF(J74:AW74,"&lt;&gt;"))</f>
        <v/>
      </c>
      <c r="J74" s="93"/>
      <c r="K74" s="93"/>
      <c r="L74" s="93"/>
      <c r="M74" s="93"/>
      <c r="N74" s="93"/>
      <c r="O74" s="93"/>
      <c r="P74" s="93"/>
      <c r="Q74" s="93"/>
      <c r="R74" s="93"/>
      <c r="S74" s="93"/>
      <c r="T74" s="93"/>
      <c r="U74" s="93"/>
      <c r="V74" s="93"/>
      <c r="W74" s="93"/>
      <c r="X74" s="93"/>
      <c r="Y74" s="93"/>
      <c r="Z74" s="93"/>
      <c r="AA74" s="93"/>
      <c r="AB74" s="93"/>
      <c r="AC74" s="93"/>
      <c r="AD74" s="93"/>
      <c r="AE74" s="93"/>
      <c r="AF74" s="93"/>
      <c r="AG74" s="93"/>
      <c r="AH74" s="93"/>
      <c r="AI74" s="93"/>
      <c r="AJ74" s="93"/>
      <c r="AK74" s="93"/>
      <c r="AL74" s="93"/>
      <c r="AM74" s="93"/>
      <c r="AN74" s="93"/>
      <c r="AO74" s="93"/>
      <c r="AP74" s="93"/>
      <c r="AQ74" s="93"/>
      <c r="AR74" s="93"/>
      <c r="AS74" s="93"/>
      <c r="AT74" s="93"/>
      <c r="AU74" s="93"/>
      <c r="AV74" s="93"/>
      <c r="AW74" s="104"/>
    </row>
    <row r="75" spans="1:49" ht="60" customHeight="1" x14ac:dyDescent="0.35">
      <c r="A75" s="101" t="s">
        <v>2523</v>
      </c>
      <c r="B75" s="84" t="s">
        <v>2550</v>
      </c>
      <c r="C75" s="86" t="s">
        <v>2551</v>
      </c>
      <c r="D75" s="88" t="s">
        <v>2552</v>
      </c>
      <c r="E75" s="88" t="s">
        <v>2553</v>
      </c>
      <c r="F75" s="89" t="s">
        <v>2327</v>
      </c>
      <c r="G75" s="89" t="s">
        <v>2280</v>
      </c>
      <c r="H75" s="89">
        <v>2</v>
      </c>
      <c r="I75" s="91" t="str">
        <f>IF(COUNTIF(J75:AW75,"&lt;&gt;")=0,"",SUMPRODUCT(((Recommendations[ImplStatus]="Implemented")+(Recommendations[ImplStatus]="Compensated"))*ISNUMBER(MATCH(Recommendations[Id],J75:AW75,0)))/COUNTIF(J75:AW75,"&lt;&gt;"))</f>
        <v/>
      </c>
      <c r="J75" s="93"/>
      <c r="K75" s="93"/>
      <c r="L75" s="93"/>
      <c r="M75" s="93"/>
      <c r="N75" s="93"/>
      <c r="O75" s="93"/>
      <c r="P75" s="93"/>
      <c r="Q75" s="93"/>
      <c r="R75" s="93"/>
      <c r="S75" s="93"/>
      <c r="T75" s="93"/>
      <c r="U75" s="93"/>
      <c r="V75" s="93"/>
      <c r="W75" s="93"/>
      <c r="X75" s="93"/>
      <c r="Y75" s="93"/>
      <c r="Z75" s="93"/>
      <c r="AA75" s="93"/>
      <c r="AB75" s="93"/>
      <c r="AC75" s="93"/>
      <c r="AD75" s="93"/>
      <c r="AE75" s="93"/>
      <c r="AF75" s="93"/>
      <c r="AG75" s="93"/>
      <c r="AH75" s="93"/>
      <c r="AI75" s="93"/>
      <c r="AJ75" s="93"/>
      <c r="AK75" s="93"/>
      <c r="AL75" s="93"/>
      <c r="AM75" s="93"/>
      <c r="AN75" s="93"/>
      <c r="AO75" s="93"/>
      <c r="AP75" s="93"/>
      <c r="AQ75" s="93"/>
      <c r="AR75" s="93"/>
      <c r="AS75" s="93"/>
      <c r="AT75" s="93"/>
      <c r="AU75" s="93"/>
      <c r="AV75" s="93"/>
      <c r="AW75" s="104"/>
    </row>
    <row r="76" spans="1:49" ht="60" customHeight="1" x14ac:dyDescent="0.35">
      <c r="A76" s="101" t="s">
        <v>2523</v>
      </c>
      <c r="B76" s="84" t="s">
        <v>2554</v>
      </c>
      <c r="C76" s="86" t="s">
        <v>2555</v>
      </c>
      <c r="D76" s="88" t="s">
        <v>2556</v>
      </c>
      <c r="E76" s="88" t="s">
        <v>2557</v>
      </c>
      <c r="F76" s="89" t="s">
        <v>2327</v>
      </c>
      <c r="G76" s="89" t="s">
        <v>2280</v>
      </c>
      <c r="H76" s="89">
        <v>2</v>
      </c>
      <c r="I76" s="91" t="str">
        <f>IF(COUNTIF(J76:AW76,"&lt;&gt;")=0,"",SUMPRODUCT(((Recommendations[ImplStatus]="Implemented")+(Recommendations[ImplStatus]="Compensated"))*ISNUMBER(MATCH(Recommendations[Id],J76:AW76,0)))/COUNTIF(J76:AW76,"&lt;&gt;"))</f>
        <v/>
      </c>
      <c r="J76" s="93"/>
      <c r="K76" s="93"/>
      <c r="L76" s="93"/>
      <c r="M76" s="93"/>
      <c r="N76" s="93"/>
      <c r="O76" s="93"/>
      <c r="P76" s="93"/>
      <c r="Q76" s="93"/>
      <c r="R76" s="93"/>
      <c r="S76" s="93"/>
      <c r="T76" s="93"/>
      <c r="U76" s="93"/>
      <c r="V76" s="93"/>
      <c r="W76" s="93"/>
      <c r="X76" s="93"/>
      <c r="Y76" s="93"/>
      <c r="Z76" s="93"/>
      <c r="AA76" s="93"/>
      <c r="AB76" s="93"/>
      <c r="AC76" s="93"/>
      <c r="AD76" s="93"/>
      <c r="AE76" s="93"/>
      <c r="AF76" s="93"/>
      <c r="AG76" s="93"/>
      <c r="AH76" s="93"/>
      <c r="AI76" s="93"/>
      <c r="AJ76" s="93"/>
      <c r="AK76" s="93"/>
      <c r="AL76" s="93"/>
      <c r="AM76" s="93"/>
      <c r="AN76" s="93"/>
      <c r="AO76" s="93"/>
      <c r="AP76" s="93"/>
      <c r="AQ76" s="93"/>
      <c r="AR76" s="93"/>
      <c r="AS76" s="93"/>
      <c r="AT76" s="93"/>
      <c r="AU76" s="93"/>
      <c r="AV76" s="93"/>
      <c r="AW76" s="104"/>
    </row>
    <row r="77" spans="1:49" ht="60" customHeight="1" x14ac:dyDescent="0.35">
      <c r="A77" s="101" t="s">
        <v>2523</v>
      </c>
      <c r="B77" s="84" t="s">
        <v>2558</v>
      </c>
      <c r="C77" s="86" t="s">
        <v>2559</v>
      </c>
      <c r="D77" s="88" t="s">
        <v>2560</v>
      </c>
      <c r="E77" s="88" t="s">
        <v>2561</v>
      </c>
      <c r="F77" s="89" t="s">
        <v>2327</v>
      </c>
      <c r="G77" s="89" t="s">
        <v>2280</v>
      </c>
      <c r="H77" s="89">
        <v>2</v>
      </c>
      <c r="I77" s="91">
        <f>IF(COUNTIF(J77:AW77,"&lt;&gt;")=0,"",SUMPRODUCT(((Recommendations[ImplStatus]="Implemented")+(Recommendations[ImplStatus]="Compensated"))*ISNUMBER(MATCH(Recommendations[Id],J77:AW77,0)))/COUNTIF(J77:AW77,"&lt;&gt;"))</f>
        <v>0</v>
      </c>
      <c r="J77" s="93" t="s">
        <v>187</v>
      </c>
      <c r="K77" s="93" t="s">
        <v>192</v>
      </c>
      <c r="L77" s="93" t="s">
        <v>309</v>
      </c>
      <c r="M77" s="93" t="s">
        <v>1029</v>
      </c>
      <c r="N77" s="93" t="s">
        <v>1198</v>
      </c>
      <c r="O77" s="93" t="s">
        <v>1475</v>
      </c>
      <c r="P77" s="93" t="s">
        <v>1792</v>
      </c>
      <c r="Q77" s="93"/>
      <c r="R77" s="93"/>
      <c r="S77" s="93"/>
      <c r="T77" s="93"/>
      <c r="U77" s="93"/>
      <c r="V77" s="93"/>
      <c r="W77" s="93"/>
      <c r="X77" s="93"/>
      <c r="Y77" s="93"/>
      <c r="Z77" s="93"/>
      <c r="AA77" s="93"/>
      <c r="AB77" s="93"/>
      <c r="AC77" s="93"/>
      <c r="AD77" s="93"/>
      <c r="AE77" s="93"/>
      <c r="AF77" s="93"/>
      <c r="AG77" s="93"/>
      <c r="AH77" s="93"/>
      <c r="AI77" s="93"/>
      <c r="AJ77" s="93"/>
      <c r="AK77" s="93"/>
      <c r="AL77" s="93"/>
      <c r="AM77" s="93"/>
      <c r="AN77" s="93"/>
      <c r="AO77" s="93"/>
      <c r="AP77" s="93"/>
      <c r="AQ77" s="93"/>
      <c r="AR77" s="93"/>
      <c r="AS77" s="93"/>
      <c r="AT77" s="93"/>
      <c r="AU77" s="93"/>
      <c r="AV77" s="93"/>
      <c r="AW77" s="104"/>
    </row>
    <row r="78" spans="1:49" ht="60" customHeight="1" x14ac:dyDescent="0.35">
      <c r="A78" s="101" t="s">
        <v>2523</v>
      </c>
      <c r="B78" s="84" t="s">
        <v>2562</v>
      </c>
      <c r="C78" s="86" t="s">
        <v>2563</v>
      </c>
      <c r="D78" s="88" t="s">
        <v>2564</v>
      </c>
      <c r="E78" s="88" t="s">
        <v>2565</v>
      </c>
      <c r="F78" s="89" t="s">
        <v>2327</v>
      </c>
      <c r="G78" s="89" t="s">
        <v>2312</v>
      </c>
      <c r="H78" s="89">
        <v>2</v>
      </c>
      <c r="I78" s="91" t="str">
        <f>IF(COUNTIF(J78:AW78,"&lt;&gt;")=0,"",SUMPRODUCT(((Recommendations[ImplStatus]="Implemented")+(Recommendations[ImplStatus]="Compensated"))*ISNUMBER(MATCH(Recommendations[Id],J78:AW78,0)))/COUNTIF(J78:AW78,"&lt;&gt;"))</f>
        <v/>
      </c>
      <c r="J78" s="93"/>
      <c r="K78" s="93"/>
      <c r="L78" s="93"/>
      <c r="M78" s="93"/>
      <c r="N78" s="93"/>
      <c r="O78" s="93"/>
      <c r="P78" s="93"/>
      <c r="Q78" s="93"/>
      <c r="R78" s="93"/>
      <c r="S78" s="93"/>
      <c r="T78" s="93"/>
      <c r="U78" s="93"/>
      <c r="V78" s="93"/>
      <c r="W78" s="93"/>
      <c r="X78" s="93"/>
      <c r="Y78" s="93"/>
      <c r="Z78" s="93"/>
      <c r="AA78" s="93"/>
      <c r="AB78" s="93"/>
      <c r="AC78" s="93"/>
      <c r="AD78" s="93"/>
      <c r="AE78" s="93"/>
      <c r="AF78" s="93"/>
      <c r="AG78" s="93"/>
      <c r="AH78" s="93"/>
      <c r="AI78" s="93"/>
      <c r="AJ78" s="93"/>
      <c r="AK78" s="93"/>
      <c r="AL78" s="93"/>
      <c r="AM78" s="93"/>
      <c r="AN78" s="93"/>
      <c r="AO78" s="93"/>
      <c r="AP78" s="93"/>
      <c r="AQ78" s="93"/>
      <c r="AR78" s="93"/>
      <c r="AS78" s="93"/>
      <c r="AT78" s="93"/>
      <c r="AU78" s="93"/>
      <c r="AV78" s="93"/>
      <c r="AW78" s="104"/>
    </row>
    <row r="79" spans="1:49" ht="60" customHeight="1" x14ac:dyDescent="0.35">
      <c r="A79" s="101" t="s">
        <v>2523</v>
      </c>
      <c r="B79" s="84" t="s">
        <v>2566</v>
      </c>
      <c r="C79" s="86" t="s">
        <v>2567</v>
      </c>
      <c r="D79" s="88" t="s">
        <v>2568</v>
      </c>
      <c r="E79" s="88" t="s">
        <v>2569</v>
      </c>
      <c r="F79" s="89" t="s">
        <v>2327</v>
      </c>
      <c r="G79" s="89" t="s">
        <v>2280</v>
      </c>
      <c r="H79" s="89">
        <v>2</v>
      </c>
      <c r="I79" s="91" t="str">
        <f>IF(COUNTIF(J79:AW79,"&lt;&gt;")=0,"",SUMPRODUCT(((Recommendations[ImplStatus]="Implemented")+(Recommendations[ImplStatus]="Compensated"))*ISNUMBER(MATCH(Recommendations[Id],J79:AW79,0)))/COUNTIF(J79:AW79,"&lt;&gt;"))</f>
        <v/>
      </c>
      <c r="J79" s="93"/>
      <c r="K79" s="93"/>
      <c r="L79" s="93"/>
      <c r="M79" s="93"/>
      <c r="N79" s="93"/>
      <c r="O79" s="93"/>
      <c r="P79" s="93"/>
      <c r="Q79" s="93"/>
      <c r="R79" s="93"/>
      <c r="S79" s="93"/>
      <c r="T79" s="93"/>
      <c r="U79" s="93"/>
      <c r="V79" s="93"/>
      <c r="W79" s="93"/>
      <c r="X79" s="93"/>
      <c r="Y79" s="93"/>
      <c r="Z79" s="93"/>
      <c r="AA79" s="93"/>
      <c r="AB79" s="93"/>
      <c r="AC79" s="93"/>
      <c r="AD79" s="93"/>
      <c r="AE79" s="93"/>
      <c r="AF79" s="93"/>
      <c r="AG79" s="93"/>
      <c r="AH79" s="93"/>
      <c r="AI79" s="93"/>
      <c r="AJ79" s="93"/>
      <c r="AK79" s="93"/>
      <c r="AL79" s="93"/>
      <c r="AM79" s="93"/>
      <c r="AN79" s="93"/>
      <c r="AO79" s="93"/>
      <c r="AP79" s="93"/>
      <c r="AQ79" s="93"/>
      <c r="AR79" s="93"/>
      <c r="AS79" s="93"/>
      <c r="AT79" s="93"/>
      <c r="AU79" s="93"/>
      <c r="AV79" s="93"/>
      <c r="AW79" s="104"/>
    </row>
    <row r="80" spans="1:49" ht="60" customHeight="1" x14ac:dyDescent="0.35">
      <c r="A80" s="101" t="s">
        <v>2523</v>
      </c>
      <c r="B80" s="84" t="s">
        <v>2570</v>
      </c>
      <c r="C80" s="86" t="s">
        <v>2571</v>
      </c>
      <c r="D80" s="88" t="s">
        <v>2572</v>
      </c>
      <c r="E80" s="88" t="s">
        <v>2573</v>
      </c>
      <c r="F80" s="89" t="s">
        <v>2327</v>
      </c>
      <c r="G80" s="89" t="s">
        <v>2280</v>
      </c>
      <c r="H80" s="89">
        <v>3</v>
      </c>
      <c r="I80" s="91" t="str">
        <f>IF(COUNTIF(J80:AW80,"&lt;&gt;")=0,"",SUMPRODUCT(((Recommendations[ImplStatus]="Implemented")+(Recommendations[ImplStatus]="Compensated"))*ISNUMBER(MATCH(Recommendations[Id],J80:AW80,0)))/COUNTIF(J80:AW80,"&lt;&gt;"))</f>
        <v/>
      </c>
      <c r="J80" s="93"/>
      <c r="K80" s="93"/>
      <c r="L80" s="93"/>
      <c r="M80" s="93"/>
      <c r="N80" s="93"/>
      <c r="O80" s="93"/>
      <c r="P80" s="93"/>
      <c r="Q80" s="93"/>
      <c r="R80" s="93"/>
      <c r="S80" s="93"/>
      <c r="T80" s="93"/>
      <c r="U80" s="93"/>
      <c r="V80" s="93"/>
      <c r="W80" s="93"/>
      <c r="X80" s="93"/>
      <c r="Y80" s="93"/>
      <c r="Z80" s="93"/>
      <c r="AA80" s="93"/>
      <c r="AB80" s="93"/>
      <c r="AC80" s="93"/>
      <c r="AD80" s="93"/>
      <c r="AE80" s="93"/>
      <c r="AF80" s="93"/>
      <c r="AG80" s="93"/>
      <c r="AH80" s="93"/>
      <c r="AI80" s="93"/>
      <c r="AJ80" s="93"/>
      <c r="AK80" s="93"/>
      <c r="AL80" s="93"/>
      <c r="AM80" s="93"/>
      <c r="AN80" s="93"/>
      <c r="AO80" s="93"/>
      <c r="AP80" s="93"/>
      <c r="AQ80" s="93"/>
      <c r="AR80" s="93"/>
      <c r="AS80" s="93"/>
      <c r="AT80" s="93"/>
      <c r="AU80" s="93"/>
      <c r="AV80" s="93"/>
      <c r="AW80" s="104"/>
    </row>
    <row r="81" spans="1:49" ht="60" customHeight="1" outlineLevel="1" x14ac:dyDescent="0.35">
      <c r="A81" s="100" t="s">
        <v>2574</v>
      </c>
      <c r="B81" s="83">
        <v>9</v>
      </c>
      <c r="C81" s="85" t="s">
        <v>21</v>
      </c>
      <c r="D81" s="87" t="s">
        <v>2575</v>
      </c>
      <c r="E81" s="87" t="s">
        <v>21</v>
      </c>
      <c r="F81" s="83" t="s">
        <v>21</v>
      </c>
      <c r="G81" s="83" t="s">
        <v>21</v>
      </c>
      <c r="H81" s="83"/>
      <c r="I81" s="90" t="str">
        <f>IF(COUNTIF(J81:AW81,"&lt;&gt;")=0,"",SUMPRODUCT(((Recommendations[ImplStatus]="Implemented")+(Recommendations[ImplStatus]="Compensated"))*ISNUMBER(MATCH(Recommendations[Id],J81:AW81,0)))/COUNTIF(J81:AW81,"&lt;&gt;"))</f>
        <v/>
      </c>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c r="AL81" s="92"/>
      <c r="AM81" s="92"/>
      <c r="AN81" s="92"/>
      <c r="AO81" s="92"/>
      <c r="AP81" s="92"/>
      <c r="AQ81" s="92"/>
      <c r="AR81" s="92"/>
      <c r="AS81" s="92"/>
      <c r="AT81" s="92"/>
      <c r="AU81" s="92"/>
      <c r="AV81" s="92"/>
      <c r="AW81" s="103"/>
    </row>
    <row r="82" spans="1:49" ht="60" customHeight="1" x14ac:dyDescent="0.35">
      <c r="A82" s="101" t="s">
        <v>2574</v>
      </c>
      <c r="B82" s="84" t="s">
        <v>2576</v>
      </c>
      <c r="C82" s="86" t="s">
        <v>2577</v>
      </c>
      <c r="D82" s="88" t="s">
        <v>2578</v>
      </c>
      <c r="E82" s="88" t="s">
        <v>2579</v>
      </c>
      <c r="F82" s="89" t="s">
        <v>2295</v>
      </c>
      <c r="G82" s="89" t="s">
        <v>2312</v>
      </c>
      <c r="H82" s="89">
        <v>1</v>
      </c>
      <c r="I82" s="91" t="str">
        <f>IF(COUNTIF(J82:AW82,"&lt;&gt;")=0,"",SUMPRODUCT(((Recommendations[ImplStatus]="Implemented")+(Recommendations[ImplStatus]="Compensated"))*ISNUMBER(MATCH(Recommendations[Id],J82:AW82,0)))/COUNTIF(J82:AW82,"&lt;&gt;"))</f>
        <v/>
      </c>
      <c r="J82" s="93"/>
      <c r="K82" s="93"/>
      <c r="L82" s="93"/>
      <c r="M82" s="93"/>
      <c r="N82" s="93"/>
      <c r="O82" s="93"/>
      <c r="P82" s="93"/>
      <c r="Q82" s="93"/>
      <c r="R82" s="93"/>
      <c r="S82" s="93"/>
      <c r="T82" s="93"/>
      <c r="U82" s="93"/>
      <c r="V82" s="93"/>
      <c r="W82" s="93"/>
      <c r="X82" s="93"/>
      <c r="Y82" s="93"/>
      <c r="Z82" s="93"/>
      <c r="AA82" s="93"/>
      <c r="AB82" s="93"/>
      <c r="AC82" s="93"/>
      <c r="AD82" s="93"/>
      <c r="AE82" s="93"/>
      <c r="AF82" s="93"/>
      <c r="AG82" s="93"/>
      <c r="AH82" s="93"/>
      <c r="AI82" s="93"/>
      <c r="AJ82" s="93"/>
      <c r="AK82" s="93"/>
      <c r="AL82" s="93"/>
      <c r="AM82" s="93"/>
      <c r="AN82" s="93"/>
      <c r="AO82" s="93"/>
      <c r="AP82" s="93"/>
      <c r="AQ82" s="93"/>
      <c r="AR82" s="93"/>
      <c r="AS82" s="93"/>
      <c r="AT82" s="93"/>
      <c r="AU82" s="93"/>
      <c r="AV82" s="93"/>
      <c r="AW82" s="104"/>
    </row>
    <row r="83" spans="1:49" ht="60" customHeight="1" x14ac:dyDescent="0.35">
      <c r="A83" s="101" t="s">
        <v>2574</v>
      </c>
      <c r="B83" s="84" t="s">
        <v>2580</v>
      </c>
      <c r="C83" s="86" t="s">
        <v>2581</v>
      </c>
      <c r="D83" s="88" t="s">
        <v>2582</v>
      </c>
      <c r="E83" s="88" t="s">
        <v>2583</v>
      </c>
      <c r="F83" s="89" t="s">
        <v>2269</v>
      </c>
      <c r="G83" s="89" t="s">
        <v>2312</v>
      </c>
      <c r="H83" s="89">
        <v>1</v>
      </c>
      <c r="I83" s="91" t="str">
        <f>IF(COUNTIF(J83:AW83,"&lt;&gt;")=0,"",SUMPRODUCT(((Recommendations[ImplStatus]="Implemented")+(Recommendations[ImplStatus]="Compensated"))*ISNUMBER(MATCH(Recommendations[Id],J83:AW83,0)))/COUNTIF(J83:AW83,"&lt;&gt;"))</f>
        <v/>
      </c>
      <c r="J83" s="93"/>
      <c r="K83" s="93"/>
      <c r="L83" s="93"/>
      <c r="M83" s="93"/>
      <c r="N83" s="93"/>
      <c r="O83" s="93"/>
      <c r="P83" s="93"/>
      <c r="Q83" s="93"/>
      <c r="R83" s="93"/>
      <c r="S83" s="93"/>
      <c r="T83" s="93"/>
      <c r="U83" s="93"/>
      <c r="V83" s="93"/>
      <c r="W83" s="93"/>
      <c r="X83" s="93"/>
      <c r="Y83" s="93"/>
      <c r="Z83" s="93"/>
      <c r="AA83" s="93"/>
      <c r="AB83" s="93"/>
      <c r="AC83" s="93"/>
      <c r="AD83" s="93"/>
      <c r="AE83" s="93"/>
      <c r="AF83" s="93"/>
      <c r="AG83" s="93"/>
      <c r="AH83" s="93"/>
      <c r="AI83" s="93"/>
      <c r="AJ83" s="93"/>
      <c r="AK83" s="93"/>
      <c r="AL83" s="93"/>
      <c r="AM83" s="93"/>
      <c r="AN83" s="93"/>
      <c r="AO83" s="93"/>
      <c r="AP83" s="93"/>
      <c r="AQ83" s="93"/>
      <c r="AR83" s="93"/>
      <c r="AS83" s="93"/>
      <c r="AT83" s="93"/>
      <c r="AU83" s="93"/>
      <c r="AV83" s="93"/>
      <c r="AW83" s="104"/>
    </row>
    <row r="84" spans="1:49" ht="60" customHeight="1" x14ac:dyDescent="0.35">
      <c r="A84" s="101" t="s">
        <v>2574</v>
      </c>
      <c r="B84" s="84" t="s">
        <v>2584</v>
      </c>
      <c r="C84" s="86" t="s">
        <v>2585</v>
      </c>
      <c r="D84" s="88" t="s">
        <v>2586</v>
      </c>
      <c r="E84" s="88" t="s">
        <v>2587</v>
      </c>
      <c r="F84" s="89" t="s">
        <v>2541</v>
      </c>
      <c r="G84" s="89" t="s">
        <v>2312</v>
      </c>
      <c r="H84" s="89">
        <v>2</v>
      </c>
      <c r="I84" s="91" t="str">
        <f>IF(COUNTIF(J84:AW84,"&lt;&gt;")=0,"",SUMPRODUCT(((Recommendations[ImplStatus]="Implemented")+(Recommendations[ImplStatus]="Compensated"))*ISNUMBER(MATCH(Recommendations[Id],J84:AW84,0)))/COUNTIF(J84:AW84,"&lt;&gt;"))</f>
        <v/>
      </c>
      <c r="J84" s="93"/>
      <c r="K84" s="93"/>
      <c r="L84" s="93"/>
      <c r="M84" s="93"/>
      <c r="N84" s="93"/>
      <c r="O84" s="93"/>
      <c r="P84" s="93"/>
      <c r="Q84" s="93"/>
      <c r="R84" s="93"/>
      <c r="S84" s="93"/>
      <c r="T84" s="93"/>
      <c r="U84" s="93"/>
      <c r="V84" s="93"/>
      <c r="W84" s="93"/>
      <c r="X84" s="93"/>
      <c r="Y84" s="93"/>
      <c r="Z84" s="93"/>
      <c r="AA84" s="93"/>
      <c r="AB84" s="93"/>
      <c r="AC84" s="93"/>
      <c r="AD84" s="93"/>
      <c r="AE84" s="93"/>
      <c r="AF84" s="93"/>
      <c r="AG84" s="93"/>
      <c r="AH84" s="93"/>
      <c r="AI84" s="93"/>
      <c r="AJ84" s="93"/>
      <c r="AK84" s="93"/>
      <c r="AL84" s="93"/>
      <c r="AM84" s="93"/>
      <c r="AN84" s="93"/>
      <c r="AO84" s="93"/>
      <c r="AP84" s="93"/>
      <c r="AQ84" s="93"/>
      <c r="AR84" s="93"/>
      <c r="AS84" s="93"/>
      <c r="AT84" s="93"/>
      <c r="AU84" s="93"/>
      <c r="AV84" s="93"/>
      <c r="AW84" s="104"/>
    </row>
    <row r="85" spans="1:49" ht="60" customHeight="1" x14ac:dyDescent="0.35">
      <c r="A85" s="101" t="s">
        <v>2574</v>
      </c>
      <c r="B85" s="84" t="s">
        <v>2588</v>
      </c>
      <c r="C85" s="86" t="s">
        <v>2589</v>
      </c>
      <c r="D85" s="88" t="s">
        <v>2590</v>
      </c>
      <c r="E85" s="88" t="s">
        <v>2591</v>
      </c>
      <c r="F85" s="89" t="s">
        <v>2295</v>
      </c>
      <c r="G85" s="89" t="s">
        <v>2312</v>
      </c>
      <c r="H85" s="89">
        <v>2</v>
      </c>
      <c r="I85" s="91" t="str">
        <f>IF(COUNTIF(J85:AW85,"&lt;&gt;")=0,"",SUMPRODUCT(((Recommendations[ImplStatus]="Implemented")+(Recommendations[ImplStatus]="Compensated"))*ISNUMBER(MATCH(Recommendations[Id],J85:AW85,0)))/COUNTIF(J85:AW85,"&lt;&gt;"))</f>
        <v/>
      </c>
      <c r="J85" s="93"/>
      <c r="K85" s="93"/>
      <c r="L85" s="93"/>
      <c r="M85" s="93"/>
      <c r="N85" s="93"/>
      <c r="O85" s="93"/>
      <c r="P85" s="93"/>
      <c r="Q85" s="93"/>
      <c r="R85" s="93"/>
      <c r="S85" s="93"/>
      <c r="T85" s="93"/>
      <c r="U85" s="93"/>
      <c r="V85" s="93"/>
      <c r="W85" s="93"/>
      <c r="X85" s="93"/>
      <c r="Y85" s="93"/>
      <c r="Z85" s="93"/>
      <c r="AA85" s="93"/>
      <c r="AB85" s="93"/>
      <c r="AC85" s="93"/>
      <c r="AD85" s="93"/>
      <c r="AE85" s="93"/>
      <c r="AF85" s="93"/>
      <c r="AG85" s="93"/>
      <c r="AH85" s="93"/>
      <c r="AI85" s="93"/>
      <c r="AJ85" s="93"/>
      <c r="AK85" s="93"/>
      <c r="AL85" s="93"/>
      <c r="AM85" s="93"/>
      <c r="AN85" s="93"/>
      <c r="AO85" s="93"/>
      <c r="AP85" s="93"/>
      <c r="AQ85" s="93"/>
      <c r="AR85" s="93"/>
      <c r="AS85" s="93"/>
      <c r="AT85" s="93"/>
      <c r="AU85" s="93"/>
      <c r="AV85" s="93"/>
      <c r="AW85" s="104"/>
    </row>
    <row r="86" spans="1:49" ht="60" customHeight="1" x14ac:dyDescent="0.35">
      <c r="A86" s="101" t="s">
        <v>2574</v>
      </c>
      <c r="B86" s="84" t="s">
        <v>2592</v>
      </c>
      <c r="C86" s="86" t="s">
        <v>2593</v>
      </c>
      <c r="D86" s="88" t="s">
        <v>2594</v>
      </c>
      <c r="E86" s="88" t="s">
        <v>2595</v>
      </c>
      <c r="F86" s="89" t="s">
        <v>2541</v>
      </c>
      <c r="G86" s="89" t="s">
        <v>2312</v>
      </c>
      <c r="H86" s="89">
        <v>2</v>
      </c>
      <c r="I86" s="91" t="str">
        <f>IF(COUNTIF(J86:AW86,"&lt;&gt;")=0,"",SUMPRODUCT(((Recommendations[ImplStatus]="Implemented")+(Recommendations[ImplStatus]="Compensated"))*ISNUMBER(MATCH(Recommendations[Id],J86:AW86,0)))/COUNTIF(J86:AW86,"&lt;&gt;"))</f>
        <v/>
      </c>
      <c r="J86" s="93"/>
      <c r="K86" s="93"/>
      <c r="L86" s="93"/>
      <c r="M86" s="93"/>
      <c r="N86" s="93"/>
      <c r="O86" s="93"/>
      <c r="P86" s="93"/>
      <c r="Q86" s="93"/>
      <c r="R86" s="93"/>
      <c r="S86" s="93"/>
      <c r="T86" s="93"/>
      <c r="U86" s="93"/>
      <c r="V86" s="93"/>
      <c r="W86" s="93"/>
      <c r="X86" s="93"/>
      <c r="Y86" s="93"/>
      <c r="Z86" s="93"/>
      <c r="AA86" s="93"/>
      <c r="AB86" s="93"/>
      <c r="AC86" s="93"/>
      <c r="AD86" s="93"/>
      <c r="AE86" s="93"/>
      <c r="AF86" s="93"/>
      <c r="AG86" s="93"/>
      <c r="AH86" s="93"/>
      <c r="AI86" s="93"/>
      <c r="AJ86" s="93"/>
      <c r="AK86" s="93"/>
      <c r="AL86" s="93"/>
      <c r="AM86" s="93"/>
      <c r="AN86" s="93"/>
      <c r="AO86" s="93"/>
      <c r="AP86" s="93"/>
      <c r="AQ86" s="93"/>
      <c r="AR86" s="93"/>
      <c r="AS86" s="93"/>
      <c r="AT86" s="93"/>
      <c r="AU86" s="93"/>
      <c r="AV86" s="93"/>
      <c r="AW86" s="104"/>
    </row>
    <row r="87" spans="1:49" ht="60" customHeight="1" x14ac:dyDescent="0.35">
      <c r="A87" s="101" t="s">
        <v>2574</v>
      </c>
      <c r="B87" s="84" t="s">
        <v>2596</v>
      </c>
      <c r="C87" s="86" t="s">
        <v>2597</v>
      </c>
      <c r="D87" s="88" t="s">
        <v>2598</v>
      </c>
      <c r="E87" s="88" t="s">
        <v>2599</v>
      </c>
      <c r="F87" s="89" t="s">
        <v>2541</v>
      </c>
      <c r="G87" s="89" t="s">
        <v>2312</v>
      </c>
      <c r="H87" s="89">
        <v>2</v>
      </c>
      <c r="I87" s="91" t="str">
        <f>IF(COUNTIF(J87:AW87,"&lt;&gt;")=0,"",SUMPRODUCT(((Recommendations[ImplStatus]="Implemented")+(Recommendations[ImplStatus]="Compensated"))*ISNUMBER(MATCH(Recommendations[Id],J87:AW87,0)))/COUNTIF(J87:AW87,"&lt;&gt;"))</f>
        <v/>
      </c>
      <c r="J87" s="93"/>
      <c r="K87" s="93"/>
      <c r="L87" s="93"/>
      <c r="M87" s="93"/>
      <c r="N87" s="93"/>
      <c r="O87" s="93"/>
      <c r="P87" s="93"/>
      <c r="Q87" s="93"/>
      <c r="R87" s="93"/>
      <c r="S87" s="93"/>
      <c r="T87" s="93"/>
      <c r="U87" s="93"/>
      <c r="V87" s="93"/>
      <c r="W87" s="93"/>
      <c r="X87" s="93"/>
      <c r="Y87" s="93"/>
      <c r="Z87" s="93"/>
      <c r="AA87" s="93"/>
      <c r="AB87" s="93"/>
      <c r="AC87" s="93"/>
      <c r="AD87" s="93"/>
      <c r="AE87" s="93"/>
      <c r="AF87" s="93"/>
      <c r="AG87" s="93"/>
      <c r="AH87" s="93"/>
      <c r="AI87" s="93"/>
      <c r="AJ87" s="93"/>
      <c r="AK87" s="93"/>
      <c r="AL87" s="93"/>
      <c r="AM87" s="93"/>
      <c r="AN87" s="93"/>
      <c r="AO87" s="93"/>
      <c r="AP87" s="93"/>
      <c r="AQ87" s="93"/>
      <c r="AR87" s="93"/>
      <c r="AS87" s="93"/>
      <c r="AT87" s="93"/>
      <c r="AU87" s="93"/>
      <c r="AV87" s="93"/>
      <c r="AW87" s="104"/>
    </row>
    <row r="88" spans="1:49" ht="60" customHeight="1" x14ac:dyDescent="0.35">
      <c r="A88" s="101" t="s">
        <v>2574</v>
      </c>
      <c r="B88" s="84" t="s">
        <v>2600</v>
      </c>
      <c r="C88" s="86" t="s">
        <v>2601</v>
      </c>
      <c r="D88" s="88" t="s">
        <v>2602</v>
      </c>
      <c r="E88" s="88" t="s">
        <v>2603</v>
      </c>
      <c r="F88" s="89" t="s">
        <v>2541</v>
      </c>
      <c r="G88" s="89" t="s">
        <v>2312</v>
      </c>
      <c r="H88" s="89">
        <v>3</v>
      </c>
      <c r="I88" s="91" t="str">
        <f>IF(COUNTIF(J88:AW88,"&lt;&gt;")=0,"",SUMPRODUCT(((Recommendations[ImplStatus]="Implemented")+(Recommendations[ImplStatus]="Compensated"))*ISNUMBER(MATCH(Recommendations[Id],J88:AW88,0)))/COUNTIF(J88:AW88,"&lt;&gt;"))</f>
        <v/>
      </c>
      <c r="J88" s="93"/>
      <c r="K88" s="93"/>
      <c r="L88" s="93"/>
      <c r="M88" s="93"/>
      <c r="N88" s="93"/>
      <c r="O88" s="93"/>
      <c r="P88" s="93"/>
      <c r="Q88" s="93"/>
      <c r="R88" s="93"/>
      <c r="S88" s="93"/>
      <c r="T88" s="93"/>
      <c r="U88" s="93"/>
      <c r="V88" s="93"/>
      <c r="W88" s="93"/>
      <c r="X88" s="93"/>
      <c r="Y88" s="93"/>
      <c r="Z88" s="93"/>
      <c r="AA88" s="93"/>
      <c r="AB88" s="93"/>
      <c r="AC88" s="93"/>
      <c r="AD88" s="93"/>
      <c r="AE88" s="93"/>
      <c r="AF88" s="93"/>
      <c r="AG88" s="93"/>
      <c r="AH88" s="93"/>
      <c r="AI88" s="93"/>
      <c r="AJ88" s="93"/>
      <c r="AK88" s="93"/>
      <c r="AL88" s="93"/>
      <c r="AM88" s="93"/>
      <c r="AN88" s="93"/>
      <c r="AO88" s="93"/>
      <c r="AP88" s="93"/>
      <c r="AQ88" s="93"/>
      <c r="AR88" s="93"/>
      <c r="AS88" s="93"/>
      <c r="AT88" s="93"/>
      <c r="AU88" s="93"/>
      <c r="AV88" s="93"/>
      <c r="AW88" s="104"/>
    </row>
    <row r="89" spans="1:49" ht="60" customHeight="1" outlineLevel="1" x14ac:dyDescent="0.35">
      <c r="A89" s="100" t="s">
        <v>2604</v>
      </c>
      <c r="B89" s="83">
        <v>10</v>
      </c>
      <c r="C89" s="85" t="s">
        <v>21</v>
      </c>
      <c r="D89" s="87" t="s">
        <v>2605</v>
      </c>
      <c r="E89" s="87" t="s">
        <v>21</v>
      </c>
      <c r="F89" s="83" t="s">
        <v>21</v>
      </c>
      <c r="G89" s="83" t="s">
        <v>21</v>
      </c>
      <c r="H89" s="83"/>
      <c r="I89" s="90" t="str">
        <f>IF(COUNTIF(J89:AW89,"&lt;&gt;")=0,"",SUMPRODUCT(((Recommendations[ImplStatus]="Implemented")+(Recommendations[ImplStatus]="Compensated"))*ISNUMBER(MATCH(Recommendations[Id],J89:AW89,0)))/COUNTIF(J89:AW89,"&lt;&gt;"))</f>
        <v/>
      </c>
      <c r="J89" s="92"/>
      <c r="K89" s="92"/>
      <c r="L89" s="92"/>
      <c r="M89" s="92"/>
      <c r="N89" s="92"/>
      <c r="O89" s="92"/>
      <c r="P89" s="92"/>
      <c r="Q89" s="92"/>
      <c r="R89" s="92"/>
      <c r="S89" s="92"/>
      <c r="T89" s="92"/>
      <c r="U89" s="92"/>
      <c r="V89" s="92"/>
      <c r="W89" s="92"/>
      <c r="X89" s="92"/>
      <c r="Y89" s="92"/>
      <c r="Z89" s="92"/>
      <c r="AA89" s="92"/>
      <c r="AB89" s="92"/>
      <c r="AC89" s="92"/>
      <c r="AD89" s="92"/>
      <c r="AE89" s="92"/>
      <c r="AF89" s="92"/>
      <c r="AG89" s="92"/>
      <c r="AH89" s="92"/>
      <c r="AI89" s="92"/>
      <c r="AJ89" s="92"/>
      <c r="AK89" s="92"/>
      <c r="AL89" s="92"/>
      <c r="AM89" s="92"/>
      <c r="AN89" s="92"/>
      <c r="AO89" s="92"/>
      <c r="AP89" s="92"/>
      <c r="AQ89" s="92"/>
      <c r="AR89" s="92"/>
      <c r="AS89" s="92"/>
      <c r="AT89" s="92"/>
      <c r="AU89" s="92"/>
      <c r="AV89" s="92"/>
      <c r="AW89" s="103"/>
    </row>
    <row r="90" spans="1:49" ht="60" customHeight="1" x14ac:dyDescent="0.35">
      <c r="A90" s="101" t="s">
        <v>2604</v>
      </c>
      <c r="B90" s="84" t="s">
        <v>2606</v>
      </c>
      <c r="C90" s="86" t="s">
        <v>2607</v>
      </c>
      <c r="D90" s="88" t="s">
        <v>2608</v>
      </c>
      <c r="E90" s="88" t="s">
        <v>2609</v>
      </c>
      <c r="F90" s="89" t="s">
        <v>2269</v>
      </c>
      <c r="G90" s="89" t="s">
        <v>2280</v>
      </c>
      <c r="H90" s="89">
        <v>1</v>
      </c>
      <c r="I90" s="91" t="str">
        <f>IF(COUNTIF(J90:AW90,"&lt;&gt;")=0,"",SUMPRODUCT(((Recommendations[ImplStatus]="Implemented")+(Recommendations[ImplStatus]="Compensated"))*ISNUMBER(MATCH(Recommendations[Id],J90:AW90,0)))/COUNTIF(J90:AW90,"&lt;&gt;"))</f>
        <v/>
      </c>
      <c r="J90" s="93"/>
      <c r="K90" s="93"/>
      <c r="L90" s="93"/>
      <c r="M90" s="93"/>
      <c r="N90" s="93"/>
      <c r="O90" s="93"/>
      <c r="P90" s="93"/>
      <c r="Q90" s="93"/>
      <c r="R90" s="93"/>
      <c r="S90" s="93"/>
      <c r="T90" s="93"/>
      <c r="U90" s="93"/>
      <c r="V90" s="93"/>
      <c r="W90" s="93"/>
      <c r="X90" s="93"/>
      <c r="Y90" s="93"/>
      <c r="Z90" s="93"/>
      <c r="AA90" s="93"/>
      <c r="AB90" s="93"/>
      <c r="AC90" s="93"/>
      <c r="AD90" s="93"/>
      <c r="AE90" s="93"/>
      <c r="AF90" s="93"/>
      <c r="AG90" s="93"/>
      <c r="AH90" s="93"/>
      <c r="AI90" s="93"/>
      <c r="AJ90" s="93"/>
      <c r="AK90" s="93"/>
      <c r="AL90" s="93"/>
      <c r="AM90" s="93"/>
      <c r="AN90" s="93"/>
      <c r="AO90" s="93"/>
      <c r="AP90" s="93"/>
      <c r="AQ90" s="93"/>
      <c r="AR90" s="93"/>
      <c r="AS90" s="93"/>
      <c r="AT90" s="93"/>
      <c r="AU90" s="93"/>
      <c r="AV90" s="93"/>
      <c r="AW90" s="104"/>
    </row>
    <row r="91" spans="1:49" ht="60" customHeight="1" x14ac:dyDescent="0.35">
      <c r="A91" s="101" t="s">
        <v>2604</v>
      </c>
      <c r="B91" s="84" t="s">
        <v>2610</v>
      </c>
      <c r="C91" s="86" t="s">
        <v>2611</v>
      </c>
      <c r="D91" s="88" t="s">
        <v>2612</v>
      </c>
      <c r="E91" s="88" t="s">
        <v>2613</v>
      </c>
      <c r="F91" s="89" t="s">
        <v>2269</v>
      </c>
      <c r="G91" s="89" t="s">
        <v>2312</v>
      </c>
      <c r="H91" s="89">
        <v>1</v>
      </c>
      <c r="I91" s="91" t="str">
        <f>IF(COUNTIF(J91:AW91,"&lt;&gt;")=0,"",SUMPRODUCT(((Recommendations[ImplStatus]="Implemented")+(Recommendations[ImplStatus]="Compensated"))*ISNUMBER(MATCH(Recommendations[Id],J91:AW91,0)))/COUNTIF(J91:AW91,"&lt;&gt;"))</f>
        <v/>
      </c>
      <c r="J91" s="93"/>
      <c r="K91" s="93"/>
      <c r="L91" s="93"/>
      <c r="M91" s="93"/>
      <c r="N91" s="93"/>
      <c r="O91" s="93"/>
      <c r="P91" s="93"/>
      <c r="Q91" s="93"/>
      <c r="R91" s="93"/>
      <c r="S91" s="93"/>
      <c r="T91" s="93"/>
      <c r="U91" s="93"/>
      <c r="V91" s="93"/>
      <c r="W91" s="93"/>
      <c r="X91" s="93"/>
      <c r="Y91" s="93"/>
      <c r="Z91" s="93"/>
      <c r="AA91" s="93"/>
      <c r="AB91" s="93"/>
      <c r="AC91" s="93"/>
      <c r="AD91" s="93"/>
      <c r="AE91" s="93"/>
      <c r="AF91" s="93"/>
      <c r="AG91" s="93"/>
      <c r="AH91" s="93"/>
      <c r="AI91" s="93"/>
      <c r="AJ91" s="93"/>
      <c r="AK91" s="93"/>
      <c r="AL91" s="93"/>
      <c r="AM91" s="93"/>
      <c r="AN91" s="93"/>
      <c r="AO91" s="93"/>
      <c r="AP91" s="93"/>
      <c r="AQ91" s="93"/>
      <c r="AR91" s="93"/>
      <c r="AS91" s="93"/>
      <c r="AT91" s="93"/>
      <c r="AU91" s="93"/>
      <c r="AV91" s="93"/>
      <c r="AW91" s="104"/>
    </row>
    <row r="92" spans="1:49" ht="60" customHeight="1" x14ac:dyDescent="0.35">
      <c r="A92" s="101" t="s">
        <v>2604</v>
      </c>
      <c r="B92" s="84" t="s">
        <v>2614</v>
      </c>
      <c r="C92" s="86" t="s">
        <v>2615</v>
      </c>
      <c r="D92" s="88" t="s">
        <v>2616</v>
      </c>
      <c r="E92" s="88" t="s">
        <v>2617</v>
      </c>
      <c r="F92" s="89" t="s">
        <v>2269</v>
      </c>
      <c r="G92" s="89" t="s">
        <v>2312</v>
      </c>
      <c r="H92" s="89">
        <v>1</v>
      </c>
      <c r="I92" s="91" t="str">
        <f>IF(COUNTIF(J92:AW92,"&lt;&gt;")=0,"",SUMPRODUCT(((Recommendations[ImplStatus]="Implemented")+(Recommendations[ImplStatus]="Compensated"))*ISNUMBER(MATCH(Recommendations[Id],J92:AW92,0)))/COUNTIF(J92:AW92,"&lt;&gt;"))</f>
        <v/>
      </c>
      <c r="J92" s="93"/>
      <c r="K92" s="93"/>
      <c r="L92" s="93"/>
      <c r="M92" s="93"/>
      <c r="N92" s="93"/>
      <c r="O92" s="93"/>
      <c r="P92" s="93"/>
      <c r="Q92" s="93"/>
      <c r="R92" s="93"/>
      <c r="S92" s="93"/>
      <c r="T92" s="93"/>
      <c r="U92" s="93"/>
      <c r="V92" s="93"/>
      <c r="W92" s="93"/>
      <c r="X92" s="93"/>
      <c r="Y92" s="93"/>
      <c r="Z92" s="93"/>
      <c r="AA92" s="93"/>
      <c r="AB92" s="93"/>
      <c r="AC92" s="93"/>
      <c r="AD92" s="93"/>
      <c r="AE92" s="93"/>
      <c r="AF92" s="93"/>
      <c r="AG92" s="93"/>
      <c r="AH92" s="93"/>
      <c r="AI92" s="93"/>
      <c r="AJ92" s="93"/>
      <c r="AK92" s="93"/>
      <c r="AL92" s="93"/>
      <c r="AM92" s="93"/>
      <c r="AN92" s="93"/>
      <c r="AO92" s="93"/>
      <c r="AP92" s="93"/>
      <c r="AQ92" s="93"/>
      <c r="AR92" s="93"/>
      <c r="AS92" s="93"/>
      <c r="AT92" s="93"/>
      <c r="AU92" s="93"/>
      <c r="AV92" s="93"/>
      <c r="AW92" s="104"/>
    </row>
    <row r="93" spans="1:49" ht="60" customHeight="1" x14ac:dyDescent="0.35">
      <c r="A93" s="101" t="s">
        <v>2604</v>
      </c>
      <c r="B93" s="84" t="s">
        <v>2618</v>
      </c>
      <c r="C93" s="86" t="s">
        <v>2619</v>
      </c>
      <c r="D93" s="88" t="s">
        <v>2620</v>
      </c>
      <c r="E93" s="88" t="s">
        <v>2621</v>
      </c>
      <c r="F93" s="89" t="s">
        <v>2269</v>
      </c>
      <c r="G93" s="89" t="s">
        <v>2280</v>
      </c>
      <c r="H93" s="89">
        <v>2</v>
      </c>
      <c r="I93" s="91" t="str">
        <f>IF(COUNTIF(J93:AW93,"&lt;&gt;")=0,"",SUMPRODUCT(((Recommendations[ImplStatus]="Implemented")+(Recommendations[ImplStatus]="Compensated"))*ISNUMBER(MATCH(Recommendations[Id],J93:AW93,0)))/COUNTIF(J93:AW93,"&lt;&gt;"))</f>
        <v/>
      </c>
      <c r="J93" s="93"/>
      <c r="K93" s="93"/>
      <c r="L93" s="93"/>
      <c r="M93" s="93"/>
      <c r="N93" s="93"/>
      <c r="O93" s="93"/>
      <c r="P93" s="93"/>
      <c r="Q93" s="93"/>
      <c r="R93" s="93"/>
      <c r="S93" s="93"/>
      <c r="T93" s="93"/>
      <c r="U93" s="93"/>
      <c r="V93" s="93"/>
      <c r="W93" s="93"/>
      <c r="X93" s="93"/>
      <c r="Y93" s="93"/>
      <c r="Z93" s="93"/>
      <c r="AA93" s="93"/>
      <c r="AB93" s="93"/>
      <c r="AC93" s="93"/>
      <c r="AD93" s="93"/>
      <c r="AE93" s="93"/>
      <c r="AF93" s="93"/>
      <c r="AG93" s="93"/>
      <c r="AH93" s="93"/>
      <c r="AI93" s="93"/>
      <c r="AJ93" s="93"/>
      <c r="AK93" s="93"/>
      <c r="AL93" s="93"/>
      <c r="AM93" s="93"/>
      <c r="AN93" s="93"/>
      <c r="AO93" s="93"/>
      <c r="AP93" s="93"/>
      <c r="AQ93" s="93"/>
      <c r="AR93" s="93"/>
      <c r="AS93" s="93"/>
      <c r="AT93" s="93"/>
      <c r="AU93" s="93"/>
      <c r="AV93" s="93"/>
      <c r="AW93" s="104"/>
    </row>
    <row r="94" spans="1:49" ht="60" customHeight="1" x14ac:dyDescent="0.35">
      <c r="A94" s="101" t="s">
        <v>2604</v>
      </c>
      <c r="B94" s="84" t="s">
        <v>2622</v>
      </c>
      <c r="C94" s="86" t="s">
        <v>2623</v>
      </c>
      <c r="D94" s="88" t="s">
        <v>2624</v>
      </c>
      <c r="E94" s="88" t="s">
        <v>2625</v>
      </c>
      <c r="F94" s="89" t="s">
        <v>2269</v>
      </c>
      <c r="G94" s="89" t="s">
        <v>2312</v>
      </c>
      <c r="H94" s="89">
        <v>2</v>
      </c>
      <c r="I94" s="91" t="str">
        <f>IF(COUNTIF(J94:AW94,"&lt;&gt;")=0,"",SUMPRODUCT(((Recommendations[ImplStatus]="Implemented")+(Recommendations[ImplStatus]="Compensated"))*ISNUMBER(MATCH(Recommendations[Id],J94:AW94,0)))/COUNTIF(J94:AW94,"&lt;&gt;"))</f>
        <v/>
      </c>
      <c r="J94" s="93"/>
      <c r="K94" s="93"/>
      <c r="L94" s="93"/>
      <c r="M94" s="93"/>
      <c r="N94" s="93"/>
      <c r="O94" s="93"/>
      <c r="P94" s="93"/>
      <c r="Q94" s="93"/>
      <c r="R94" s="93"/>
      <c r="S94" s="93"/>
      <c r="T94" s="93"/>
      <c r="U94" s="93"/>
      <c r="V94" s="93"/>
      <c r="W94" s="93"/>
      <c r="X94" s="93"/>
      <c r="Y94" s="93"/>
      <c r="Z94" s="93"/>
      <c r="AA94" s="93"/>
      <c r="AB94" s="93"/>
      <c r="AC94" s="93"/>
      <c r="AD94" s="93"/>
      <c r="AE94" s="93"/>
      <c r="AF94" s="93"/>
      <c r="AG94" s="93"/>
      <c r="AH94" s="93"/>
      <c r="AI94" s="93"/>
      <c r="AJ94" s="93"/>
      <c r="AK94" s="93"/>
      <c r="AL94" s="93"/>
      <c r="AM94" s="93"/>
      <c r="AN94" s="93"/>
      <c r="AO94" s="93"/>
      <c r="AP94" s="93"/>
      <c r="AQ94" s="93"/>
      <c r="AR94" s="93"/>
      <c r="AS94" s="93"/>
      <c r="AT94" s="93"/>
      <c r="AU94" s="93"/>
      <c r="AV94" s="93"/>
      <c r="AW94" s="104"/>
    </row>
    <row r="95" spans="1:49" ht="60" customHeight="1" x14ac:dyDescent="0.35">
      <c r="A95" s="101" t="s">
        <v>2604</v>
      </c>
      <c r="B95" s="84" t="s">
        <v>2626</v>
      </c>
      <c r="C95" s="86" t="s">
        <v>2627</v>
      </c>
      <c r="D95" s="88" t="s">
        <v>2628</v>
      </c>
      <c r="E95" s="88" t="s">
        <v>2629</v>
      </c>
      <c r="F95" s="89" t="s">
        <v>2269</v>
      </c>
      <c r="G95" s="89" t="s">
        <v>2312</v>
      </c>
      <c r="H95" s="89">
        <v>2</v>
      </c>
      <c r="I95" s="91" t="str">
        <f>IF(COUNTIF(J95:AW95,"&lt;&gt;")=0,"",SUMPRODUCT(((Recommendations[ImplStatus]="Implemented")+(Recommendations[ImplStatus]="Compensated"))*ISNUMBER(MATCH(Recommendations[Id],J95:AW95,0)))/COUNTIF(J95:AW95,"&lt;&gt;"))</f>
        <v/>
      </c>
      <c r="J95" s="93"/>
      <c r="K95" s="93"/>
      <c r="L95" s="93"/>
      <c r="M95" s="93"/>
      <c r="N95" s="93"/>
      <c r="O95" s="93"/>
      <c r="P95" s="93"/>
      <c r="Q95" s="93"/>
      <c r="R95" s="93"/>
      <c r="S95" s="93"/>
      <c r="T95" s="93"/>
      <c r="U95" s="93"/>
      <c r="V95" s="93"/>
      <c r="W95" s="93"/>
      <c r="X95" s="93"/>
      <c r="Y95" s="93"/>
      <c r="Z95" s="93"/>
      <c r="AA95" s="93"/>
      <c r="AB95" s="93"/>
      <c r="AC95" s="93"/>
      <c r="AD95" s="93"/>
      <c r="AE95" s="93"/>
      <c r="AF95" s="93"/>
      <c r="AG95" s="93"/>
      <c r="AH95" s="93"/>
      <c r="AI95" s="93"/>
      <c r="AJ95" s="93"/>
      <c r="AK95" s="93"/>
      <c r="AL95" s="93"/>
      <c r="AM95" s="93"/>
      <c r="AN95" s="93"/>
      <c r="AO95" s="93"/>
      <c r="AP95" s="93"/>
      <c r="AQ95" s="93"/>
      <c r="AR95" s="93"/>
      <c r="AS95" s="93"/>
      <c r="AT95" s="93"/>
      <c r="AU95" s="93"/>
      <c r="AV95" s="93"/>
      <c r="AW95" s="104"/>
    </row>
    <row r="96" spans="1:49" ht="60" customHeight="1" x14ac:dyDescent="0.35">
      <c r="A96" s="101" t="s">
        <v>2604</v>
      </c>
      <c r="B96" s="84" t="s">
        <v>2630</v>
      </c>
      <c r="C96" s="86" t="s">
        <v>2631</v>
      </c>
      <c r="D96" s="88" t="s">
        <v>2632</v>
      </c>
      <c r="E96" s="88" t="s">
        <v>2633</v>
      </c>
      <c r="F96" s="89" t="s">
        <v>2269</v>
      </c>
      <c r="G96" s="89" t="s">
        <v>2280</v>
      </c>
      <c r="H96" s="89">
        <v>2</v>
      </c>
      <c r="I96" s="91" t="str">
        <f>IF(COUNTIF(J96:AW96,"&lt;&gt;")=0,"",SUMPRODUCT(((Recommendations[ImplStatus]="Implemented")+(Recommendations[ImplStatus]="Compensated"))*ISNUMBER(MATCH(Recommendations[Id],J96:AW96,0)))/COUNTIF(J96:AW96,"&lt;&gt;"))</f>
        <v/>
      </c>
      <c r="J96" s="93"/>
      <c r="K96" s="93"/>
      <c r="L96" s="93"/>
      <c r="M96" s="93"/>
      <c r="N96" s="93"/>
      <c r="O96" s="93"/>
      <c r="P96" s="93"/>
      <c r="Q96" s="93"/>
      <c r="R96" s="93"/>
      <c r="S96" s="93"/>
      <c r="T96" s="93"/>
      <c r="U96" s="93"/>
      <c r="V96" s="93"/>
      <c r="W96" s="93"/>
      <c r="X96" s="93"/>
      <c r="Y96" s="93"/>
      <c r="Z96" s="93"/>
      <c r="AA96" s="93"/>
      <c r="AB96" s="93"/>
      <c r="AC96" s="93"/>
      <c r="AD96" s="93"/>
      <c r="AE96" s="93"/>
      <c r="AF96" s="93"/>
      <c r="AG96" s="93"/>
      <c r="AH96" s="93"/>
      <c r="AI96" s="93"/>
      <c r="AJ96" s="93"/>
      <c r="AK96" s="93"/>
      <c r="AL96" s="93"/>
      <c r="AM96" s="93"/>
      <c r="AN96" s="93"/>
      <c r="AO96" s="93"/>
      <c r="AP96" s="93"/>
      <c r="AQ96" s="93"/>
      <c r="AR96" s="93"/>
      <c r="AS96" s="93"/>
      <c r="AT96" s="93"/>
      <c r="AU96" s="93"/>
      <c r="AV96" s="93"/>
      <c r="AW96" s="104"/>
    </row>
    <row r="97" spans="1:49" ht="60" customHeight="1" outlineLevel="1" x14ac:dyDescent="0.35">
      <c r="A97" s="100" t="s">
        <v>2634</v>
      </c>
      <c r="B97" s="83">
        <v>11</v>
      </c>
      <c r="C97" s="85" t="s">
        <v>21</v>
      </c>
      <c r="D97" s="87" t="s">
        <v>2635</v>
      </c>
      <c r="E97" s="87" t="s">
        <v>21</v>
      </c>
      <c r="F97" s="83" t="s">
        <v>21</v>
      </c>
      <c r="G97" s="83" t="s">
        <v>21</v>
      </c>
      <c r="H97" s="83"/>
      <c r="I97" s="90" t="str">
        <f>IF(COUNTIF(J97:AW97,"&lt;&gt;")=0,"",SUMPRODUCT(((Recommendations[ImplStatus]="Implemented")+(Recommendations[ImplStatus]="Compensated"))*ISNUMBER(MATCH(Recommendations[Id],J97:AW97,0)))/COUNTIF(J97:AW97,"&lt;&gt;"))</f>
        <v/>
      </c>
      <c r="J97" s="92"/>
      <c r="K97" s="92"/>
      <c r="L97" s="92"/>
      <c r="M97" s="92"/>
      <c r="N97" s="92"/>
      <c r="O97" s="92"/>
      <c r="P97" s="92"/>
      <c r="Q97" s="92"/>
      <c r="R97" s="92"/>
      <c r="S97" s="92"/>
      <c r="T97" s="92"/>
      <c r="U97" s="92"/>
      <c r="V97" s="92"/>
      <c r="W97" s="92"/>
      <c r="X97" s="92"/>
      <c r="Y97" s="92"/>
      <c r="Z97" s="92"/>
      <c r="AA97" s="92"/>
      <c r="AB97" s="92"/>
      <c r="AC97" s="92"/>
      <c r="AD97" s="92"/>
      <c r="AE97" s="92"/>
      <c r="AF97" s="92"/>
      <c r="AG97" s="92"/>
      <c r="AH97" s="92"/>
      <c r="AI97" s="92"/>
      <c r="AJ97" s="92"/>
      <c r="AK97" s="92"/>
      <c r="AL97" s="92"/>
      <c r="AM97" s="92"/>
      <c r="AN97" s="92"/>
      <c r="AO97" s="92"/>
      <c r="AP97" s="92"/>
      <c r="AQ97" s="92"/>
      <c r="AR97" s="92"/>
      <c r="AS97" s="92"/>
      <c r="AT97" s="92"/>
      <c r="AU97" s="92"/>
      <c r="AV97" s="92"/>
      <c r="AW97" s="103"/>
    </row>
    <row r="98" spans="1:49" ht="60" customHeight="1" x14ac:dyDescent="0.35">
      <c r="A98" s="101" t="s">
        <v>2634</v>
      </c>
      <c r="B98" s="84" t="s">
        <v>2636</v>
      </c>
      <c r="C98" s="86" t="s">
        <v>2637</v>
      </c>
      <c r="D98" s="88" t="s">
        <v>2638</v>
      </c>
      <c r="E98" s="88" t="s">
        <v>2639</v>
      </c>
      <c r="F98" s="89" t="s">
        <v>2387</v>
      </c>
      <c r="G98" s="89" t="s">
        <v>2328</v>
      </c>
      <c r="H98" s="89">
        <v>1</v>
      </c>
      <c r="I98" s="91" t="str">
        <f>IF(COUNTIF(J98:AW98,"&lt;&gt;")=0,"",SUMPRODUCT(((Recommendations[ImplStatus]="Implemented")+(Recommendations[ImplStatus]="Compensated"))*ISNUMBER(MATCH(Recommendations[Id],J98:AW98,0)))/COUNTIF(J98:AW98,"&lt;&gt;"))</f>
        <v/>
      </c>
      <c r="J98" s="93"/>
      <c r="K98" s="93"/>
      <c r="L98" s="93"/>
      <c r="M98" s="93"/>
      <c r="N98" s="93"/>
      <c r="O98" s="93"/>
      <c r="P98" s="93"/>
      <c r="Q98" s="93"/>
      <c r="R98" s="93"/>
      <c r="S98" s="93"/>
      <c r="T98" s="93"/>
      <c r="U98" s="93"/>
      <c r="V98" s="93"/>
      <c r="W98" s="93"/>
      <c r="X98" s="93"/>
      <c r="Y98" s="93"/>
      <c r="Z98" s="93"/>
      <c r="AA98" s="93"/>
      <c r="AB98" s="93"/>
      <c r="AC98" s="93"/>
      <c r="AD98" s="93"/>
      <c r="AE98" s="93"/>
      <c r="AF98" s="93"/>
      <c r="AG98" s="93"/>
      <c r="AH98" s="93"/>
      <c r="AI98" s="93"/>
      <c r="AJ98" s="93"/>
      <c r="AK98" s="93"/>
      <c r="AL98" s="93"/>
      <c r="AM98" s="93"/>
      <c r="AN98" s="93"/>
      <c r="AO98" s="93"/>
      <c r="AP98" s="93"/>
      <c r="AQ98" s="93"/>
      <c r="AR98" s="93"/>
      <c r="AS98" s="93"/>
      <c r="AT98" s="93"/>
      <c r="AU98" s="93"/>
      <c r="AV98" s="93"/>
      <c r="AW98" s="104"/>
    </row>
    <row r="99" spans="1:49" ht="60" customHeight="1" x14ac:dyDescent="0.35">
      <c r="A99" s="101" t="s">
        <v>2634</v>
      </c>
      <c r="B99" s="84" t="s">
        <v>2640</v>
      </c>
      <c r="C99" s="86" t="s">
        <v>2641</v>
      </c>
      <c r="D99" s="88" t="s">
        <v>2642</v>
      </c>
      <c r="E99" s="88" t="s">
        <v>2643</v>
      </c>
      <c r="F99" s="89" t="s">
        <v>2327</v>
      </c>
      <c r="G99" s="89" t="s">
        <v>2644</v>
      </c>
      <c r="H99" s="89">
        <v>1</v>
      </c>
      <c r="I99" s="91" t="str">
        <f>IF(COUNTIF(J99:AW99,"&lt;&gt;")=0,"",SUMPRODUCT(((Recommendations[ImplStatus]="Implemented")+(Recommendations[ImplStatus]="Compensated"))*ISNUMBER(MATCH(Recommendations[Id],J99:AW99,0)))/COUNTIF(J99:AW99,"&lt;&gt;"))</f>
        <v/>
      </c>
      <c r="J99" s="93"/>
      <c r="K99" s="93"/>
      <c r="L99" s="93"/>
      <c r="M99" s="93"/>
      <c r="N99" s="93"/>
      <c r="O99" s="93"/>
      <c r="P99" s="93"/>
      <c r="Q99" s="93"/>
      <c r="R99" s="93"/>
      <c r="S99" s="93"/>
      <c r="T99" s="93"/>
      <c r="U99" s="93"/>
      <c r="V99" s="93"/>
      <c r="W99" s="93"/>
      <c r="X99" s="93"/>
      <c r="Y99" s="93"/>
      <c r="Z99" s="93"/>
      <c r="AA99" s="93"/>
      <c r="AB99" s="93"/>
      <c r="AC99" s="93"/>
      <c r="AD99" s="93"/>
      <c r="AE99" s="93"/>
      <c r="AF99" s="93"/>
      <c r="AG99" s="93"/>
      <c r="AH99" s="93"/>
      <c r="AI99" s="93"/>
      <c r="AJ99" s="93"/>
      <c r="AK99" s="93"/>
      <c r="AL99" s="93"/>
      <c r="AM99" s="93"/>
      <c r="AN99" s="93"/>
      <c r="AO99" s="93"/>
      <c r="AP99" s="93"/>
      <c r="AQ99" s="93"/>
      <c r="AR99" s="93"/>
      <c r="AS99" s="93"/>
      <c r="AT99" s="93"/>
      <c r="AU99" s="93"/>
      <c r="AV99" s="93"/>
      <c r="AW99" s="104"/>
    </row>
    <row r="100" spans="1:49" ht="60" customHeight="1" x14ac:dyDescent="0.35">
      <c r="A100" s="101" t="s">
        <v>2634</v>
      </c>
      <c r="B100" s="84" t="s">
        <v>2645</v>
      </c>
      <c r="C100" s="86" t="s">
        <v>2646</v>
      </c>
      <c r="D100" s="88" t="s">
        <v>2647</v>
      </c>
      <c r="E100" s="88" t="s">
        <v>2648</v>
      </c>
      <c r="F100" s="89" t="s">
        <v>2327</v>
      </c>
      <c r="G100" s="89" t="s">
        <v>2312</v>
      </c>
      <c r="H100" s="89">
        <v>1</v>
      </c>
      <c r="I100" s="91" t="str">
        <f>IF(COUNTIF(J100:AW100,"&lt;&gt;")=0,"",SUMPRODUCT(((Recommendations[ImplStatus]="Implemented")+(Recommendations[ImplStatus]="Compensated"))*ISNUMBER(MATCH(Recommendations[Id],J100:AW100,0)))/COUNTIF(J100:AW100,"&lt;&gt;"))</f>
        <v/>
      </c>
      <c r="J100" s="93"/>
      <c r="K100" s="93"/>
      <c r="L100" s="93"/>
      <c r="M100" s="93"/>
      <c r="N100" s="93"/>
      <c r="O100" s="93"/>
      <c r="P100" s="93"/>
      <c r="Q100" s="93"/>
      <c r="R100" s="93"/>
      <c r="S100" s="93"/>
      <c r="T100" s="93"/>
      <c r="U100" s="93"/>
      <c r="V100" s="93"/>
      <c r="W100" s="93"/>
      <c r="X100" s="93"/>
      <c r="Y100" s="93"/>
      <c r="Z100" s="93"/>
      <c r="AA100" s="93"/>
      <c r="AB100" s="93"/>
      <c r="AC100" s="93"/>
      <c r="AD100" s="93"/>
      <c r="AE100" s="93"/>
      <c r="AF100" s="93"/>
      <c r="AG100" s="93"/>
      <c r="AH100" s="93"/>
      <c r="AI100" s="93"/>
      <c r="AJ100" s="93"/>
      <c r="AK100" s="93"/>
      <c r="AL100" s="93"/>
      <c r="AM100" s="93"/>
      <c r="AN100" s="93"/>
      <c r="AO100" s="93"/>
      <c r="AP100" s="93"/>
      <c r="AQ100" s="93"/>
      <c r="AR100" s="93"/>
      <c r="AS100" s="93"/>
      <c r="AT100" s="93"/>
      <c r="AU100" s="93"/>
      <c r="AV100" s="93"/>
      <c r="AW100" s="104"/>
    </row>
    <row r="101" spans="1:49" ht="60" customHeight="1" x14ac:dyDescent="0.35">
      <c r="A101" s="101" t="s">
        <v>2634</v>
      </c>
      <c r="B101" s="84" t="s">
        <v>2649</v>
      </c>
      <c r="C101" s="86" t="s">
        <v>2650</v>
      </c>
      <c r="D101" s="88" t="s">
        <v>2651</v>
      </c>
      <c r="E101" s="88" t="s">
        <v>2652</v>
      </c>
      <c r="F101" s="89" t="s">
        <v>2327</v>
      </c>
      <c r="G101" s="89" t="s">
        <v>2644</v>
      </c>
      <c r="H101" s="89">
        <v>1</v>
      </c>
      <c r="I101" s="91" t="str">
        <f>IF(COUNTIF(J101:AW101,"&lt;&gt;")=0,"",SUMPRODUCT(((Recommendations[ImplStatus]="Implemented")+(Recommendations[ImplStatus]="Compensated"))*ISNUMBER(MATCH(Recommendations[Id],J101:AW101,0)))/COUNTIF(J101:AW101,"&lt;&gt;"))</f>
        <v/>
      </c>
      <c r="J101" s="93"/>
      <c r="K101" s="93"/>
      <c r="L101" s="93"/>
      <c r="M101" s="93"/>
      <c r="N101" s="93"/>
      <c r="O101" s="93"/>
      <c r="P101" s="93"/>
      <c r="Q101" s="93"/>
      <c r="R101" s="93"/>
      <c r="S101" s="93"/>
      <c r="T101" s="93"/>
      <c r="U101" s="93"/>
      <c r="V101" s="93"/>
      <c r="W101" s="93"/>
      <c r="X101" s="93"/>
      <c r="Y101" s="93"/>
      <c r="Z101" s="93"/>
      <c r="AA101" s="93"/>
      <c r="AB101" s="93"/>
      <c r="AC101" s="93"/>
      <c r="AD101" s="93"/>
      <c r="AE101" s="93"/>
      <c r="AF101" s="93"/>
      <c r="AG101" s="93"/>
      <c r="AH101" s="93"/>
      <c r="AI101" s="93"/>
      <c r="AJ101" s="93"/>
      <c r="AK101" s="93"/>
      <c r="AL101" s="93"/>
      <c r="AM101" s="93"/>
      <c r="AN101" s="93"/>
      <c r="AO101" s="93"/>
      <c r="AP101" s="93"/>
      <c r="AQ101" s="93"/>
      <c r="AR101" s="93"/>
      <c r="AS101" s="93"/>
      <c r="AT101" s="93"/>
      <c r="AU101" s="93"/>
      <c r="AV101" s="93"/>
      <c r="AW101" s="104"/>
    </row>
    <row r="102" spans="1:49" ht="60" customHeight="1" x14ac:dyDescent="0.35">
      <c r="A102" s="101" t="s">
        <v>2634</v>
      </c>
      <c r="B102" s="84" t="s">
        <v>2653</v>
      </c>
      <c r="C102" s="86" t="s">
        <v>2654</v>
      </c>
      <c r="D102" s="88" t="s">
        <v>2655</v>
      </c>
      <c r="E102" s="88" t="s">
        <v>2656</v>
      </c>
      <c r="F102" s="89" t="s">
        <v>2327</v>
      </c>
      <c r="G102" s="89" t="s">
        <v>2644</v>
      </c>
      <c r="H102" s="89">
        <v>2</v>
      </c>
      <c r="I102" s="91" t="str">
        <f>IF(COUNTIF(J102:AW102,"&lt;&gt;")=0,"",SUMPRODUCT(((Recommendations[ImplStatus]="Implemented")+(Recommendations[ImplStatus]="Compensated"))*ISNUMBER(MATCH(Recommendations[Id],J102:AW102,0)))/COUNTIF(J102:AW102,"&lt;&gt;"))</f>
        <v/>
      </c>
      <c r="J102" s="93"/>
      <c r="K102" s="93"/>
      <c r="L102" s="93"/>
      <c r="M102" s="93"/>
      <c r="N102" s="93"/>
      <c r="O102" s="93"/>
      <c r="P102" s="93"/>
      <c r="Q102" s="93"/>
      <c r="R102" s="93"/>
      <c r="S102" s="93"/>
      <c r="T102" s="93"/>
      <c r="U102" s="93"/>
      <c r="V102" s="93"/>
      <c r="W102" s="93"/>
      <c r="X102" s="93"/>
      <c r="Y102" s="93"/>
      <c r="Z102" s="93"/>
      <c r="AA102" s="93"/>
      <c r="AB102" s="93"/>
      <c r="AC102" s="93"/>
      <c r="AD102" s="93"/>
      <c r="AE102" s="93"/>
      <c r="AF102" s="93"/>
      <c r="AG102" s="93"/>
      <c r="AH102" s="93"/>
      <c r="AI102" s="93"/>
      <c r="AJ102" s="93"/>
      <c r="AK102" s="93"/>
      <c r="AL102" s="93"/>
      <c r="AM102" s="93"/>
      <c r="AN102" s="93"/>
      <c r="AO102" s="93"/>
      <c r="AP102" s="93"/>
      <c r="AQ102" s="93"/>
      <c r="AR102" s="93"/>
      <c r="AS102" s="93"/>
      <c r="AT102" s="93"/>
      <c r="AU102" s="93"/>
      <c r="AV102" s="93"/>
      <c r="AW102" s="104"/>
    </row>
    <row r="103" spans="1:49" ht="60" customHeight="1" outlineLevel="1" x14ac:dyDescent="0.35">
      <c r="A103" s="100" t="s">
        <v>2657</v>
      </c>
      <c r="B103" s="83">
        <v>12</v>
      </c>
      <c r="C103" s="85" t="s">
        <v>21</v>
      </c>
      <c r="D103" s="87" t="s">
        <v>2658</v>
      </c>
      <c r="E103" s="87" t="s">
        <v>21</v>
      </c>
      <c r="F103" s="83" t="s">
        <v>21</v>
      </c>
      <c r="G103" s="83" t="s">
        <v>21</v>
      </c>
      <c r="H103" s="83"/>
      <c r="I103" s="90" t="str">
        <f>IF(COUNTIF(J103:AW103,"&lt;&gt;")=0,"",SUMPRODUCT(((Recommendations[ImplStatus]="Implemented")+(Recommendations[ImplStatus]="Compensated"))*ISNUMBER(MATCH(Recommendations[Id],J103:AW103,0)))/COUNTIF(J103:AW103,"&lt;&gt;"))</f>
        <v/>
      </c>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103"/>
    </row>
    <row r="104" spans="1:49" ht="60" customHeight="1" x14ac:dyDescent="0.35">
      <c r="A104" s="101" t="s">
        <v>2657</v>
      </c>
      <c r="B104" s="84" t="s">
        <v>2659</v>
      </c>
      <c r="C104" s="86" t="s">
        <v>2660</v>
      </c>
      <c r="D104" s="88" t="s">
        <v>2661</v>
      </c>
      <c r="E104" s="88" t="s">
        <v>2662</v>
      </c>
      <c r="F104" s="89" t="s">
        <v>2541</v>
      </c>
      <c r="G104" s="89" t="s">
        <v>2312</v>
      </c>
      <c r="H104" s="89">
        <v>1</v>
      </c>
      <c r="I104" s="91" t="str">
        <f>IF(COUNTIF(J104:AW104,"&lt;&gt;")=0,"",SUMPRODUCT(((Recommendations[ImplStatus]="Implemented")+(Recommendations[ImplStatus]="Compensated"))*ISNUMBER(MATCH(Recommendations[Id],J104:AW104,0)))/COUNTIF(J104:AW104,"&lt;&gt;"))</f>
        <v/>
      </c>
      <c r="J104" s="93"/>
      <c r="K104" s="93"/>
      <c r="L104" s="93"/>
      <c r="M104" s="93"/>
      <c r="N104" s="93"/>
      <c r="O104" s="93"/>
      <c r="P104" s="93"/>
      <c r="Q104" s="93"/>
      <c r="R104" s="93"/>
      <c r="S104" s="93"/>
      <c r="T104" s="93"/>
      <c r="U104" s="93"/>
      <c r="V104" s="93"/>
      <c r="W104" s="93"/>
      <c r="X104" s="93"/>
      <c r="Y104" s="93"/>
      <c r="Z104" s="93"/>
      <c r="AA104" s="93"/>
      <c r="AB104" s="93"/>
      <c r="AC104" s="93"/>
      <c r="AD104" s="93"/>
      <c r="AE104" s="93"/>
      <c r="AF104" s="93"/>
      <c r="AG104" s="93"/>
      <c r="AH104" s="93"/>
      <c r="AI104" s="93"/>
      <c r="AJ104" s="93"/>
      <c r="AK104" s="93"/>
      <c r="AL104" s="93"/>
      <c r="AM104" s="93"/>
      <c r="AN104" s="93"/>
      <c r="AO104" s="93"/>
      <c r="AP104" s="93"/>
      <c r="AQ104" s="93"/>
      <c r="AR104" s="93"/>
      <c r="AS104" s="93"/>
      <c r="AT104" s="93"/>
      <c r="AU104" s="93"/>
      <c r="AV104" s="93"/>
      <c r="AW104" s="104"/>
    </row>
    <row r="105" spans="1:49" ht="60" customHeight="1" x14ac:dyDescent="0.35">
      <c r="A105" s="101" t="s">
        <v>2657</v>
      </c>
      <c r="B105" s="84" t="s">
        <v>2663</v>
      </c>
      <c r="C105" s="86" t="s">
        <v>2664</v>
      </c>
      <c r="D105" s="88" t="s">
        <v>2665</v>
      </c>
      <c r="E105" s="88" t="s">
        <v>2666</v>
      </c>
      <c r="F105" s="89" t="s">
        <v>2541</v>
      </c>
      <c r="G105" s="89" t="s">
        <v>2312</v>
      </c>
      <c r="H105" s="89">
        <v>2</v>
      </c>
      <c r="I105" s="91" t="str">
        <f>IF(COUNTIF(J105:AW105,"&lt;&gt;")=0,"",SUMPRODUCT(((Recommendations[ImplStatus]="Implemented")+(Recommendations[ImplStatus]="Compensated"))*ISNUMBER(MATCH(Recommendations[Id],J105:AW105,0)))/COUNTIF(J105:AW105,"&lt;&gt;"))</f>
        <v/>
      </c>
      <c r="J105" s="93"/>
      <c r="K105" s="93"/>
      <c r="L105" s="93"/>
      <c r="M105" s="93"/>
      <c r="N105" s="93"/>
      <c r="O105" s="93"/>
      <c r="P105" s="93"/>
      <c r="Q105" s="93"/>
      <c r="R105" s="93"/>
      <c r="S105" s="93"/>
      <c r="T105" s="93"/>
      <c r="U105" s="93"/>
      <c r="V105" s="93"/>
      <c r="W105" s="93"/>
      <c r="X105" s="93"/>
      <c r="Y105" s="93"/>
      <c r="Z105" s="93"/>
      <c r="AA105" s="93"/>
      <c r="AB105" s="93"/>
      <c r="AC105" s="93"/>
      <c r="AD105" s="93"/>
      <c r="AE105" s="93"/>
      <c r="AF105" s="93"/>
      <c r="AG105" s="93"/>
      <c r="AH105" s="93"/>
      <c r="AI105" s="93"/>
      <c r="AJ105" s="93"/>
      <c r="AK105" s="93"/>
      <c r="AL105" s="93"/>
      <c r="AM105" s="93"/>
      <c r="AN105" s="93"/>
      <c r="AO105" s="93"/>
      <c r="AP105" s="93"/>
      <c r="AQ105" s="93"/>
      <c r="AR105" s="93"/>
      <c r="AS105" s="93"/>
      <c r="AT105" s="93"/>
      <c r="AU105" s="93"/>
      <c r="AV105" s="93"/>
      <c r="AW105" s="104"/>
    </row>
    <row r="106" spans="1:49" ht="60" customHeight="1" x14ac:dyDescent="0.35">
      <c r="A106" s="101" t="s">
        <v>2657</v>
      </c>
      <c r="B106" s="84" t="s">
        <v>2667</v>
      </c>
      <c r="C106" s="86" t="s">
        <v>2668</v>
      </c>
      <c r="D106" s="88" t="s">
        <v>2669</v>
      </c>
      <c r="E106" s="88" t="s">
        <v>2670</v>
      </c>
      <c r="F106" s="89" t="s">
        <v>2541</v>
      </c>
      <c r="G106" s="89" t="s">
        <v>2312</v>
      </c>
      <c r="H106" s="89">
        <v>2</v>
      </c>
      <c r="I106" s="91" t="str">
        <f>IF(COUNTIF(J106:AW106,"&lt;&gt;")=0,"",SUMPRODUCT(((Recommendations[ImplStatus]="Implemented")+(Recommendations[ImplStatus]="Compensated"))*ISNUMBER(MATCH(Recommendations[Id],J106:AW106,0)))/COUNTIF(J106:AW106,"&lt;&gt;"))</f>
        <v/>
      </c>
      <c r="J106" s="93"/>
      <c r="K106" s="93"/>
      <c r="L106" s="93"/>
      <c r="M106" s="93"/>
      <c r="N106" s="93"/>
      <c r="O106" s="93"/>
      <c r="P106" s="93"/>
      <c r="Q106" s="93"/>
      <c r="R106" s="93"/>
      <c r="S106" s="93"/>
      <c r="T106" s="93"/>
      <c r="U106" s="93"/>
      <c r="V106" s="93"/>
      <c r="W106" s="93"/>
      <c r="X106" s="93"/>
      <c r="Y106" s="93"/>
      <c r="Z106" s="93"/>
      <c r="AA106" s="93"/>
      <c r="AB106" s="93"/>
      <c r="AC106" s="93"/>
      <c r="AD106" s="93"/>
      <c r="AE106" s="93"/>
      <c r="AF106" s="93"/>
      <c r="AG106" s="93"/>
      <c r="AH106" s="93"/>
      <c r="AI106" s="93"/>
      <c r="AJ106" s="93"/>
      <c r="AK106" s="93"/>
      <c r="AL106" s="93"/>
      <c r="AM106" s="93"/>
      <c r="AN106" s="93"/>
      <c r="AO106" s="93"/>
      <c r="AP106" s="93"/>
      <c r="AQ106" s="93"/>
      <c r="AR106" s="93"/>
      <c r="AS106" s="93"/>
      <c r="AT106" s="93"/>
      <c r="AU106" s="93"/>
      <c r="AV106" s="93"/>
      <c r="AW106" s="104"/>
    </row>
    <row r="107" spans="1:49" ht="60" customHeight="1" x14ac:dyDescent="0.35">
      <c r="A107" s="101" t="s">
        <v>2657</v>
      </c>
      <c r="B107" s="84" t="s">
        <v>2671</v>
      </c>
      <c r="C107" s="86" t="s">
        <v>2672</v>
      </c>
      <c r="D107" s="88" t="s">
        <v>2673</v>
      </c>
      <c r="E107" s="88" t="s">
        <v>2674</v>
      </c>
      <c r="F107" s="89" t="s">
        <v>2387</v>
      </c>
      <c r="G107" s="89" t="s">
        <v>2328</v>
      </c>
      <c r="H107" s="89">
        <v>2</v>
      </c>
      <c r="I107" s="91" t="str">
        <f>IF(COUNTIF(J107:AW107,"&lt;&gt;")=0,"",SUMPRODUCT(((Recommendations[ImplStatus]="Implemented")+(Recommendations[ImplStatus]="Compensated"))*ISNUMBER(MATCH(Recommendations[Id],J107:AW107,0)))/COUNTIF(J107:AW107,"&lt;&gt;"))</f>
        <v/>
      </c>
      <c r="J107" s="93"/>
      <c r="K107" s="93"/>
      <c r="L107" s="93"/>
      <c r="M107" s="93"/>
      <c r="N107" s="93"/>
      <c r="O107" s="93"/>
      <c r="P107" s="93"/>
      <c r="Q107" s="93"/>
      <c r="R107" s="93"/>
      <c r="S107" s="93"/>
      <c r="T107" s="93"/>
      <c r="U107" s="93"/>
      <c r="V107" s="93"/>
      <c r="W107" s="93"/>
      <c r="X107" s="93"/>
      <c r="Y107" s="93"/>
      <c r="Z107" s="93"/>
      <c r="AA107" s="93"/>
      <c r="AB107" s="93"/>
      <c r="AC107" s="93"/>
      <c r="AD107" s="93"/>
      <c r="AE107" s="93"/>
      <c r="AF107" s="93"/>
      <c r="AG107" s="93"/>
      <c r="AH107" s="93"/>
      <c r="AI107" s="93"/>
      <c r="AJ107" s="93"/>
      <c r="AK107" s="93"/>
      <c r="AL107" s="93"/>
      <c r="AM107" s="93"/>
      <c r="AN107" s="93"/>
      <c r="AO107" s="93"/>
      <c r="AP107" s="93"/>
      <c r="AQ107" s="93"/>
      <c r="AR107" s="93"/>
      <c r="AS107" s="93"/>
      <c r="AT107" s="93"/>
      <c r="AU107" s="93"/>
      <c r="AV107" s="93"/>
      <c r="AW107" s="104"/>
    </row>
    <row r="108" spans="1:49" ht="60" customHeight="1" x14ac:dyDescent="0.35">
      <c r="A108" s="101" t="s">
        <v>2657</v>
      </c>
      <c r="B108" s="84" t="s">
        <v>2675</v>
      </c>
      <c r="C108" s="86" t="s">
        <v>2676</v>
      </c>
      <c r="D108" s="88" t="s">
        <v>2677</v>
      </c>
      <c r="E108" s="88" t="s">
        <v>2678</v>
      </c>
      <c r="F108" s="89" t="s">
        <v>2541</v>
      </c>
      <c r="G108" s="89" t="s">
        <v>2312</v>
      </c>
      <c r="H108" s="89">
        <v>2</v>
      </c>
      <c r="I108" s="91" t="str">
        <f>IF(COUNTIF(J108:AW108,"&lt;&gt;")=0,"",SUMPRODUCT(((Recommendations[ImplStatus]="Implemented")+(Recommendations[ImplStatus]="Compensated"))*ISNUMBER(MATCH(Recommendations[Id],J108:AW108,0)))/COUNTIF(J108:AW108,"&lt;&gt;"))</f>
        <v/>
      </c>
      <c r="J108" s="93"/>
      <c r="K108" s="93"/>
      <c r="L108" s="93"/>
      <c r="M108" s="93"/>
      <c r="N108" s="93"/>
      <c r="O108" s="93"/>
      <c r="P108" s="93"/>
      <c r="Q108" s="93"/>
      <c r="R108" s="93"/>
      <c r="S108" s="93"/>
      <c r="T108" s="93"/>
      <c r="U108" s="93"/>
      <c r="V108" s="93"/>
      <c r="W108" s="93"/>
      <c r="X108" s="93"/>
      <c r="Y108" s="93"/>
      <c r="Z108" s="93"/>
      <c r="AA108" s="93"/>
      <c r="AB108" s="93"/>
      <c r="AC108" s="93"/>
      <c r="AD108" s="93"/>
      <c r="AE108" s="93"/>
      <c r="AF108" s="93"/>
      <c r="AG108" s="93"/>
      <c r="AH108" s="93"/>
      <c r="AI108" s="93"/>
      <c r="AJ108" s="93"/>
      <c r="AK108" s="93"/>
      <c r="AL108" s="93"/>
      <c r="AM108" s="93"/>
      <c r="AN108" s="93"/>
      <c r="AO108" s="93"/>
      <c r="AP108" s="93"/>
      <c r="AQ108" s="93"/>
      <c r="AR108" s="93"/>
      <c r="AS108" s="93"/>
      <c r="AT108" s="93"/>
      <c r="AU108" s="93"/>
      <c r="AV108" s="93"/>
      <c r="AW108" s="104"/>
    </row>
    <row r="109" spans="1:49" ht="60" customHeight="1" x14ac:dyDescent="0.35">
      <c r="A109" s="101" t="s">
        <v>2657</v>
      </c>
      <c r="B109" s="84" t="s">
        <v>2679</v>
      </c>
      <c r="C109" s="86" t="s">
        <v>2680</v>
      </c>
      <c r="D109" s="88" t="s">
        <v>2681</v>
      </c>
      <c r="E109" s="88" t="s">
        <v>2682</v>
      </c>
      <c r="F109" s="89" t="s">
        <v>2541</v>
      </c>
      <c r="G109" s="89" t="s">
        <v>2312</v>
      </c>
      <c r="H109" s="89">
        <v>2</v>
      </c>
      <c r="I109" s="91" t="str">
        <f>IF(COUNTIF(J109:AW109,"&lt;&gt;")=0,"",SUMPRODUCT(((Recommendations[ImplStatus]="Implemented")+(Recommendations[ImplStatus]="Compensated"))*ISNUMBER(MATCH(Recommendations[Id],J109:AW109,0)))/COUNTIF(J109:AW109,"&lt;&gt;"))</f>
        <v/>
      </c>
      <c r="J109" s="93"/>
      <c r="K109" s="93"/>
      <c r="L109" s="93"/>
      <c r="M109" s="93"/>
      <c r="N109" s="93"/>
      <c r="O109" s="93"/>
      <c r="P109" s="93"/>
      <c r="Q109" s="93"/>
      <c r="R109" s="93"/>
      <c r="S109" s="93"/>
      <c r="T109" s="93"/>
      <c r="U109" s="93"/>
      <c r="V109" s="93"/>
      <c r="W109" s="93"/>
      <c r="X109" s="93"/>
      <c r="Y109" s="93"/>
      <c r="Z109" s="93"/>
      <c r="AA109" s="93"/>
      <c r="AB109" s="93"/>
      <c r="AC109" s="93"/>
      <c r="AD109" s="93"/>
      <c r="AE109" s="93"/>
      <c r="AF109" s="93"/>
      <c r="AG109" s="93"/>
      <c r="AH109" s="93"/>
      <c r="AI109" s="93"/>
      <c r="AJ109" s="93"/>
      <c r="AK109" s="93"/>
      <c r="AL109" s="93"/>
      <c r="AM109" s="93"/>
      <c r="AN109" s="93"/>
      <c r="AO109" s="93"/>
      <c r="AP109" s="93"/>
      <c r="AQ109" s="93"/>
      <c r="AR109" s="93"/>
      <c r="AS109" s="93"/>
      <c r="AT109" s="93"/>
      <c r="AU109" s="93"/>
      <c r="AV109" s="93"/>
      <c r="AW109" s="104"/>
    </row>
    <row r="110" spans="1:49" ht="60" customHeight="1" x14ac:dyDescent="0.35">
      <c r="A110" s="101" t="s">
        <v>2657</v>
      </c>
      <c r="B110" s="84" t="s">
        <v>2683</v>
      </c>
      <c r="C110" s="86" t="s">
        <v>2684</v>
      </c>
      <c r="D110" s="88" t="s">
        <v>2685</v>
      </c>
      <c r="E110" s="88" t="s">
        <v>2686</v>
      </c>
      <c r="F110" s="89" t="s">
        <v>2269</v>
      </c>
      <c r="G110" s="89" t="s">
        <v>2312</v>
      </c>
      <c r="H110" s="89">
        <v>2</v>
      </c>
      <c r="I110" s="91" t="str">
        <f>IF(COUNTIF(J110:AW110,"&lt;&gt;")=0,"",SUMPRODUCT(((Recommendations[ImplStatus]="Implemented")+(Recommendations[ImplStatus]="Compensated"))*ISNUMBER(MATCH(Recommendations[Id],J110:AW110,0)))/COUNTIF(J110:AW110,"&lt;&gt;"))</f>
        <v/>
      </c>
      <c r="J110" s="93"/>
      <c r="K110" s="93"/>
      <c r="L110" s="93"/>
      <c r="M110" s="93"/>
      <c r="N110" s="93"/>
      <c r="O110" s="93"/>
      <c r="P110" s="93"/>
      <c r="Q110" s="93"/>
      <c r="R110" s="93"/>
      <c r="S110" s="93"/>
      <c r="T110" s="93"/>
      <c r="U110" s="93"/>
      <c r="V110" s="93"/>
      <c r="W110" s="93"/>
      <c r="X110" s="93"/>
      <c r="Y110" s="93"/>
      <c r="Z110" s="93"/>
      <c r="AA110" s="93"/>
      <c r="AB110" s="93"/>
      <c r="AC110" s="93"/>
      <c r="AD110" s="93"/>
      <c r="AE110" s="93"/>
      <c r="AF110" s="93"/>
      <c r="AG110" s="93"/>
      <c r="AH110" s="93"/>
      <c r="AI110" s="93"/>
      <c r="AJ110" s="93"/>
      <c r="AK110" s="93"/>
      <c r="AL110" s="93"/>
      <c r="AM110" s="93"/>
      <c r="AN110" s="93"/>
      <c r="AO110" s="93"/>
      <c r="AP110" s="93"/>
      <c r="AQ110" s="93"/>
      <c r="AR110" s="93"/>
      <c r="AS110" s="93"/>
      <c r="AT110" s="93"/>
      <c r="AU110" s="93"/>
      <c r="AV110" s="93"/>
      <c r="AW110" s="104"/>
    </row>
    <row r="111" spans="1:49" ht="60" customHeight="1" x14ac:dyDescent="0.35">
      <c r="A111" s="101" t="s">
        <v>2657</v>
      </c>
      <c r="B111" s="84" t="s">
        <v>2687</v>
      </c>
      <c r="C111" s="86" t="s">
        <v>2688</v>
      </c>
      <c r="D111" s="88" t="s">
        <v>2689</v>
      </c>
      <c r="E111" s="88" t="s">
        <v>2690</v>
      </c>
      <c r="F111" s="89" t="s">
        <v>2269</v>
      </c>
      <c r="G111" s="89" t="s">
        <v>2312</v>
      </c>
      <c r="H111" s="89">
        <v>3</v>
      </c>
      <c r="I111" s="91" t="str">
        <f>IF(COUNTIF(J111:AW111,"&lt;&gt;")=0,"",SUMPRODUCT(((Recommendations[ImplStatus]="Implemented")+(Recommendations[ImplStatus]="Compensated"))*ISNUMBER(MATCH(Recommendations[Id],J111:AW111,0)))/COUNTIF(J111:AW111,"&lt;&gt;"))</f>
        <v/>
      </c>
      <c r="J111" s="93"/>
      <c r="K111" s="93"/>
      <c r="L111" s="93"/>
      <c r="M111" s="93"/>
      <c r="N111" s="93"/>
      <c r="O111" s="93"/>
      <c r="P111" s="93"/>
      <c r="Q111" s="93"/>
      <c r="R111" s="93"/>
      <c r="S111" s="93"/>
      <c r="T111" s="93"/>
      <c r="U111" s="93"/>
      <c r="V111" s="93"/>
      <c r="W111" s="93"/>
      <c r="X111" s="93"/>
      <c r="Y111" s="93"/>
      <c r="Z111" s="93"/>
      <c r="AA111" s="93"/>
      <c r="AB111" s="93"/>
      <c r="AC111" s="93"/>
      <c r="AD111" s="93"/>
      <c r="AE111" s="93"/>
      <c r="AF111" s="93"/>
      <c r="AG111" s="93"/>
      <c r="AH111" s="93"/>
      <c r="AI111" s="93"/>
      <c r="AJ111" s="93"/>
      <c r="AK111" s="93"/>
      <c r="AL111" s="93"/>
      <c r="AM111" s="93"/>
      <c r="AN111" s="93"/>
      <c r="AO111" s="93"/>
      <c r="AP111" s="93"/>
      <c r="AQ111" s="93"/>
      <c r="AR111" s="93"/>
      <c r="AS111" s="93"/>
      <c r="AT111" s="93"/>
      <c r="AU111" s="93"/>
      <c r="AV111" s="93"/>
      <c r="AW111" s="104"/>
    </row>
    <row r="112" spans="1:49" ht="60" customHeight="1" outlineLevel="1" x14ac:dyDescent="0.35">
      <c r="A112" s="100" t="s">
        <v>2691</v>
      </c>
      <c r="B112" s="83">
        <v>13</v>
      </c>
      <c r="C112" s="85" t="s">
        <v>21</v>
      </c>
      <c r="D112" s="87" t="s">
        <v>2692</v>
      </c>
      <c r="E112" s="87" t="s">
        <v>21</v>
      </c>
      <c r="F112" s="83" t="s">
        <v>21</v>
      </c>
      <c r="G112" s="83" t="s">
        <v>21</v>
      </c>
      <c r="H112" s="83"/>
      <c r="I112" s="90" t="str">
        <f>IF(COUNTIF(J112:AW112,"&lt;&gt;")=0,"",SUMPRODUCT(((Recommendations[ImplStatus]="Implemented")+(Recommendations[ImplStatus]="Compensated"))*ISNUMBER(MATCH(Recommendations[Id],J112:AW112,0)))/COUNTIF(J112:AW112,"&lt;&gt;"))</f>
        <v/>
      </c>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2"/>
      <c r="AM112" s="92"/>
      <c r="AN112" s="92"/>
      <c r="AO112" s="92"/>
      <c r="AP112" s="92"/>
      <c r="AQ112" s="92"/>
      <c r="AR112" s="92"/>
      <c r="AS112" s="92"/>
      <c r="AT112" s="92"/>
      <c r="AU112" s="92"/>
      <c r="AV112" s="92"/>
      <c r="AW112" s="103"/>
    </row>
    <row r="113" spans="1:49" ht="60" customHeight="1" x14ac:dyDescent="0.35">
      <c r="A113" s="101" t="s">
        <v>2691</v>
      </c>
      <c r="B113" s="84" t="s">
        <v>2693</v>
      </c>
      <c r="C113" s="86" t="s">
        <v>2694</v>
      </c>
      <c r="D113" s="88" t="s">
        <v>2695</v>
      </c>
      <c r="E113" s="88" t="s">
        <v>2696</v>
      </c>
      <c r="F113" s="89" t="s">
        <v>2541</v>
      </c>
      <c r="G113" s="89" t="s">
        <v>2280</v>
      </c>
      <c r="H113" s="89">
        <v>2</v>
      </c>
      <c r="I113" s="91">
        <f>IF(COUNTIF(J113:AW113,"&lt;&gt;")=0,"",SUMPRODUCT(((Recommendations[ImplStatus]="Implemented")+(Recommendations[ImplStatus]="Compensated"))*ISNUMBER(MATCH(Recommendations[Id],J113:AW113,0)))/COUNTIF(J113:AW113,"&lt;&gt;"))</f>
        <v>0</v>
      </c>
      <c r="J113" s="93" t="s">
        <v>195</v>
      </c>
      <c r="K113" s="93" t="s">
        <v>200</v>
      </c>
      <c r="L113" s="93" t="s">
        <v>380</v>
      </c>
      <c r="M113" s="93" t="s">
        <v>983</v>
      </c>
      <c r="N113" s="93" t="s">
        <v>988</v>
      </c>
      <c r="O113" s="93" t="s">
        <v>991</v>
      </c>
      <c r="P113" s="93" t="s">
        <v>994</v>
      </c>
      <c r="Q113" s="93" t="s">
        <v>1015</v>
      </c>
      <c r="R113" s="93" t="s">
        <v>1032</v>
      </c>
      <c r="S113" s="93" t="s">
        <v>1037</v>
      </c>
      <c r="T113" s="93" t="s">
        <v>1065</v>
      </c>
      <c r="U113" s="93" t="s">
        <v>1437</v>
      </c>
      <c r="V113" s="93" t="s">
        <v>1797</v>
      </c>
      <c r="W113" s="93"/>
      <c r="X113" s="93"/>
      <c r="Y113" s="93"/>
      <c r="Z113" s="93"/>
      <c r="AA113" s="93"/>
      <c r="AB113" s="93"/>
      <c r="AC113" s="93"/>
      <c r="AD113" s="93"/>
      <c r="AE113" s="93"/>
      <c r="AF113" s="93"/>
      <c r="AG113" s="93"/>
      <c r="AH113" s="93"/>
      <c r="AI113" s="93"/>
      <c r="AJ113" s="93"/>
      <c r="AK113" s="93"/>
      <c r="AL113" s="93"/>
      <c r="AM113" s="93"/>
      <c r="AN113" s="93"/>
      <c r="AO113" s="93"/>
      <c r="AP113" s="93"/>
      <c r="AQ113" s="93"/>
      <c r="AR113" s="93"/>
      <c r="AS113" s="93"/>
      <c r="AT113" s="93"/>
      <c r="AU113" s="93"/>
      <c r="AV113" s="93"/>
      <c r="AW113" s="104"/>
    </row>
    <row r="114" spans="1:49" ht="60" customHeight="1" x14ac:dyDescent="0.35">
      <c r="A114" s="101" t="s">
        <v>2691</v>
      </c>
      <c r="B114" s="84" t="s">
        <v>2697</v>
      </c>
      <c r="C114" s="86" t="s">
        <v>2698</v>
      </c>
      <c r="D114" s="88" t="s">
        <v>2699</v>
      </c>
      <c r="E114" s="88" t="s">
        <v>2700</v>
      </c>
      <c r="F114" s="89" t="s">
        <v>2269</v>
      </c>
      <c r="G114" s="89" t="s">
        <v>2280</v>
      </c>
      <c r="H114" s="89">
        <v>2</v>
      </c>
      <c r="I114" s="91" t="str">
        <f>IF(COUNTIF(J114:AW114,"&lt;&gt;")=0,"",SUMPRODUCT(((Recommendations[ImplStatus]="Implemented")+(Recommendations[ImplStatus]="Compensated"))*ISNUMBER(MATCH(Recommendations[Id],J114:AW114,0)))/COUNTIF(J114:AW114,"&lt;&gt;"))</f>
        <v/>
      </c>
      <c r="J114" s="93"/>
      <c r="K114" s="93"/>
      <c r="L114" s="93"/>
      <c r="M114" s="93"/>
      <c r="N114" s="93"/>
      <c r="O114" s="93"/>
      <c r="P114" s="93"/>
      <c r="Q114" s="93"/>
      <c r="R114" s="93"/>
      <c r="S114" s="93"/>
      <c r="T114" s="93"/>
      <c r="U114" s="93"/>
      <c r="V114" s="93"/>
      <c r="W114" s="93"/>
      <c r="X114" s="93"/>
      <c r="Y114" s="93"/>
      <c r="Z114" s="93"/>
      <c r="AA114" s="93"/>
      <c r="AB114" s="93"/>
      <c r="AC114" s="93"/>
      <c r="AD114" s="93"/>
      <c r="AE114" s="93"/>
      <c r="AF114" s="93"/>
      <c r="AG114" s="93"/>
      <c r="AH114" s="93"/>
      <c r="AI114" s="93"/>
      <c r="AJ114" s="93"/>
      <c r="AK114" s="93"/>
      <c r="AL114" s="93"/>
      <c r="AM114" s="93"/>
      <c r="AN114" s="93"/>
      <c r="AO114" s="93"/>
      <c r="AP114" s="93"/>
      <c r="AQ114" s="93"/>
      <c r="AR114" s="93"/>
      <c r="AS114" s="93"/>
      <c r="AT114" s="93"/>
      <c r="AU114" s="93"/>
      <c r="AV114" s="93"/>
      <c r="AW114" s="104"/>
    </row>
    <row r="115" spans="1:49" ht="60" customHeight="1" x14ac:dyDescent="0.35">
      <c r="A115" s="101" t="s">
        <v>2691</v>
      </c>
      <c r="B115" s="84" t="s">
        <v>2701</v>
      </c>
      <c r="C115" s="86" t="s">
        <v>2702</v>
      </c>
      <c r="D115" s="88" t="s">
        <v>2703</v>
      </c>
      <c r="E115" s="88" t="s">
        <v>2704</v>
      </c>
      <c r="F115" s="89" t="s">
        <v>2541</v>
      </c>
      <c r="G115" s="89" t="s">
        <v>2280</v>
      </c>
      <c r="H115" s="89">
        <v>2</v>
      </c>
      <c r="I115" s="91" t="str">
        <f>IF(COUNTIF(J115:AW115,"&lt;&gt;")=0,"",SUMPRODUCT(((Recommendations[ImplStatus]="Implemented")+(Recommendations[ImplStatus]="Compensated"))*ISNUMBER(MATCH(Recommendations[Id],J115:AW115,0)))/COUNTIF(J115:AW115,"&lt;&gt;"))</f>
        <v/>
      </c>
      <c r="J115" s="93"/>
      <c r="K115" s="93"/>
      <c r="L115" s="93"/>
      <c r="M115" s="93"/>
      <c r="N115" s="93"/>
      <c r="O115" s="93"/>
      <c r="P115" s="93"/>
      <c r="Q115" s="93"/>
      <c r="R115" s="93"/>
      <c r="S115" s="93"/>
      <c r="T115" s="93"/>
      <c r="U115" s="93"/>
      <c r="V115" s="93"/>
      <c r="W115" s="93"/>
      <c r="X115" s="93"/>
      <c r="Y115" s="93"/>
      <c r="Z115" s="93"/>
      <c r="AA115" s="93"/>
      <c r="AB115" s="93"/>
      <c r="AC115" s="93"/>
      <c r="AD115" s="93"/>
      <c r="AE115" s="93"/>
      <c r="AF115" s="93"/>
      <c r="AG115" s="93"/>
      <c r="AH115" s="93"/>
      <c r="AI115" s="93"/>
      <c r="AJ115" s="93"/>
      <c r="AK115" s="93"/>
      <c r="AL115" s="93"/>
      <c r="AM115" s="93"/>
      <c r="AN115" s="93"/>
      <c r="AO115" s="93"/>
      <c r="AP115" s="93"/>
      <c r="AQ115" s="93"/>
      <c r="AR115" s="93"/>
      <c r="AS115" s="93"/>
      <c r="AT115" s="93"/>
      <c r="AU115" s="93"/>
      <c r="AV115" s="93"/>
      <c r="AW115" s="104"/>
    </row>
    <row r="116" spans="1:49" ht="60" customHeight="1" x14ac:dyDescent="0.35">
      <c r="A116" s="101" t="s">
        <v>2691</v>
      </c>
      <c r="B116" s="84" t="s">
        <v>2705</v>
      </c>
      <c r="C116" s="86" t="s">
        <v>2706</v>
      </c>
      <c r="D116" s="88" t="s">
        <v>2707</v>
      </c>
      <c r="E116" s="88" t="s">
        <v>2708</v>
      </c>
      <c r="F116" s="89" t="s">
        <v>2541</v>
      </c>
      <c r="G116" s="89" t="s">
        <v>2312</v>
      </c>
      <c r="H116" s="89">
        <v>2</v>
      </c>
      <c r="I116" s="91" t="str">
        <f>IF(COUNTIF(J116:AW116,"&lt;&gt;")=0,"",SUMPRODUCT(((Recommendations[ImplStatus]="Implemented")+(Recommendations[ImplStatus]="Compensated"))*ISNUMBER(MATCH(Recommendations[Id],J116:AW116,0)))/COUNTIF(J116:AW116,"&lt;&gt;"))</f>
        <v/>
      </c>
      <c r="J116" s="93"/>
      <c r="K116" s="93"/>
      <c r="L116" s="93"/>
      <c r="M116" s="93"/>
      <c r="N116" s="93"/>
      <c r="O116" s="93"/>
      <c r="P116" s="93"/>
      <c r="Q116" s="93"/>
      <c r="R116" s="93"/>
      <c r="S116" s="93"/>
      <c r="T116" s="93"/>
      <c r="U116" s="93"/>
      <c r="V116" s="93"/>
      <c r="W116" s="93"/>
      <c r="X116" s="93"/>
      <c r="Y116" s="93"/>
      <c r="Z116" s="93"/>
      <c r="AA116" s="93"/>
      <c r="AB116" s="93"/>
      <c r="AC116" s="93"/>
      <c r="AD116" s="93"/>
      <c r="AE116" s="93"/>
      <c r="AF116" s="93"/>
      <c r="AG116" s="93"/>
      <c r="AH116" s="93"/>
      <c r="AI116" s="93"/>
      <c r="AJ116" s="93"/>
      <c r="AK116" s="93"/>
      <c r="AL116" s="93"/>
      <c r="AM116" s="93"/>
      <c r="AN116" s="93"/>
      <c r="AO116" s="93"/>
      <c r="AP116" s="93"/>
      <c r="AQ116" s="93"/>
      <c r="AR116" s="93"/>
      <c r="AS116" s="93"/>
      <c r="AT116" s="93"/>
      <c r="AU116" s="93"/>
      <c r="AV116" s="93"/>
      <c r="AW116" s="104"/>
    </row>
    <row r="117" spans="1:49" ht="60" customHeight="1" x14ac:dyDescent="0.35">
      <c r="A117" s="101" t="s">
        <v>2691</v>
      </c>
      <c r="B117" s="84" t="s">
        <v>2709</v>
      </c>
      <c r="C117" s="86" t="s">
        <v>2710</v>
      </c>
      <c r="D117" s="88" t="s">
        <v>2711</v>
      </c>
      <c r="E117" s="88" t="s">
        <v>2712</v>
      </c>
      <c r="F117" s="89" t="s">
        <v>2269</v>
      </c>
      <c r="G117" s="89" t="s">
        <v>2312</v>
      </c>
      <c r="H117" s="89">
        <v>2</v>
      </c>
      <c r="I117" s="91" t="str">
        <f>IF(COUNTIF(J117:AW117,"&lt;&gt;")=0,"",SUMPRODUCT(((Recommendations[ImplStatus]="Implemented")+(Recommendations[ImplStatus]="Compensated"))*ISNUMBER(MATCH(Recommendations[Id],J117:AW117,0)))/COUNTIF(J117:AW117,"&lt;&gt;"))</f>
        <v/>
      </c>
      <c r="J117" s="93"/>
      <c r="K117" s="93"/>
      <c r="L117" s="93"/>
      <c r="M117" s="93"/>
      <c r="N117" s="93"/>
      <c r="O117" s="93"/>
      <c r="P117" s="93"/>
      <c r="Q117" s="93"/>
      <c r="R117" s="93"/>
      <c r="S117" s="93"/>
      <c r="T117" s="93"/>
      <c r="U117" s="93"/>
      <c r="V117" s="93"/>
      <c r="W117" s="93"/>
      <c r="X117" s="93"/>
      <c r="Y117" s="93"/>
      <c r="Z117" s="93"/>
      <c r="AA117" s="93"/>
      <c r="AB117" s="93"/>
      <c r="AC117" s="93"/>
      <c r="AD117" s="93"/>
      <c r="AE117" s="93"/>
      <c r="AF117" s="93"/>
      <c r="AG117" s="93"/>
      <c r="AH117" s="93"/>
      <c r="AI117" s="93"/>
      <c r="AJ117" s="93"/>
      <c r="AK117" s="93"/>
      <c r="AL117" s="93"/>
      <c r="AM117" s="93"/>
      <c r="AN117" s="93"/>
      <c r="AO117" s="93"/>
      <c r="AP117" s="93"/>
      <c r="AQ117" s="93"/>
      <c r="AR117" s="93"/>
      <c r="AS117" s="93"/>
      <c r="AT117" s="93"/>
      <c r="AU117" s="93"/>
      <c r="AV117" s="93"/>
      <c r="AW117" s="104"/>
    </row>
    <row r="118" spans="1:49" ht="60" customHeight="1" x14ac:dyDescent="0.35">
      <c r="A118" s="101" t="s">
        <v>2691</v>
      </c>
      <c r="B118" s="84" t="s">
        <v>2713</v>
      </c>
      <c r="C118" s="86" t="s">
        <v>2714</v>
      </c>
      <c r="D118" s="88" t="s">
        <v>2715</v>
      </c>
      <c r="E118" s="88" t="s">
        <v>2716</v>
      </c>
      <c r="F118" s="89" t="s">
        <v>2541</v>
      </c>
      <c r="G118" s="89" t="s">
        <v>2280</v>
      </c>
      <c r="H118" s="89">
        <v>2</v>
      </c>
      <c r="I118" s="91" t="str">
        <f>IF(COUNTIF(J118:AW118,"&lt;&gt;")=0,"",SUMPRODUCT(((Recommendations[ImplStatus]="Implemented")+(Recommendations[ImplStatus]="Compensated"))*ISNUMBER(MATCH(Recommendations[Id],J118:AW118,0)))/COUNTIF(J118:AW118,"&lt;&gt;"))</f>
        <v/>
      </c>
      <c r="J118" s="93"/>
      <c r="K118" s="93"/>
      <c r="L118" s="93"/>
      <c r="M118" s="93"/>
      <c r="N118" s="93"/>
      <c r="O118" s="93"/>
      <c r="P118" s="93"/>
      <c r="Q118" s="93"/>
      <c r="R118" s="93"/>
      <c r="S118" s="93"/>
      <c r="T118" s="93"/>
      <c r="U118" s="93"/>
      <c r="V118" s="93"/>
      <c r="W118" s="93"/>
      <c r="X118" s="93"/>
      <c r="Y118" s="93"/>
      <c r="Z118" s="93"/>
      <c r="AA118" s="93"/>
      <c r="AB118" s="93"/>
      <c r="AC118" s="93"/>
      <c r="AD118" s="93"/>
      <c r="AE118" s="93"/>
      <c r="AF118" s="93"/>
      <c r="AG118" s="93"/>
      <c r="AH118" s="93"/>
      <c r="AI118" s="93"/>
      <c r="AJ118" s="93"/>
      <c r="AK118" s="93"/>
      <c r="AL118" s="93"/>
      <c r="AM118" s="93"/>
      <c r="AN118" s="93"/>
      <c r="AO118" s="93"/>
      <c r="AP118" s="93"/>
      <c r="AQ118" s="93"/>
      <c r="AR118" s="93"/>
      <c r="AS118" s="93"/>
      <c r="AT118" s="93"/>
      <c r="AU118" s="93"/>
      <c r="AV118" s="93"/>
      <c r="AW118" s="104"/>
    </row>
    <row r="119" spans="1:49" ht="60" customHeight="1" x14ac:dyDescent="0.35">
      <c r="A119" s="101" t="s">
        <v>2691</v>
      </c>
      <c r="B119" s="84" t="s">
        <v>2717</v>
      </c>
      <c r="C119" s="86" t="s">
        <v>2718</v>
      </c>
      <c r="D119" s="88" t="s">
        <v>2719</v>
      </c>
      <c r="E119" s="88" t="s">
        <v>2720</v>
      </c>
      <c r="F119" s="89" t="s">
        <v>2269</v>
      </c>
      <c r="G119" s="89" t="s">
        <v>2312</v>
      </c>
      <c r="H119" s="89">
        <v>3</v>
      </c>
      <c r="I119" s="91" t="str">
        <f>IF(COUNTIF(J119:AW119,"&lt;&gt;")=0,"",SUMPRODUCT(((Recommendations[ImplStatus]="Implemented")+(Recommendations[ImplStatus]="Compensated"))*ISNUMBER(MATCH(Recommendations[Id],J119:AW119,0)))/COUNTIF(J119:AW119,"&lt;&gt;"))</f>
        <v/>
      </c>
      <c r="J119" s="93"/>
      <c r="K119" s="93"/>
      <c r="L119" s="93"/>
      <c r="M119" s="93"/>
      <c r="N119" s="93"/>
      <c r="O119" s="93"/>
      <c r="P119" s="93"/>
      <c r="Q119" s="93"/>
      <c r="R119" s="93"/>
      <c r="S119" s="93"/>
      <c r="T119" s="93"/>
      <c r="U119" s="93"/>
      <c r="V119" s="93"/>
      <c r="W119" s="93"/>
      <c r="X119" s="93"/>
      <c r="Y119" s="93"/>
      <c r="Z119" s="93"/>
      <c r="AA119" s="93"/>
      <c r="AB119" s="93"/>
      <c r="AC119" s="93"/>
      <c r="AD119" s="93"/>
      <c r="AE119" s="93"/>
      <c r="AF119" s="93"/>
      <c r="AG119" s="93"/>
      <c r="AH119" s="93"/>
      <c r="AI119" s="93"/>
      <c r="AJ119" s="93"/>
      <c r="AK119" s="93"/>
      <c r="AL119" s="93"/>
      <c r="AM119" s="93"/>
      <c r="AN119" s="93"/>
      <c r="AO119" s="93"/>
      <c r="AP119" s="93"/>
      <c r="AQ119" s="93"/>
      <c r="AR119" s="93"/>
      <c r="AS119" s="93"/>
      <c r="AT119" s="93"/>
      <c r="AU119" s="93"/>
      <c r="AV119" s="93"/>
      <c r="AW119" s="104"/>
    </row>
    <row r="120" spans="1:49" ht="60" customHeight="1" x14ac:dyDescent="0.35">
      <c r="A120" s="101" t="s">
        <v>2691</v>
      </c>
      <c r="B120" s="84" t="s">
        <v>2721</v>
      </c>
      <c r="C120" s="86" t="s">
        <v>2722</v>
      </c>
      <c r="D120" s="88" t="s">
        <v>2723</v>
      </c>
      <c r="E120" s="88" t="s">
        <v>2724</v>
      </c>
      <c r="F120" s="89" t="s">
        <v>2541</v>
      </c>
      <c r="G120" s="89" t="s">
        <v>2312</v>
      </c>
      <c r="H120" s="89">
        <v>3</v>
      </c>
      <c r="I120" s="91" t="str">
        <f>IF(COUNTIF(J120:AW120,"&lt;&gt;")=0,"",SUMPRODUCT(((Recommendations[ImplStatus]="Implemented")+(Recommendations[ImplStatus]="Compensated"))*ISNUMBER(MATCH(Recommendations[Id],J120:AW120,0)))/COUNTIF(J120:AW120,"&lt;&gt;"))</f>
        <v/>
      </c>
      <c r="J120" s="93"/>
      <c r="K120" s="93"/>
      <c r="L120" s="93"/>
      <c r="M120" s="93"/>
      <c r="N120" s="93"/>
      <c r="O120" s="93"/>
      <c r="P120" s="93"/>
      <c r="Q120" s="93"/>
      <c r="R120" s="93"/>
      <c r="S120" s="93"/>
      <c r="T120" s="93"/>
      <c r="U120" s="93"/>
      <c r="V120" s="93"/>
      <c r="W120" s="93"/>
      <c r="X120" s="93"/>
      <c r="Y120" s="93"/>
      <c r="Z120" s="93"/>
      <c r="AA120" s="93"/>
      <c r="AB120" s="93"/>
      <c r="AC120" s="93"/>
      <c r="AD120" s="93"/>
      <c r="AE120" s="93"/>
      <c r="AF120" s="93"/>
      <c r="AG120" s="93"/>
      <c r="AH120" s="93"/>
      <c r="AI120" s="93"/>
      <c r="AJ120" s="93"/>
      <c r="AK120" s="93"/>
      <c r="AL120" s="93"/>
      <c r="AM120" s="93"/>
      <c r="AN120" s="93"/>
      <c r="AO120" s="93"/>
      <c r="AP120" s="93"/>
      <c r="AQ120" s="93"/>
      <c r="AR120" s="93"/>
      <c r="AS120" s="93"/>
      <c r="AT120" s="93"/>
      <c r="AU120" s="93"/>
      <c r="AV120" s="93"/>
      <c r="AW120" s="104"/>
    </row>
    <row r="121" spans="1:49" ht="60" customHeight="1" x14ac:dyDescent="0.35">
      <c r="A121" s="101" t="s">
        <v>2691</v>
      </c>
      <c r="B121" s="84" t="s">
        <v>2725</v>
      </c>
      <c r="C121" s="86" t="s">
        <v>2726</v>
      </c>
      <c r="D121" s="88" t="s">
        <v>2727</v>
      </c>
      <c r="E121" s="88" t="s">
        <v>2728</v>
      </c>
      <c r="F121" s="89" t="s">
        <v>2541</v>
      </c>
      <c r="G121" s="89" t="s">
        <v>2312</v>
      </c>
      <c r="H121" s="89">
        <v>3</v>
      </c>
      <c r="I121" s="91">
        <f>IF(COUNTIF(J121:AW121,"&lt;&gt;")=0,"",SUMPRODUCT(((Recommendations[ImplStatus]="Implemented")+(Recommendations[ImplStatus]="Compensated"))*ISNUMBER(MATCH(Recommendations[Id],J121:AW121,0)))/COUNTIF(J121:AW121,"&lt;&gt;"))</f>
        <v>0</v>
      </c>
      <c r="J121" s="93" t="s">
        <v>881</v>
      </c>
      <c r="K121" s="93" t="s">
        <v>886</v>
      </c>
      <c r="L121" s="93"/>
      <c r="M121" s="93"/>
      <c r="N121" s="93"/>
      <c r="O121" s="93"/>
      <c r="P121" s="93"/>
      <c r="Q121" s="93"/>
      <c r="R121" s="93"/>
      <c r="S121" s="93"/>
      <c r="T121" s="93"/>
      <c r="U121" s="93"/>
      <c r="V121" s="93"/>
      <c r="W121" s="93"/>
      <c r="X121" s="93"/>
      <c r="Y121" s="93"/>
      <c r="Z121" s="93"/>
      <c r="AA121" s="93"/>
      <c r="AB121" s="93"/>
      <c r="AC121" s="93"/>
      <c r="AD121" s="93"/>
      <c r="AE121" s="93"/>
      <c r="AF121" s="93"/>
      <c r="AG121" s="93"/>
      <c r="AH121" s="93"/>
      <c r="AI121" s="93"/>
      <c r="AJ121" s="93"/>
      <c r="AK121" s="93"/>
      <c r="AL121" s="93"/>
      <c r="AM121" s="93"/>
      <c r="AN121" s="93"/>
      <c r="AO121" s="93"/>
      <c r="AP121" s="93"/>
      <c r="AQ121" s="93"/>
      <c r="AR121" s="93"/>
      <c r="AS121" s="93"/>
      <c r="AT121" s="93"/>
      <c r="AU121" s="93"/>
      <c r="AV121" s="93"/>
      <c r="AW121" s="104"/>
    </row>
    <row r="122" spans="1:49" ht="60" customHeight="1" x14ac:dyDescent="0.35">
      <c r="A122" s="101" t="s">
        <v>2691</v>
      </c>
      <c r="B122" s="84" t="s">
        <v>2729</v>
      </c>
      <c r="C122" s="86" t="s">
        <v>2730</v>
      </c>
      <c r="D122" s="88" t="s">
        <v>2731</v>
      </c>
      <c r="E122" s="88" t="s">
        <v>2732</v>
      </c>
      <c r="F122" s="89" t="s">
        <v>2541</v>
      </c>
      <c r="G122" s="89" t="s">
        <v>2312</v>
      </c>
      <c r="H122" s="89">
        <v>3</v>
      </c>
      <c r="I122" s="91" t="str">
        <f>IF(COUNTIF(J122:AW122,"&lt;&gt;")=0,"",SUMPRODUCT(((Recommendations[ImplStatus]="Implemented")+(Recommendations[ImplStatus]="Compensated"))*ISNUMBER(MATCH(Recommendations[Id],J122:AW122,0)))/COUNTIF(J122:AW122,"&lt;&gt;"))</f>
        <v/>
      </c>
      <c r="J122" s="93"/>
      <c r="K122" s="93"/>
      <c r="L122" s="93"/>
      <c r="M122" s="93"/>
      <c r="N122" s="93"/>
      <c r="O122" s="93"/>
      <c r="P122" s="93"/>
      <c r="Q122" s="93"/>
      <c r="R122" s="93"/>
      <c r="S122" s="93"/>
      <c r="T122" s="93"/>
      <c r="U122" s="93"/>
      <c r="V122" s="93"/>
      <c r="W122" s="93"/>
      <c r="X122" s="93"/>
      <c r="Y122" s="93"/>
      <c r="Z122" s="93"/>
      <c r="AA122" s="93"/>
      <c r="AB122" s="93"/>
      <c r="AC122" s="93"/>
      <c r="AD122" s="93"/>
      <c r="AE122" s="93"/>
      <c r="AF122" s="93"/>
      <c r="AG122" s="93"/>
      <c r="AH122" s="93"/>
      <c r="AI122" s="93"/>
      <c r="AJ122" s="93"/>
      <c r="AK122" s="93"/>
      <c r="AL122" s="93"/>
      <c r="AM122" s="93"/>
      <c r="AN122" s="93"/>
      <c r="AO122" s="93"/>
      <c r="AP122" s="93"/>
      <c r="AQ122" s="93"/>
      <c r="AR122" s="93"/>
      <c r="AS122" s="93"/>
      <c r="AT122" s="93"/>
      <c r="AU122" s="93"/>
      <c r="AV122" s="93"/>
      <c r="AW122" s="104"/>
    </row>
    <row r="123" spans="1:49" ht="60" customHeight="1" x14ac:dyDescent="0.35">
      <c r="A123" s="101" t="s">
        <v>2691</v>
      </c>
      <c r="B123" s="84" t="s">
        <v>2733</v>
      </c>
      <c r="C123" s="86" t="s">
        <v>2734</v>
      </c>
      <c r="D123" s="88" t="s">
        <v>2735</v>
      </c>
      <c r="E123" s="88" t="s">
        <v>2736</v>
      </c>
      <c r="F123" s="89" t="s">
        <v>2541</v>
      </c>
      <c r="G123" s="89" t="s">
        <v>2280</v>
      </c>
      <c r="H123" s="89">
        <v>3</v>
      </c>
      <c r="I123" s="91" t="str">
        <f>IF(COUNTIF(J123:AW123,"&lt;&gt;")=0,"",SUMPRODUCT(((Recommendations[ImplStatus]="Implemented")+(Recommendations[ImplStatus]="Compensated"))*ISNUMBER(MATCH(Recommendations[Id],J123:AW123,0)))/COUNTIF(J123:AW123,"&lt;&gt;"))</f>
        <v/>
      </c>
      <c r="J123" s="93"/>
      <c r="K123" s="93"/>
      <c r="L123" s="93"/>
      <c r="M123" s="93"/>
      <c r="N123" s="93"/>
      <c r="O123" s="93"/>
      <c r="P123" s="93"/>
      <c r="Q123" s="93"/>
      <c r="R123" s="93"/>
      <c r="S123" s="93"/>
      <c r="T123" s="93"/>
      <c r="U123" s="93"/>
      <c r="V123" s="93"/>
      <c r="W123" s="93"/>
      <c r="X123" s="93"/>
      <c r="Y123" s="93"/>
      <c r="Z123" s="93"/>
      <c r="AA123" s="93"/>
      <c r="AB123" s="93"/>
      <c r="AC123" s="93"/>
      <c r="AD123" s="93"/>
      <c r="AE123" s="93"/>
      <c r="AF123" s="93"/>
      <c r="AG123" s="93"/>
      <c r="AH123" s="93"/>
      <c r="AI123" s="93"/>
      <c r="AJ123" s="93"/>
      <c r="AK123" s="93"/>
      <c r="AL123" s="93"/>
      <c r="AM123" s="93"/>
      <c r="AN123" s="93"/>
      <c r="AO123" s="93"/>
      <c r="AP123" s="93"/>
      <c r="AQ123" s="93"/>
      <c r="AR123" s="93"/>
      <c r="AS123" s="93"/>
      <c r="AT123" s="93"/>
      <c r="AU123" s="93"/>
      <c r="AV123" s="93"/>
      <c r="AW123" s="104"/>
    </row>
    <row r="124" spans="1:49" ht="60" customHeight="1" outlineLevel="1" x14ac:dyDescent="0.35">
      <c r="A124" s="100" t="s">
        <v>2737</v>
      </c>
      <c r="B124" s="83">
        <v>14</v>
      </c>
      <c r="C124" s="85" t="s">
        <v>21</v>
      </c>
      <c r="D124" s="87" t="s">
        <v>2738</v>
      </c>
      <c r="E124" s="87" t="s">
        <v>21</v>
      </c>
      <c r="F124" s="83" t="s">
        <v>21</v>
      </c>
      <c r="G124" s="83" t="s">
        <v>21</v>
      </c>
      <c r="H124" s="83"/>
      <c r="I124" s="90" t="str">
        <f>IF(COUNTIF(J124:AW124,"&lt;&gt;")=0,"",SUMPRODUCT(((Recommendations[ImplStatus]="Implemented")+(Recommendations[ImplStatus]="Compensated"))*ISNUMBER(MATCH(Recommendations[Id],J124:AW124,0)))/COUNTIF(J124:AW124,"&lt;&gt;"))</f>
        <v/>
      </c>
      <c r="J124" s="92"/>
      <c r="K124" s="92"/>
      <c r="L124" s="92"/>
      <c r="M124" s="92"/>
      <c r="N124" s="92"/>
      <c r="O124" s="92"/>
      <c r="P124" s="92"/>
      <c r="Q124" s="92"/>
      <c r="R124" s="92"/>
      <c r="S124" s="92"/>
      <c r="T124" s="92"/>
      <c r="U124" s="92"/>
      <c r="V124" s="92"/>
      <c r="W124" s="92"/>
      <c r="X124" s="92"/>
      <c r="Y124" s="92"/>
      <c r="Z124" s="92"/>
      <c r="AA124" s="92"/>
      <c r="AB124" s="92"/>
      <c r="AC124" s="92"/>
      <c r="AD124" s="92"/>
      <c r="AE124" s="92"/>
      <c r="AF124" s="92"/>
      <c r="AG124" s="92"/>
      <c r="AH124" s="92"/>
      <c r="AI124" s="92"/>
      <c r="AJ124" s="92"/>
      <c r="AK124" s="92"/>
      <c r="AL124" s="92"/>
      <c r="AM124" s="92"/>
      <c r="AN124" s="92"/>
      <c r="AO124" s="92"/>
      <c r="AP124" s="92"/>
      <c r="AQ124" s="92"/>
      <c r="AR124" s="92"/>
      <c r="AS124" s="92"/>
      <c r="AT124" s="92"/>
      <c r="AU124" s="92"/>
      <c r="AV124" s="92"/>
      <c r="AW124" s="103"/>
    </row>
    <row r="125" spans="1:49" ht="60" customHeight="1" x14ac:dyDescent="0.35">
      <c r="A125" s="101" t="s">
        <v>2737</v>
      </c>
      <c r="B125" s="84" t="s">
        <v>2739</v>
      </c>
      <c r="C125" s="86" t="s">
        <v>2740</v>
      </c>
      <c r="D125" s="88" t="s">
        <v>2741</v>
      </c>
      <c r="E125" s="88" t="s">
        <v>2742</v>
      </c>
      <c r="F125" s="89" t="s">
        <v>2387</v>
      </c>
      <c r="G125" s="89" t="s">
        <v>2328</v>
      </c>
      <c r="H125" s="89">
        <v>1</v>
      </c>
      <c r="I125" s="91" t="str">
        <f>IF(COUNTIF(J125:AW125,"&lt;&gt;")=0,"",SUMPRODUCT(((Recommendations[ImplStatus]="Implemented")+(Recommendations[ImplStatus]="Compensated"))*ISNUMBER(MATCH(Recommendations[Id],J125:AW125,0)))/COUNTIF(J125:AW125,"&lt;&gt;"))</f>
        <v/>
      </c>
      <c r="J125" s="93"/>
      <c r="K125" s="93"/>
      <c r="L125" s="93"/>
      <c r="M125" s="93"/>
      <c r="N125" s="93"/>
      <c r="O125" s="93"/>
      <c r="P125" s="93"/>
      <c r="Q125" s="93"/>
      <c r="R125" s="93"/>
      <c r="S125" s="93"/>
      <c r="T125" s="93"/>
      <c r="U125" s="93"/>
      <c r="V125" s="93"/>
      <c r="W125" s="93"/>
      <c r="X125" s="93"/>
      <c r="Y125" s="93"/>
      <c r="Z125" s="93"/>
      <c r="AA125" s="93"/>
      <c r="AB125" s="93"/>
      <c r="AC125" s="93"/>
      <c r="AD125" s="93"/>
      <c r="AE125" s="93"/>
      <c r="AF125" s="93"/>
      <c r="AG125" s="93"/>
      <c r="AH125" s="93"/>
      <c r="AI125" s="93"/>
      <c r="AJ125" s="93"/>
      <c r="AK125" s="93"/>
      <c r="AL125" s="93"/>
      <c r="AM125" s="93"/>
      <c r="AN125" s="93"/>
      <c r="AO125" s="93"/>
      <c r="AP125" s="93"/>
      <c r="AQ125" s="93"/>
      <c r="AR125" s="93"/>
      <c r="AS125" s="93"/>
      <c r="AT125" s="93"/>
      <c r="AU125" s="93"/>
      <c r="AV125" s="93"/>
      <c r="AW125" s="104"/>
    </row>
    <row r="126" spans="1:49" ht="60" customHeight="1" x14ac:dyDescent="0.35">
      <c r="A126" s="101" t="s">
        <v>2737</v>
      </c>
      <c r="B126" s="84" t="s">
        <v>2743</v>
      </c>
      <c r="C126" s="86" t="s">
        <v>2744</v>
      </c>
      <c r="D126" s="88" t="s">
        <v>2745</v>
      </c>
      <c r="E126" s="88" t="s">
        <v>2746</v>
      </c>
      <c r="F126" s="89" t="s">
        <v>2412</v>
      </c>
      <c r="G126" s="89" t="s">
        <v>2312</v>
      </c>
      <c r="H126" s="89">
        <v>1</v>
      </c>
      <c r="I126" s="91" t="str">
        <f>IF(COUNTIF(J126:AW126,"&lt;&gt;")=0,"",SUMPRODUCT(((Recommendations[ImplStatus]="Implemented")+(Recommendations[ImplStatus]="Compensated"))*ISNUMBER(MATCH(Recommendations[Id],J126:AW126,0)))/COUNTIF(J126:AW126,"&lt;&gt;"))</f>
        <v/>
      </c>
      <c r="J126" s="93"/>
      <c r="K126" s="93"/>
      <c r="L126" s="93"/>
      <c r="M126" s="93"/>
      <c r="N126" s="93"/>
      <c r="O126" s="93"/>
      <c r="P126" s="93"/>
      <c r="Q126" s="93"/>
      <c r="R126" s="93"/>
      <c r="S126" s="93"/>
      <c r="T126" s="93"/>
      <c r="U126" s="93"/>
      <c r="V126" s="93"/>
      <c r="W126" s="93"/>
      <c r="X126" s="93"/>
      <c r="Y126" s="93"/>
      <c r="Z126" s="93"/>
      <c r="AA126" s="93"/>
      <c r="AB126" s="93"/>
      <c r="AC126" s="93"/>
      <c r="AD126" s="93"/>
      <c r="AE126" s="93"/>
      <c r="AF126" s="93"/>
      <c r="AG126" s="93"/>
      <c r="AH126" s="93"/>
      <c r="AI126" s="93"/>
      <c r="AJ126" s="93"/>
      <c r="AK126" s="93"/>
      <c r="AL126" s="93"/>
      <c r="AM126" s="93"/>
      <c r="AN126" s="93"/>
      <c r="AO126" s="93"/>
      <c r="AP126" s="93"/>
      <c r="AQ126" s="93"/>
      <c r="AR126" s="93"/>
      <c r="AS126" s="93"/>
      <c r="AT126" s="93"/>
      <c r="AU126" s="93"/>
      <c r="AV126" s="93"/>
      <c r="AW126" s="104"/>
    </row>
    <row r="127" spans="1:49" ht="60" customHeight="1" x14ac:dyDescent="0.35">
      <c r="A127" s="101" t="s">
        <v>2737</v>
      </c>
      <c r="B127" s="84" t="s">
        <v>2747</v>
      </c>
      <c r="C127" s="86" t="s">
        <v>2748</v>
      </c>
      <c r="D127" s="88" t="s">
        <v>2749</v>
      </c>
      <c r="E127" s="88" t="s">
        <v>2750</v>
      </c>
      <c r="F127" s="89" t="s">
        <v>2412</v>
      </c>
      <c r="G127" s="89" t="s">
        <v>2312</v>
      </c>
      <c r="H127" s="89">
        <v>1</v>
      </c>
      <c r="I127" s="91" t="str">
        <f>IF(COUNTIF(J127:AW127,"&lt;&gt;")=0,"",SUMPRODUCT(((Recommendations[ImplStatus]="Implemented")+(Recommendations[ImplStatus]="Compensated"))*ISNUMBER(MATCH(Recommendations[Id],J127:AW127,0)))/COUNTIF(J127:AW127,"&lt;&gt;"))</f>
        <v/>
      </c>
      <c r="J127" s="93"/>
      <c r="K127" s="93"/>
      <c r="L127" s="93"/>
      <c r="M127" s="93"/>
      <c r="N127" s="93"/>
      <c r="O127" s="93"/>
      <c r="P127" s="93"/>
      <c r="Q127" s="93"/>
      <c r="R127" s="93"/>
      <c r="S127" s="93"/>
      <c r="T127" s="93"/>
      <c r="U127" s="93"/>
      <c r="V127" s="93"/>
      <c r="W127" s="93"/>
      <c r="X127" s="93"/>
      <c r="Y127" s="93"/>
      <c r="Z127" s="93"/>
      <c r="AA127" s="93"/>
      <c r="AB127" s="93"/>
      <c r="AC127" s="93"/>
      <c r="AD127" s="93"/>
      <c r="AE127" s="93"/>
      <c r="AF127" s="93"/>
      <c r="AG127" s="93"/>
      <c r="AH127" s="93"/>
      <c r="AI127" s="93"/>
      <c r="AJ127" s="93"/>
      <c r="AK127" s="93"/>
      <c r="AL127" s="93"/>
      <c r="AM127" s="93"/>
      <c r="AN127" s="93"/>
      <c r="AO127" s="93"/>
      <c r="AP127" s="93"/>
      <c r="AQ127" s="93"/>
      <c r="AR127" s="93"/>
      <c r="AS127" s="93"/>
      <c r="AT127" s="93"/>
      <c r="AU127" s="93"/>
      <c r="AV127" s="93"/>
      <c r="AW127" s="104"/>
    </row>
    <row r="128" spans="1:49" ht="60" customHeight="1" x14ac:dyDescent="0.35">
      <c r="A128" s="101" t="s">
        <v>2737</v>
      </c>
      <c r="B128" s="84" t="s">
        <v>2751</v>
      </c>
      <c r="C128" s="86" t="s">
        <v>2752</v>
      </c>
      <c r="D128" s="88" t="s">
        <v>2753</v>
      </c>
      <c r="E128" s="88" t="s">
        <v>2754</v>
      </c>
      <c r="F128" s="89" t="s">
        <v>2412</v>
      </c>
      <c r="G128" s="89" t="s">
        <v>2312</v>
      </c>
      <c r="H128" s="89">
        <v>1</v>
      </c>
      <c r="I128" s="91" t="str">
        <f>IF(COUNTIF(J128:AW128,"&lt;&gt;")=0,"",SUMPRODUCT(((Recommendations[ImplStatus]="Implemented")+(Recommendations[ImplStatus]="Compensated"))*ISNUMBER(MATCH(Recommendations[Id],J128:AW128,0)))/COUNTIF(J128:AW128,"&lt;&gt;"))</f>
        <v/>
      </c>
      <c r="J128" s="93"/>
      <c r="K128" s="93"/>
      <c r="L128" s="93"/>
      <c r="M128" s="93"/>
      <c r="N128" s="93"/>
      <c r="O128" s="93"/>
      <c r="P128" s="93"/>
      <c r="Q128" s="93"/>
      <c r="R128" s="93"/>
      <c r="S128" s="93"/>
      <c r="T128" s="93"/>
      <c r="U128" s="93"/>
      <c r="V128" s="93"/>
      <c r="W128" s="93"/>
      <c r="X128" s="93"/>
      <c r="Y128" s="93"/>
      <c r="Z128" s="93"/>
      <c r="AA128" s="93"/>
      <c r="AB128" s="93"/>
      <c r="AC128" s="93"/>
      <c r="AD128" s="93"/>
      <c r="AE128" s="93"/>
      <c r="AF128" s="93"/>
      <c r="AG128" s="93"/>
      <c r="AH128" s="93"/>
      <c r="AI128" s="93"/>
      <c r="AJ128" s="93"/>
      <c r="AK128" s="93"/>
      <c r="AL128" s="93"/>
      <c r="AM128" s="93"/>
      <c r="AN128" s="93"/>
      <c r="AO128" s="93"/>
      <c r="AP128" s="93"/>
      <c r="AQ128" s="93"/>
      <c r="AR128" s="93"/>
      <c r="AS128" s="93"/>
      <c r="AT128" s="93"/>
      <c r="AU128" s="93"/>
      <c r="AV128" s="93"/>
      <c r="AW128" s="104"/>
    </row>
    <row r="129" spans="1:49" ht="60" customHeight="1" x14ac:dyDescent="0.35">
      <c r="A129" s="101" t="s">
        <v>2737</v>
      </c>
      <c r="B129" s="84" t="s">
        <v>2755</v>
      </c>
      <c r="C129" s="86" t="s">
        <v>2756</v>
      </c>
      <c r="D129" s="88" t="s">
        <v>2757</v>
      </c>
      <c r="E129" s="88" t="s">
        <v>2758</v>
      </c>
      <c r="F129" s="89" t="s">
        <v>2412</v>
      </c>
      <c r="G129" s="89" t="s">
        <v>2312</v>
      </c>
      <c r="H129" s="89">
        <v>1</v>
      </c>
      <c r="I129" s="91" t="str">
        <f>IF(COUNTIF(J129:AW129,"&lt;&gt;")=0,"",SUMPRODUCT(((Recommendations[ImplStatus]="Implemented")+(Recommendations[ImplStatus]="Compensated"))*ISNUMBER(MATCH(Recommendations[Id],J129:AW129,0)))/COUNTIF(J129:AW129,"&lt;&gt;"))</f>
        <v/>
      </c>
      <c r="J129" s="93"/>
      <c r="K129" s="93"/>
      <c r="L129" s="93"/>
      <c r="M129" s="93"/>
      <c r="N129" s="93"/>
      <c r="O129" s="93"/>
      <c r="P129" s="93"/>
      <c r="Q129" s="93"/>
      <c r="R129" s="93"/>
      <c r="S129" s="93"/>
      <c r="T129" s="93"/>
      <c r="U129" s="93"/>
      <c r="V129" s="93"/>
      <c r="W129" s="93"/>
      <c r="X129" s="93"/>
      <c r="Y129" s="93"/>
      <c r="Z129" s="93"/>
      <c r="AA129" s="93"/>
      <c r="AB129" s="93"/>
      <c r="AC129" s="93"/>
      <c r="AD129" s="93"/>
      <c r="AE129" s="93"/>
      <c r="AF129" s="93"/>
      <c r="AG129" s="93"/>
      <c r="AH129" s="93"/>
      <c r="AI129" s="93"/>
      <c r="AJ129" s="93"/>
      <c r="AK129" s="93"/>
      <c r="AL129" s="93"/>
      <c r="AM129" s="93"/>
      <c r="AN129" s="93"/>
      <c r="AO129" s="93"/>
      <c r="AP129" s="93"/>
      <c r="AQ129" s="93"/>
      <c r="AR129" s="93"/>
      <c r="AS129" s="93"/>
      <c r="AT129" s="93"/>
      <c r="AU129" s="93"/>
      <c r="AV129" s="93"/>
      <c r="AW129" s="104"/>
    </row>
    <row r="130" spans="1:49" ht="60" customHeight="1" x14ac:dyDescent="0.35">
      <c r="A130" s="101" t="s">
        <v>2737</v>
      </c>
      <c r="B130" s="84" t="s">
        <v>2759</v>
      </c>
      <c r="C130" s="86" t="s">
        <v>2760</v>
      </c>
      <c r="D130" s="88" t="s">
        <v>2761</v>
      </c>
      <c r="E130" s="88" t="s">
        <v>2762</v>
      </c>
      <c r="F130" s="89" t="s">
        <v>2412</v>
      </c>
      <c r="G130" s="89" t="s">
        <v>2312</v>
      </c>
      <c r="H130" s="89">
        <v>1</v>
      </c>
      <c r="I130" s="91" t="str">
        <f>IF(COUNTIF(J130:AW130,"&lt;&gt;")=0,"",SUMPRODUCT(((Recommendations[ImplStatus]="Implemented")+(Recommendations[ImplStatus]="Compensated"))*ISNUMBER(MATCH(Recommendations[Id],J130:AW130,0)))/COUNTIF(J130:AW130,"&lt;&gt;"))</f>
        <v/>
      </c>
      <c r="J130" s="93"/>
      <c r="K130" s="93"/>
      <c r="L130" s="93"/>
      <c r="M130" s="93"/>
      <c r="N130" s="93"/>
      <c r="O130" s="93"/>
      <c r="P130" s="93"/>
      <c r="Q130" s="93"/>
      <c r="R130" s="93"/>
      <c r="S130" s="93"/>
      <c r="T130" s="93"/>
      <c r="U130" s="93"/>
      <c r="V130" s="93"/>
      <c r="W130" s="93"/>
      <c r="X130" s="93"/>
      <c r="Y130" s="93"/>
      <c r="Z130" s="93"/>
      <c r="AA130" s="93"/>
      <c r="AB130" s="93"/>
      <c r="AC130" s="93"/>
      <c r="AD130" s="93"/>
      <c r="AE130" s="93"/>
      <c r="AF130" s="93"/>
      <c r="AG130" s="93"/>
      <c r="AH130" s="93"/>
      <c r="AI130" s="93"/>
      <c r="AJ130" s="93"/>
      <c r="AK130" s="93"/>
      <c r="AL130" s="93"/>
      <c r="AM130" s="93"/>
      <c r="AN130" s="93"/>
      <c r="AO130" s="93"/>
      <c r="AP130" s="93"/>
      <c r="AQ130" s="93"/>
      <c r="AR130" s="93"/>
      <c r="AS130" s="93"/>
      <c r="AT130" s="93"/>
      <c r="AU130" s="93"/>
      <c r="AV130" s="93"/>
      <c r="AW130" s="104"/>
    </row>
    <row r="131" spans="1:49" ht="60" customHeight="1" x14ac:dyDescent="0.35">
      <c r="A131" s="101" t="s">
        <v>2737</v>
      </c>
      <c r="B131" s="84" t="s">
        <v>2763</v>
      </c>
      <c r="C131" s="86" t="s">
        <v>2764</v>
      </c>
      <c r="D131" s="88" t="s">
        <v>2765</v>
      </c>
      <c r="E131" s="88" t="s">
        <v>2766</v>
      </c>
      <c r="F131" s="89" t="s">
        <v>2412</v>
      </c>
      <c r="G131" s="89" t="s">
        <v>2312</v>
      </c>
      <c r="H131" s="89">
        <v>1</v>
      </c>
      <c r="I131" s="91" t="str">
        <f>IF(COUNTIF(J131:AW131,"&lt;&gt;")=0,"",SUMPRODUCT(((Recommendations[ImplStatus]="Implemented")+(Recommendations[ImplStatus]="Compensated"))*ISNUMBER(MATCH(Recommendations[Id],J131:AW131,0)))/COUNTIF(J131:AW131,"&lt;&gt;"))</f>
        <v/>
      </c>
      <c r="J131" s="93"/>
      <c r="K131" s="93"/>
      <c r="L131" s="93"/>
      <c r="M131" s="93"/>
      <c r="N131" s="93"/>
      <c r="O131" s="93"/>
      <c r="P131" s="93"/>
      <c r="Q131" s="93"/>
      <c r="R131" s="93"/>
      <c r="S131" s="93"/>
      <c r="T131" s="93"/>
      <c r="U131" s="93"/>
      <c r="V131" s="93"/>
      <c r="W131" s="93"/>
      <c r="X131" s="93"/>
      <c r="Y131" s="93"/>
      <c r="Z131" s="93"/>
      <c r="AA131" s="93"/>
      <c r="AB131" s="93"/>
      <c r="AC131" s="93"/>
      <c r="AD131" s="93"/>
      <c r="AE131" s="93"/>
      <c r="AF131" s="93"/>
      <c r="AG131" s="93"/>
      <c r="AH131" s="93"/>
      <c r="AI131" s="93"/>
      <c r="AJ131" s="93"/>
      <c r="AK131" s="93"/>
      <c r="AL131" s="93"/>
      <c r="AM131" s="93"/>
      <c r="AN131" s="93"/>
      <c r="AO131" s="93"/>
      <c r="AP131" s="93"/>
      <c r="AQ131" s="93"/>
      <c r="AR131" s="93"/>
      <c r="AS131" s="93"/>
      <c r="AT131" s="93"/>
      <c r="AU131" s="93"/>
      <c r="AV131" s="93"/>
      <c r="AW131" s="104"/>
    </row>
    <row r="132" spans="1:49" ht="60" customHeight="1" x14ac:dyDescent="0.35">
      <c r="A132" s="101" t="s">
        <v>2737</v>
      </c>
      <c r="B132" s="84" t="s">
        <v>2767</v>
      </c>
      <c r="C132" s="86" t="s">
        <v>2768</v>
      </c>
      <c r="D132" s="88" t="s">
        <v>2769</v>
      </c>
      <c r="E132" s="88" t="s">
        <v>2770</v>
      </c>
      <c r="F132" s="89" t="s">
        <v>2412</v>
      </c>
      <c r="G132" s="89" t="s">
        <v>2312</v>
      </c>
      <c r="H132" s="89">
        <v>1</v>
      </c>
      <c r="I132" s="91" t="str">
        <f>IF(COUNTIF(J132:AW132,"&lt;&gt;")=0,"",SUMPRODUCT(((Recommendations[ImplStatus]="Implemented")+(Recommendations[ImplStatus]="Compensated"))*ISNUMBER(MATCH(Recommendations[Id],J132:AW132,0)))/COUNTIF(J132:AW132,"&lt;&gt;"))</f>
        <v/>
      </c>
      <c r="J132" s="93"/>
      <c r="K132" s="93"/>
      <c r="L132" s="93"/>
      <c r="M132" s="93"/>
      <c r="N132" s="93"/>
      <c r="O132" s="93"/>
      <c r="P132" s="93"/>
      <c r="Q132" s="93"/>
      <c r="R132" s="93"/>
      <c r="S132" s="93"/>
      <c r="T132" s="93"/>
      <c r="U132" s="93"/>
      <c r="V132" s="93"/>
      <c r="W132" s="93"/>
      <c r="X132" s="93"/>
      <c r="Y132" s="93"/>
      <c r="Z132" s="93"/>
      <c r="AA132" s="93"/>
      <c r="AB132" s="93"/>
      <c r="AC132" s="93"/>
      <c r="AD132" s="93"/>
      <c r="AE132" s="93"/>
      <c r="AF132" s="93"/>
      <c r="AG132" s="93"/>
      <c r="AH132" s="93"/>
      <c r="AI132" s="93"/>
      <c r="AJ132" s="93"/>
      <c r="AK132" s="93"/>
      <c r="AL132" s="93"/>
      <c r="AM132" s="93"/>
      <c r="AN132" s="93"/>
      <c r="AO132" s="93"/>
      <c r="AP132" s="93"/>
      <c r="AQ132" s="93"/>
      <c r="AR132" s="93"/>
      <c r="AS132" s="93"/>
      <c r="AT132" s="93"/>
      <c r="AU132" s="93"/>
      <c r="AV132" s="93"/>
      <c r="AW132" s="104"/>
    </row>
    <row r="133" spans="1:49" ht="60" customHeight="1" x14ac:dyDescent="0.35">
      <c r="A133" s="101" t="s">
        <v>2737</v>
      </c>
      <c r="B133" s="84" t="s">
        <v>2771</v>
      </c>
      <c r="C133" s="86" t="s">
        <v>2772</v>
      </c>
      <c r="D133" s="88" t="s">
        <v>2773</v>
      </c>
      <c r="E133" s="88" t="s">
        <v>2774</v>
      </c>
      <c r="F133" s="89" t="s">
        <v>2412</v>
      </c>
      <c r="G133" s="89" t="s">
        <v>2312</v>
      </c>
      <c r="H133" s="89">
        <v>2</v>
      </c>
      <c r="I133" s="91" t="str">
        <f>IF(COUNTIF(J133:AW133,"&lt;&gt;")=0,"",SUMPRODUCT(((Recommendations[ImplStatus]="Implemented")+(Recommendations[ImplStatus]="Compensated"))*ISNUMBER(MATCH(Recommendations[Id],J133:AW133,0)))/COUNTIF(J133:AW133,"&lt;&gt;"))</f>
        <v/>
      </c>
      <c r="J133" s="93"/>
      <c r="K133" s="93"/>
      <c r="L133" s="93"/>
      <c r="M133" s="93"/>
      <c r="N133" s="93"/>
      <c r="O133" s="93"/>
      <c r="P133" s="93"/>
      <c r="Q133" s="93"/>
      <c r="R133" s="93"/>
      <c r="S133" s="93"/>
      <c r="T133" s="93"/>
      <c r="U133" s="93"/>
      <c r="V133" s="93"/>
      <c r="W133" s="93"/>
      <c r="X133" s="93"/>
      <c r="Y133" s="93"/>
      <c r="Z133" s="93"/>
      <c r="AA133" s="93"/>
      <c r="AB133" s="93"/>
      <c r="AC133" s="93"/>
      <c r="AD133" s="93"/>
      <c r="AE133" s="93"/>
      <c r="AF133" s="93"/>
      <c r="AG133" s="93"/>
      <c r="AH133" s="93"/>
      <c r="AI133" s="93"/>
      <c r="AJ133" s="93"/>
      <c r="AK133" s="93"/>
      <c r="AL133" s="93"/>
      <c r="AM133" s="93"/>
      <c r="AN133" s="93"/>
      <c r="AO133" s="93"/>
      <c r="AP133" s="93"/>
      <c r="AQ133" s="93"/>
      <c r="AR133" s="93"/>
      <c r="AS133" s="93"/>
      <c r="AT133" s="93"/>
      <c r="AU133" s="93"/>
      <c r="AV133" s="93"/>
      <c r="AW133" s="104"/>
    </row>
    <row r="134" spans="1:49" ht="60" customHeight="1" outlineLevel="1" x14ac:dyDescent="0.35">
      <c r="A134" s="100" t="s">
        <v>2775</v>
      </c>
      <c r="B134" s="83">
        <v>15</v>
      </c>
      <c r="C134" s="85" t="s">
        <v>21</v>
      </c>
      <c r="D134" s="87" t="s">
        <v>2776</v>
      </c>
      <c r="E134" s="87" t="s">
        <v>21</v>
      </c>
      <c r="F134" s="83" t="s">
        <v>21</v>
      </c>
      <c r="G134" s="83" t="s">
        <v>21</v>
      </c>
      <c r="H134" s="83"/>
      <c r="I134" s="90" t="str">
        <f>IF(COUNTIF(J134:AW134,"&lt;&gt;")=0,"",SUMPRODUCT(((Recommendations[ImplStatus]="Implemented")+(Recommendations[ImplStatus]="Compensated"))*ISNUMBER(MATCH(Recommendations[Id],J134:AW134,0)))/COUNTIF(J134:AW134,"&lt;&gt;"))</f>
        <v/>
      </c>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2"/>
      <c r="AM134" s="92"/>
      <c r="AN134" s="92"/>
      <c r="AO134" s="92"/>
      <c r="AP134" s="92"/>
      <c r="AQ134" s="92"/>
      <c r="AR134" s="92"/>
      <c r="AS134" s="92"/>
      <c r="AT134" s="92"/>
      <c r="AU134" s="92"/>
      <c r="AV134" s="92"/>
      <c r="AW134" s="103"/>
    </row>
    <row r="135" spans="1:49" ht="60" customHeight="1" x14ac:dyDescent="0.35">
      <c r="A135" s="101" t="s">
        <v>2775</v>
      </c>
      <c r="B135" s="84" t="s">
        <v>2777</v>
      </c>
      <c r="C135" s="86" t="s">
        <v>2778</v>
      </c>
      <c r="D135" s="88" t="s">
        <v>2779</v>
      </c>
      <c r="E135" s="88" t="s">
        <v>2780</v>
      </c>
      <c r="F135" s="89" t="s">
        <v>2412</v>
      </c>
      <c r="G135" s="89" t="s">
        <v>2270</v>
      </c>
      <c r="H135" s="89">
        <v>1</v>
      </c>
      <c r="I135" s="91" t="str">
        <f>IF(COUNTIF(J135:AW135,"&lt;&gt;")=0,"",SUMPRODUCT(((Recommendations[ImplStatus]="Implemented")+(Recommendations[ImplStatus]="Compensated"))*ISNUMBER(MATCH(Recommendations[Id],J135:AW135,0)))/COUNTIF(J135:AW135,"&lt;&gt;"))</f>
        <v/>
      </c>
      <c r="J135" s="93"/>
      <c r="K135" s="93"/>
      <c r="L135" s="93"/>
      <c r="M135" s="93"/>
      <c r="N135" s="93"/>
      <c r="O135" s="93"/>
      <c r="P135" s="93"/>
      <c r="Q135" s="93"/>
      <c r="R135" s="93"/>
      <c r="S135" s="93"/>
      <c r="T135" s="93"/>
      <c r="U135" s="93"/>
      <c r="V135" s="93"/>
      <c r="W135" s="93"/>
      <c r="X135" s="93"/>
      <c r="Y135" s="93"/>
      <c r="Z135" s="93"/>
      <c r="AA135" s="93"/>
      <c r="AB135" s="93"/>
      <c r="AC135" s="93"/>
      <c r="AD135" s="93"/>
      <c r="AE135" s="93"/>
      <c r="AF135" s="93"/>
      <c r="AG135" s="93"/>
      <c r="AH135" s="93"/>
      <c r="AI135" s="93"/>
      <c r="AJ135" s="93"/>
      <c r="AK135" s="93"/>
      <c r="AL135" s="93"/>
      <c r="AM135" s="93"/>
      <c r="AN135" s="93"/>
      <c r="AO135" s="93"/>
      <c r="AP135" s="93"/>
      <c r="AQ135" s="93"/>
      <c r="AR135" s="93"/>
      <c r="AS135" s="93"/>
      <c r="AT135" s="93"/>
      <c r="AU135" s="93"/>
      <c r="AV135" s="93"/>
      <c r="AW135" s="104"/>
    </row>
    <row r="136" spans="1:49" ht="60" customHeight="1" x14ac:dyDescent="0.35">
      <c r="A136" s="101" t="s">
        <v>2775</v>
      </c>
      <c r="B136" s="84" t="s">
        <v>2781</v>
      </c>
      <c r="C136" s="86" t="s">
        <v>2782</v>
      </c>
      <c r="D136" s="88" t="s">
        <v>2783</v>
      </c>
      <c r="E136" s="88" t="s">
        <v>2784</v>
      </c>
      <c r="F136" s="89" t="s">
        <v>2387</v>
      </c>
      <c r="G136" s="89" t="s">
        <v>2328</v>
      </c>
      <c r="H136" s="89">
        <v>2</v>
      </c>
      <c r="I136" s="91" t="str">
        <f>IF(COUNTIF(J136:AW136,"&lt;&gt;")=0,"",SUMPRODUCT(((Recommendations[ImplStatus]="Implemented")+(Recommendations[ImplStatus]="Compensated"))*ISNUMBER(MATCH(Recommendations[Id],J136:AW136,0)))/COUNTIF(J136:AW136,"&lt;&gt;"))</f>
        <v/>
      </c>
      <c r="J136" s="93"/>
      <c r="K136" s="93"/>
      <c r="L136" s="93"/>
      <c r="M136" s="93"/>
      <c r="N136" s="93"/>
      <c r="O136" s="93"/>
      <c r="P136" s="93"/>
      <c r="Q136" s="93"/>
      <c r="R136" s="93"/>
      <c r="S136" s="93"/>
      <c r="T136" s="93"/>
      <c r="U136" s="93"/>
      <c r="V136" s="93"/>
      <c r="W136" s="93"/>
      <c r="X136" s="93"/>
      <c r="Y136" s="93"/>
      <c r="Z136" s="93"/>
      <c r="AA136" s="93"/>
      <c r="AB136" s="93"/>
      <c r="AC136" s="93"/>
      <c r="AD136" s="93"/>
      <c r="AE136" s="93"/>
      <c r="AF136" s="93"/>
      <c r="AG136" s="93"/>
      <c r="AH136" s="93"/>
      <c r="AI136" s="93"/>
      <c r="AJ136" s="93"/>
      <c r="AK136" s="93"/>
      <c r="AL136" s="93"/>
      <c r="AM136" s="93"/>
      <c r="AN136" s="93"/>
      <c r="AO136" s="93"/>
      <c r="AP136" s="93"/>
      <c r="AQ136" s="93"/>
      <c r="AR136" s="93"/>
      <c r="AS136" s="93"/>
      <c r="AT136" s="93"/>
      <c r="AU136" s="93"/>
      <c r="AV136" s="93"/>
      <c r="AW136" s="104"/>
    </row>
    <row r="137" spans="1:49" ht="60" customHeight="1" x14ac:dyDescent="0.35">
      <c r="A137" s="101" t="s">
        <v>2775</v>
      </c>
      <c r="B137" s="84" t="s">
        <v>2785</v>
      </c>
      <c r="C137" s="86" t="s">
        <v>2786</v>
      </c>
      <c r="D137" s="88" t="s">
        <v>2787</v>
      </c>
      <c r="E137" s="88" t="s">
        <v>2788</v>
      </c>
      <c r="F137" s="89" t="s">
        <v>2412</v>
      </c>
      <c r="G137" s="89" t="s">
        <v>2328</v>
      </c>
      <c r="H137" s="89">
        <v>2</v>
      </c>
      <c r="I137" s="91" t="str">
        <f>IF(COUNTIF(J137:AW137,"&lt;&gt;")=0,"",SUMPRODUCT(((Recommendations[ImplStatus]="Implemented")+(Recommendations[ImplStatus]="Compensated"))*ISNUMBER(MATCH(Recommendations[Id],J137:AW137,0)))/COUNTIF(J137:AW137,"&lt;&gt;"))</f>
        <v/>
      </c>
      <c r="J137" s="93"/>
      <c r="K137" s="93"/>
      <c r="L137" s="93"/>
      <c r="M137" s="93"/>
      <c r="N137" s="93"/>
      <c r="O137" s="93"/>
      <c r="P137" s="93"/>
      <c r="Q137" s="93"/>
      <c r="R137" s="93"/>
      <c r="S137" s="93"/>
      <c r="T137" s="93"/>
      <c r="U137" s="93"/>
      <c r="V137" s="93"/>
      <c r="W137" s="93"/>
      <c r="X137" s="93"/>
      <c r="Y137" s="93"/>
      <c r="Z137" s="93"/>
      <c r="AA137" s="93"/>
      <c r="AB137" s="93"/>
      <c r="AC137" s="93"/>
      <c r="AD137" s="93"/>
      <c r="AE137" s="93"/>
      <c r="AF137" s="93"/>
      <c r="AG137" s="93"/>
      <c r="AH137" s="93"/>
      <c r="AI137" s="93"/>
      <c r="AJ137" s="93"/>
      <c r="AK137" s="93"/>
      <c r="AL137" s="93"/>
      <c r="AM137" s="93"/>
      <c r="AN137" s="93"/>
      <c r="AO137" s="93"/>
      <c r="AP137" s="93"/>
      <c r="AQ137" s="93"/>
      <c r="AR137" s="93"/>
      <c r="AS137" s="93"/>
      <c r="AT137" s="93"/>
      <c r="AU137" s="93"/>
      <c r="AV137" s="93"/>
      <c r="AW137" s="104"/>
    </row>
    <row r="138" spans="1:49" ht="60" customHeight="1" x14ac:dyDescent="0.35">
      <c r="A138" s="101" t="s">
        <v>2775</v>
      </c>
      <c r="B138" s="84" t="s">
        <v>2789</v>
      </c>
      <c r="C138" s="86" t="s">
        <v>2790</v>
      </c>
      <c r="D138" s="88" t="s">
        <v>2791</v>
      </c>
      <c r="E138" s="88" t="s">
        <v>2792</v>
      </c>
      <c r="F138" s="89" t="s">
        <v>2387</v>
      </c>
      <c r="G138" s="89" t="s">
        <v>2328</v>
      </c>
      <c r="H138" s="89">
        <v>2</v>
      </c>
      <c r="I138" s="91" t="str">
        <f>IF(COUNTIF(J138:AW138,"&lt;&gt;")=0,"",SUMPRODUCT(((Recommendations[ImplStatus]="Implemented")+(Recommendations[ImplStatus]="Compensated"))*ISNUMBER(MATCH(Recommendations[Id],J138:AW138,0)))/COUNTIF(J138:AW138,"&lt;&gt;"))</f>
        <v/>
      </c>
      <c r="J138" s="93"/>
      <c r="K138" s="93"/>
      <c r="L138" s="93"/>
      <c r="M138" s="93"/>
      <c r="N138" s="93"/>
      <c r="O138" s="93"/>
      <c r="P138" s="93"/>
      <c r="Q138" s="93"/>
      <c r="R138" s="93"/>
      <c r="S138" s="93"/>
      <c r="T138" s="93"/>
      <c r="U138" s="93"/>
      <c r="V138" s="93"/>
      <c r="W138" s="93"/>
      <c r="X138" s="93"/>
      <c r="Y138" s="93"/>
      <c r="Z138" s="93"/>
      <c r="AA138" s="93"/>
      <c r="AB138" s="93"/>
      <c r="AC138" s="93"/>
      <c r="AD138" s="93"/>
      <c r="AE138" s="93"/>
      <c r="AF138" s="93"/>
      <c r="AG138" s="93"/>
      <c r="AH138" s="93"/>
      <c r="AI138" s="93"/>
      <c r="AJ138" s="93"/>
      <c r="AK138" s="93"/>
      <c r="AL138" s="93"/>
      <c r="AM138" s="93"/>
      <c r="AN138" s="93"/>
      <c r="AO138" s="93"/>
      <c r="AP138" s="93"/>
      <c r="AQ138" s="93"/>
      <c r="AR138" s="93"/>
      <c r="AS138" s="93"/>
      <c r="AT138" s="93"/>
      <c r="AU138" s="93"/>
      <c r="AV138" s="93"/>
      <c r="AW138" s="104"/>
    </row>
    <row r="139" spans="1:49" ht="60" customHeight="1" x14ac:dyDescent="0.35">
      <c r="A139" s="101" t="s">
        <v>2775</v>
      </c>
      <c r="B139" s="84" t="s">
        <v>2793</v>
      </c>
      <c r="C139" s="86" t="s">
        <v>2794</v>
      </c>
      <c r="D139" s="88" t="s">
        <v>2795</v>
      </c>
      <c r="E139" s="88" t="s">
        <v>2796</v>
      </c>
      <c r="F139" s="89" t="s">
        <v>2412</v>
      </c>
      <c r="G139" s="89" t="s">
        <v>2328</v>
      </c>
      <c r="H139" s="89">
        <v>3</v>
      </c>
      <c r="I139" s="91" t="str">
        <f>IF(COUNTIF(J139:AW139,"&lt;&gt;")=0,"",SUMPRODUCT(((Recommendations[ImplStatus]="Implemented")+(Recommendations[ImplStatus]="Compensated"))*ISNUMBER(MATCH(Recommendations[Id],J139:AW139,0)))/COUNTIF(J139:AW139,"&lt;&gt;"))</f>
        <v/>
      </c>
      <c r="J139" s="93"/>
      <c r="K139" s="93"/>
      <c r="L139" s="93"/>
      <c r="M139" s="93"/>
      <c r="N139" s="93"/>
      <c r="O139" s="93"/>
      <c r="P139" s="93"/>
      <c r="Q139" s="93"/>
      <c r="R139" s="93"/>
      <c r="S139" s="93"/>
      <c r="T139" s="93"/>
      <c r="U139" s="93"/>
      <c r="V139" s="93"/>
      <c r="W139" s="93"/>
      <c r="X139" s="93"/>
      <c r="Y139" s="93"/>
      <c r="Z139" s="93"/>
      <c r="AA139" s="93"/>
      <c r="AB139" s="93"/>
      <c r="AC139" s="93"/>
      <c r="AD139" s="93"/>
      <c r="AE139" s="93"/>
      <c r="AF139" s="93"/>
      <c r="AG139" s="93"/>
      <c r="AH139" s="93"/>
      <c r="AI139" s="93"/>
      <c r="AJ139" s="93"/>
      <c r="AK139" s="93"/>
      <c r="AL139" s="93"/>
      <c r="AM139" s="93"/>
      <c r="AN139" s="93"/>
      <c r="AO139" s="93"/>
      <c r="AP139" s="93"/>
      <c r="AQ139" s="93"/>
      <c r="AR139" s="93"/>
      <c r="AS139" s="93"/>
      <c r="AT139" s="93"/>
      <c r="AU139" s="93"/>
      <c r="AV139" s="93"/>
      <c r="AW139" s="104"/>
    </row>
    <row r="140" spans="1:49" ht="60" customHeight="1" x14ac:dyDescent="0.35">
      <c r="A140" s="101" t="s">
        <v>2775</v>
      </c>
      <c r="B140" s="84" t="s">
        <v>2797</v>
      </c>
      <c r="C140" s="86" t="s">
        <v>2798</v>
      </c>
      <c r="D140" s="88" t="s">
        <v>2799</v>
      </c>
      <c r="E140" s="88" t="s">
        <v>2800</v>
      </c>
      <c r="F140" s="89" t="s">
        <v>2327</v>
      </c>
      <c r="G140" s="89" t="s">
        <v>2328</v>
      </c>
      <c r="H140" s="89">
        <v>3</v>
      </c>
      <c r="I140" s="91" t="str">
        <f>IF(COUNTIF(J140:AW140,"&lt;&gt;")=0,"",SUMPRODUCT(((Recommendations[ImplStatus]="Implemented")+(Recommendations[ImplStatus]="Compensated"))*ISNUMBER(MATCH(Recommendations[Id],J140:AW140,0)))/COUNTIF(J140:AW140,"&lt;&gt;"))</f>
        <v/>
      </c>
      <c r="J140" s="93"/>
      <c r="K140" s="93"/>
      <c r="L140" s="93"/>
      <c r="M140" s="93"/>
      <c r="N140" s="93"/>
      <c r="O140" s="93"/>
      <c r="P140" s="93"/>
      <c r="Q140" s="93"/>
      <c r="R140" s="93"/>
      <c r="S140" s="93"/>
      <c r="T140" s="93"/>
      <c r="U140" s="93"/>
      <c r="V140" s="93"/>
      <c r="W140" s="93"/>
      <c r="X140" s="93"/>
      <c r="Y140" s="93"/>
      <c r="Z140" s="93"/>
      <c r="AA140" s="93"/>
      <c r="AB140" s="93"/>
      <c r="AC140" s="93"/>
      <c r="AD140" s="93"/>
      <c r="AE140" s="93"/>
      <c r="AF140" s="93"/>
      <c r="AG140" s="93"/>
      <c r="AH140" s="93"/>
      <c r="AI140" s="93"/>
      <c r="AJ140" s="93"/>
      <c r="AK140" s="93"/>
      <c r="AL140" s="93"/>
      <c r="AM140" s="93"/>
      <c r="AN140" s="93"/>
      <c r="AO140" s="93"/>
      <c r="AP140" s="93"/>
      <c r="AQ140" s="93"/>
      <c r="AR140" s="93"/>
      <c r="AS140" s="93"/>
      <c r="AT140" s="93"/>
      <c r="AU140" s="93"/>
      <c r="AV140" s="93"/>
      <c r="AW140" s="104"/>
    </row>
    <row r="141" spans="1:49" ht="60" customHeight="1" x14ac:dyDescent="0.35">
      <c r="A141" s="101" t="s">
        <v>2775</v>
      </c>
      <c r="B141" s="84" t="s">
        <v>2801</v>
      </c>
      <c r="C141" s="86" t="s">
        <v>2802</v>
      </c>
      <c r="D141" s="88" t="s">
        <v>2803</v>
      </c>
      <c r="E141" s="88" t="s">
        <v>2804</v>
      </c>
      <c r="F141" s="89" t="s">
        <v>2327</v>
      </c>
      <c r="G141" s="89" t="s">
        <v>2312</v>
      </c>
      <c r="H141" s="89">
        <v>3</v>
      </c>
      <c r="I141" s="91" t="str">
        <f>IF(COUNTIF(J141:AW141,"&lt;&gt;")=0,"",SUMPRODUCT(((Recommendations[ImplStatus]="Implemented")+(Recommendations[ImplStatus]="Compensated"))*ISNUMBER(MATCH(Recommendations[Id],J141:AW141,0)))/COUNTIF(J141:AW141,"&lt;&gt;"))</f>
        <v/>
      </c>
      <c r="J141" s="93"/>
      <c r="K141" s="93"/>
      <c r="L141" s="93"/>
      <c r="M141" s="93"/>
      <c r="N141" s="93"/>
      <c r="O141" s="93"/>
      <c r="P141" s="93"/>
      <c r="Q141" s="93"/>
      <c r="R141" s="93"/>
      <c r="S141" s="93"/>
      <c r="T141" s="93"/>
      <c r="U141" s="93"/>
      <c r="V141" s="93"/>
      <c r="W141" s="93"/>
      <c r="X141" s="93"/>
      <c r="Y141" s="93"/>
      <c r="Z141" s="93"/>
      <c r="AA141" s="93"/>
      <c r="AB141" s="93"/>
      <c r="AC141" s="93"/>
      <c r="AD141" s="93"/>
      <c r="AE141" s="93"/>
      <c r="AF141" s="93"/>
      <c r="AG141" s="93"/>
      <c r="AH141" s="93"/>
      <c r="AI141" s="93"/>
      <c r="AJ141" s="93"/>
      <c r="AK141" s="93"/>
      <c r="AL141" s="93"/>
      <c r="AM141" s="93"/>
      <c r="AN141" s="93"/>
      <c r="AO141" s="93"/>
      <c r="AP141" s="93"/>
      <c r="AQ141" s="93"/>
      <c r="AR141" s="93"/>
      <c r="AS141" s="93"/>
      <c r="AT141" s="93"/>
      <c r="AU141" s="93"/>
      <c r="AV141" s="93"/>
      <c r="AW141" s="104"/>
    </row>
    <row r="142" spans="1:49" ht="60" customHeight="1" outlineLevel="1" x14ac:dyDescent="0.35">
      <c r="A142" s="100" t="s">
        <v>2805</v>
      </c>
      <c r="B142" s="83">
        <v>16</v>
      </c>
      <c r="C142" s="85" t="s">
        <v>21</v>
      </c>
      <c r="D142" s="87" t="s">
        <v>2806</v>
      </c>
      <c r="E142" s="87" t="s">
        <v>21</v>
      </c>
      <c r="F142" s="83" t="s">
        <v>21</v>
      </c>
      <c r="G142" s="83" t="s">
        <v>21</v>
      </c>
      <c r="H142" s="83"/>
      <c r="I142" s="90" t="str">
        <f>IF(COUNTIF(J142:AW142,"&lt;&gt;")=0,"",SUMPRODUCT(((Recommendations[ImplStatus]="Implemented")+(Recommendations[ImplStatus]="Compensated"))*ISNUMBER(MATCH(Recommendations[Id],J142:AW142,0)))/COUNTIF(J142:AW142,"&lt;&gt;"))</f>
        <v/>
      </c>
      <c r="J142" s="92"/>
      <c r="K142" s="92"/>
      <c r="L142" s="92"/>
      <c r="M142" s="92"/>
      <c r="N142" s="92"/>
      <c r="O142" s="92"/>
      <c r="P142" s="92"/>
      <c r="Q142" s="92"/>
      <c r="R142" s="92"/>
      <c r="S142" s="92"/>
      <c r="T142" s="92"/>
      <c r="U142" s="92"/>
      <c r="V142" s="92"/>
      <c r="W142" s="92"/>
      <c r="X142" s="92"/>
      <c r="Y142" s="92"/>
      <c r="Z142" s="92"/>
      <c r="AA142" s="92"/>
      <c r="AB142" s="92"/>
      <c r="AC142" s="92"/>
      <c r="AD142" s="92"/>
      <c r="AE142" s="92"/>
      <c r="AF142" s="92"/>
      <c r="AG142" s="92"/>
      <c r="AH142" s="92"/>
      <c r="AI142" s="92"/>
      <c r="AJ142" s="92"/>
      <c r="AK142" s="92"/>
      <c r="AL142" s="92"/>
      <c r="AM142" s="92"/>
      <c r="AN142" s="92"/>
      <c r="AO142" s="92"/>
      <c r="AP142" s="92"/>
      <c r="AQ142" s="92"/>
      <c r="AR142" s="92"/>
      <c r="AS142" s="92"/>
      <c r="AT142" s="92"/>
      <c r="AU142" s="92"/>
      <c r="AV142" s="92"/>
      <c r="AW142" s="103"/>
    </row>
    <row r="143" spans="1:49" ht="60" customHeight="1" x14ac:dyDescent="0.35">
      <c r="A143" s="101" t="s">
        <v>2805</v>
      </c>
      <c r="B143" s="84" t="s">
        <v>2807</v>
      </c>
      <c r="C143" s="86" t="s">
        <v>2808</v>
      </c>
      <c r="D143" s="88" t="s">
        <v>2809</v>
      </c>
      <c r="E143" s="88" t="s">
        <v>2810</v>
      </c>
      <c r="F143" s="89" t="s">
        <v>2387</v>
      </c>
      <c r="G143" s="89" t="s">
        <v>2328</v>
      </c>
      <c r="H143" s="89">
        <v>2</v>
      </c>
      <c r="I143" s="91" t="str">
        <f>IF(COUNTIF(J143:AW143,"&lt;&gt;")=0,"",SUMPRODUCT(((Recommendations[ImplStatus]="Implemented")+(Recommendations[ImplStatus]="Compensated"))*ISNUMBER(MATCH(Recommendations[Id],J143:AW143,0)))/COUNTIF(J143:AW143,"&lt;&gt;"))</f>
        <v/>
      </c>
      <c r="J143" s="93"/>
      <c r="K143" s="93"/>
      <c r="L143" s="93"/>
      <c r="M143" s="93"/>
      <c r="N143" s="93"/>
      <c r="O143" s="93"/>
      <c r="P143" s="93"/>
      <c r="Q143" s="93"/>
      <c r="R143" s="93"/>
      <c r="S143" s="93"/>
      <c r="T143" s="93"/>
      <c r="U143" s="93"/>
      <c r="V143" s="93"/>
      <c r="W143" s="93"/>
      <c r="X143" s="93"/>
      <c r="Y143" s="93"/>
      <c r="Z143" s="93"/>
      <c r="AA143" s="93"/>
      <c r="AB143" s="93"/>
      <c r="AC143" s="93"/>
      <c r="AD143" s="93"/>
      <c r="AE143" s="93"/>
      <c r="AF143" s="93"/>
      <c r="AG143" s="93"/>
      <c r="AH143" s="93"/>
      <c r="AI143" s="93"/>
      <c r="AJ143" s="93"/>
      <c r="AK143" s="93"/>
      <c r="AL143" s="93"/>
      <c r="AM143" s="93"/>
      <c r="AN143" s="93"/>
      <c r="AO143" s="93"/>
      <c r="AP143" s="93"/>
      <c r="AQ143" s="93"/>
      <c r="AR143" s="93"/>
      <c r="AS143" s="93"/>
      <c r="AT143" s="93"/>
      <c r="AU143" s="93"/>
      <c r="AV143" s="93"/>
      <c r="AW143" s="104"/>
    </row>
    <row r="144" spans="1:49" ht="60" customHeight="1" x14ac:dyDescent="0.35">
      <c r="A144" s="101" t="s">
        <v>2805</v>
      </c>
      <c r="B144" s="84" t="s">
        <v>2811</v>
      </c>
      <c r="C144" s="86" t="s">
        <v>2812</v>
      </c>
      <c r="D144" s="88" t="s">
        <v>2813</v>
      </c>
      <c r="E144" s="88" t="s">
        <v>2814</v>
      </c>
      <c r="F144" s="89" t="s">
        <v>2387</v>
      </c>
      <c r="G144" s="89" t="s">
        <v>2328</v>
      </c>
      <c r="H144" s="89">
        <v>2</v>
      </c>
      <c r="I144" s="91" t="str">
        <f>IF(COUNTIF(J144:AW144,"&lt;&gt;")=0,"",SUMPRODUCT(((Recommendations[ImplStatus]="Implemented")+(Recommendations[ImplStatus]="Compensated"))*ISNUMBER(MATCH(Recommendations[Id],J144:AW144,0)))/COUNTIF(J144:AW144,"&lt;&gt;"))</f>
        <v/>
      </c>
      <c r="J144" s="93"/>
      <c r="K144" s="93"/>
      <c r="L144" s="93"/>
      <c r="M144" s="93"/>
      <c r="N144" s="93"/>
      <c r="O144" s="93"/>
      <c r="P144" s="93"/>
      <c r="Q144" s="93"/>
      <c r="R144" s="93"/>
      <c r="S144" s="93"/>
      <c r="T144" s="93"/>
      <c r="U144" s="93"/>
      <c r="V144" s="93"/>
      <c r="W144" s="93"/>
      <c r="X144" s="93"/>
      <c r="Y144" s="93"/>
      <c r="Z144" s="93"/>
      <c r="AA144" s="93"/>
      <c r="AB144" s="93"/>
      <c r="AC144" s="93"/>
      <c r="AD144" s="93"/>
      <c r="AE144" s="93"/>
      <c r="AF144" s="93"/>
      <c r="AG144" s="93"/>
      <c r="AH144" s="93"/>
      <c r="AI144" s="93"/>
      <c r="AJ144" s="93"/>
      <c r="AK144" s="93"/>
      <c r="AL144" s="93"/>
      <c r="AM144" s="93"/>
      <c r="AN144" s="93"/>
      <c r="AO144" s="93"/>
      <c r="AP144" s="93"/>
      <c r="AQ144" s="93"/>
      <c r="AR144" s="93"/>
      <c r="AS144" s="93"/>
      <c r="AT144" s="93"/>
      <c r="AU144" s="93"/>
      <c r="AV144" s="93"/>
      <c r="AW144" s="104"/>
    </row>
    <row r="145" spans="1:49" ht="60" customHeight="1" x14ac:dyDescent="0.35">
      <c r="A145" s="101" t="s">
        <v>2805</v>
      </c>
      <c r="B145" s="84" t="s">
        <v>2815</v>
      </c>
      <c r="C145" s="86" t="s">
        <v>2816</v>
      </c>
      <c r="D145" s="88" t="s">
        <v>2817</v>
      </c>
      <c r="E145" s="88" t="s">
        <v>2818</v>
      </c>
      <c r="F145" s="89" t="s">
        <v>2295</v>
      </c>
      <c r="G145" s="89" t="s">
        <v>2280</v>
      </c>
      <c r="H145" s="89">
        <v>2</v>
      </c>
      <c r="I145" s="91" t="str">
        <f>IF(COUNTIF(J145:AW145,"&lt;&gt;")=0,"",SUMPRODUCT(((Recommendations[ImplStatus]="Implemented")+(Recommendations[ImplStatus]="Compensated"))*ISNUMBER(MATCH(Recommendations[Id],J145:AW145,0)))/COUNTIF(J145:AW145,"&lt;&gt;"))</f>
        <v/>
      </c>
      <c r="J145" s="93"/>
      <c r="K145" s="93"/>
      <c r="L145" s="93"/>
      <c r="M145" s="93"/>
      <c r="N145" s="93"/>
      <c r="O145" s="93"/>
      <c r="P145" s="93"/>
      <c r="Q145" s="93"/>
      <c r="R145" s="93"/>
      <c r="S145" s="93"/>
      <c r="T145" s="93"/>
      <c r="U145" s="93"/>
      <c r="V145" s="93"/>
      <c r="W145" s="93"/>
      <c r="X145" s="93"/>
      <c r="Y145" s="93"/>
      <c r="Z145" s="93"/>
      <c r="AA145" s="93"/>
      <c r="AB145" s="93"/>
      <c r="AC145" s="93"/>
      <c r="AD145" s="93"/>
      <c r="AE145" s="93"/>
      <c r="AF145" s="93"/>
      <c r="AG145" s="93"/>
      <c r="AH145" s="93"/>
      <c r="AI145" s="93"/>
      <c r="AJ145" s="93"/>
      <c r="AK145" s="93"/>
      <c r="AL145" s="93"/>
      <c r="AM145" s="93"/>
      <c r="AN145" s="93"/>
      <c r="AO145" s="93"/>
      <c r="AP145" s="93"/>
      <c r="AQ145" s="93"/>
      <c r="AR145" s="93"/>
      <c r="AS145" s="93"/>
      <c r="AT145" s="93"/>
      <c r="AU145" s="93"/>
      <c r="AV145" s="93"/>
      <c r="AW145" s="104"/>
    </row>
    <row r="146" spans="1:49" ht="60" customHeight="1" x14ac:dyDescent="0.35">
      <c r="A146" s="101" t="s">
        <v>2805</v>
      </c>
      <c r="B146" s="84" t="s">
        <v>2819</v>
      </c>
      <c r="C146" s="86" t="s">
        <v>2820</v>
      </c>
      <c r="D146" s="88" t="s">
        <v>2821</v>
      </c>
      <c r="E146" s="88" t="s">
        <v>2822</v>
      </c>
      <c r="F146" s="89" t="s">
        <v>2295</v>
      </c>
      <c r="G146" s="89" t="s">
        <v>2270</v>
      </c>
      <c r="H146" s="89">
        <v>2</v>
      </c>
      <c r="I146" s="91" t="str">
        <f>IF(COUNTIF(J146:AW146,"&lt;&gt;")=0,"",SUMPRODUCT(((Recommendations[ImplStatus]="Implemented")+(Recommendations[ImplStatus]="Compensated"))*ISNUMBER(MATCH(Recommendations[Id],J146:AW146,0)))/COUNTIF(J146:AW146,"&lt;&gt;"))</f>
        <v/>
      </c>
      <c r="J146" s="93"/>
      <c r="K146" s="93"/>
      <c r="L146" s="93"/>
      <c r="M146" s="93"/>
      <c r="N146" s="93"/>
      <c r="O146" s="93"/>
      <c r="P146" s="93"/>
      <c r="Q146" s="93"/>
      <c r="R146" s="93"/>
      <c r="S146" s="93"/>
      <c r="T146" s="93"/>
      <c r="U146" s="93"/>
      <c r="V146" s="93"/>
      <c r="W146" s="93"/>
      <c r="X146" s="93"/>
      <c r="Y146" s="93"/>
      <c r="Z146" s="93"/>
      <c r="AA146" s="93"/>
      <c r="AB146" s="93"/>
      <c r="AC146" s="93"/>
      <c r="AD146" s="93"/>
      <c r="AE146" s="93"/>
      <c r="AF146" s="93"/>
      <c r="AG146" s="93"/>
      <c r="AH146" s="93"/>
      <c r="AI146" s="93"/>
      <c r="AJ146" s="93"/>
      <c r="AK146" s="93"/>
      <c r="AL146" s="93"/>
      <c r="AM146" s="93"/>
      <c r="AN146" s="93"/>
      <c r="AO146" s="93"/>
      <c r="AP146" s="93"/>
      <c r="AQ146" s="93"/>
      <c r="AR146" s="93"/>
      <c r="AS146" s="93"/>
      <c r="AT146" s="93"/>
      <c r="AU146" s="93"/>
      <c r="AV146" s="93"/>
      <c r="AW146" s="104"/>
    </row>
    <row r="147" spans="1:49" ht="60" customHeight="1" x14ac:dyDescent="0.35">
      <c r="A147" s="101" t="s">
        <v>2805</v>
      </c>
      <c r="B147" s="84" t="s">
        <v>2823</v>
      </c>
      <c r="C147" s="86" t="s">
        <v>2824</v>
      </c>
      <c r="D147" s="88" t="s">
        <v>2825</v>
      </c>
      <c r="E147" s="88" t="s">
        <v>2826</v>
      </c>
      <c r="F147" s="89" t="s">
        <v>2295</v>
      </c>
      <c r="G147" s="89" t="s">
        <v>2312</v>
      </c>
      <c r="H147" s="89">
        <v>2</v>
      </c>
      <c r="I147" s="91" t="str">
        <f>IF(COUNTIF(J147:AW147,"&lt;&gt;")=0,"",SUMPRODUCT(((Recommendations[ImplStatus]="Implemented")+(Recommendations[ImplStatus]="Compensated"))*ISNUMBER(MATCH(Recommendations[Id],J147:AW147,0)))/COUNTIF(J147:AW147,"&lt;&gt;"))</f>
        <v/>
      </c>
      <c r="J147" s="93"/>
      <c r="K147" s="93"/>
      <c r="L147" s="93"/>
      <c r="M147" s="93"/>
      <c r="N147" s="93"/>
      <c r="O147" s="93"/>
      <c r="P147" s="93"/>
      <c r="Q147" s="93"/>
      <c r="R147" s="93"/>
      <c r="S147" s="93"/>
      <c r="T147" s="93"/>
      <c r="U147" s="93"/>
      <c r="V147" s="93"/>
      <c r="W147" s="93"/>
      <c r="X147" s="93"/>
      <c r="Y147" s="93"/>
      <c r="Z147" s="93"/>
      <c r="AA147" s="93"/>
      <c r="AB147" s="93"/>
      <c r="AC147" s="93"/>
      <c r="AD147" s="93"/>
      <c r="AE147" s="93"/>
      <c r="AF147" s="93"/>
      <c r="AG147" s="93"/>
      <c r="AH147" s="93"/>
      <c r="AI147" s="93"/>
      <c r="AJ147" s="93"/>
      <c r="AK147" s="93"/>
      <c r="AL147" s="93"/>
      <c r="AM147" s="93"/>
      <c r="AN147" s="93"/>
      <c r="AO147" s="93"/>
      <c r="AP147" s="93"/>
      <c r="AQ147" s="93"/>
      <c r="AR147" s="93"/>
      <c r="AS147" s="93"/>
      <c r="AT147" s="93"/>
      <c r="AU147" s="93"/>
      <c r="AV147" s="93"/>
      <c r="AW147" s="104"/>
    </row>
    <row r="148" spans="1:49" ht="60" customHeight="1" x14ac:dyDescent="0.35">
      <c r="A148" s="101" t="s">
        <v>2805</v>
      </c>
      <c r="B148" s="84" t="s">
        <v>2827</v>
      </c>
      <c r="C148" s="86" t="s">
        <v>2828</v>
      </c>
      <c r="D148" s="88" t="s">
        <v>2829</v>
      </c>
      <c r="E148" s="88" t="s">
        <v>2830</v>
      </c>
      <c r="F148" s="89" t="s">
        <v>2387</v>
      </c>
      <c r="G148" s="89" t="s">
        <v>2328</v>
      </c>
      <c r="H148" s="89">
        <v>2</v>
      </c>
      <c r="I148" s="91" t="str">
        <f>IF(COUNTIF(J148:AW148,"&lt;&gt;")=0,"",SUMPRODUCT(((Recommendations[ImplStatus]="Implemented")+(Recommendations[ImplStatus]="Compensated"))*ISNUMBER(MATCH(Recommendations[Id],J148:AW148,0)))/COUNTIF(J148:AW148,"&lt;&gt;"))</f>
        <v/>
      </c>
      <c r="J148" s="93"/>
      <c r="K148" s="93"/>
      <c r="L148" s="93"/>
      <c r="M148" s="93"/>
      <c r="N148" s="93"/>
      <c r="O148" s="93"/>
      <c r="P148" s="93"/>
      <c r="Q148" s="93"/>
      <c r="R148" s="93"/>
      <c r="S148" s="93"/>
      <c r="T148" s="93"/>
      <c r="U148" s="93"/>
      <c r="V148" s="93"/>
      <c r="W148" s="93"/>
      <c r="X148" s="93"/>
      <c r="Y148" s="93"/>
      <c r="Z148" s="93"/>
      <c r="AA148" s="93"/>
      <c r="AB148" s="93"/>
      <c r="AC148" s="93"/>
      <c r="AD148" s="93"/>
      <c r="AE148" s="93"/>
      <c r="AF148" s="93"/>
      <c r="AG148" s="93"/>
      <c r="AH148" s="93"/>
      <c r="AI148" s="93"/>
      <c r="AJ148" s="93"/>
      <c r="AK148" s="93"/>
      <c r="AL148" s="93"/>
      <c r="AM148" s="93"/>
      <c r="AN148" s="93"/>
      <c r="AO148" s="93"/>
      <c r="AP148" s="93"/>
      <c r="AQ148" s="93"/>
      <c r="AR148" s="93"/>
      <c r="AS148" s="93"/>
      <c r="AT148" s="93"/>
      <c r="AU148" s="93"/>
      <c r="AV148" s="93"/>
      <c r="AW148" s="104"/>
    </row>
    <row r="149" spans="1:49" ht="60" customHeight="1" x14ac:dyDescent="0.35">
      <c r="A149" s="101" t="s">
        <v>2805</v>
      </c>
      <c r="B149" s="84" t="s">
        <v>2831</v>
      </c>
      <c r="C149" s="86" t="s">
        <v>2832</v>
      </c>
      <c r="D149" s="88" t="s">
        <v>2833</v>
      </c>
      <c r="E149" s="88" t="s">
        <v>2834</v>
      </c>
      <c r="F149" s="89" t="s">
        <v>2295</v>
      </c>
      <c r="G149" s="89" t="s">
        <v>2312</v>
      </c>
      <c r="H149" s="89">
        <v>2</v>
      </c>
      <c r="I149" s="91" t="str">
        <f>IF(COUNTIF(J149:AW149,"&lt;&gt;")=0,"",SUMPRODUCT(((Recommendations[ImplStatus]="Implemented")+(Recommendations[ImplStatus]="Compensated"))*ISNUMBER(MATCH(Recommendations[Id],J149:AW149,0)))/COUNTIF(J149:AW149,"&lt;&gt;"))</f>
        <v/>
      </c>
      <c r="J149" s="93"/>
      <c r="K149" s="93"/>
      <c r="L149" s="93"/>
      <c r="M149" s="93"/>
      <c r="N149" s="93"/>
      <c r="O149" s="93"/>
      <c r="P149" s="93"/>
      <c r="Q149" s="93"/>
      <c r="R149" s="93"/>
      <c r="S149" s="93"/>
      <c r="T149" s="93"/>
      <c r="U149" s="93"/>
      <c r="V149" s="93"/>
      <c r="W149" s="93"/>
      <c r="X149" s="93"/>
      <c r="Y149" s="93"/>
      <c r="Z149" s="93"/>
      <c r="AA149" s="93"/>
      <c r="AB149" s="93"/>
      <c r="AC149" s="93"/>
      <c r="AD149" s="93"/>
      <c r="AE149" s="93"/>
      <c r="AF149" s="93"/>
      <c r="AG149" s="93"/>
      <c r="AH149" s="93"/>
      <c r="AI149" s="93"/>
      <c r="AJ149" s="93"/>
      <c r="AK149" s="93"/>
      <c r="AL149" s="93"/>
      <c r="AM149" s="93"/>
      <c r="AN149" s="93"/>
      <c r="AO149" s="93"/>
      <c r="AP149" s="93"/>
      <c r="AQ149" s="93"/>
      <c r="AR149" s="93"/>
      <c r="AS149" s="93"/>
      <c r="AT149" s="93"/>
      <c r="AU149" s="93"/>
      <c r="AV149" s="93"/>
      <c r="AW149" s="104"/>
    </row>
    <row r="150" spans="1:49" ht="60" customHeight="1" x14ac:dyDescent="0.35">
      <c r="A150" s="101" t="s">
        <v>2805</v>
      </c>
      <c r="B150" s="84" t="s">
        <v>2835</v>
      </c>
      <c r="C150" s="86" t="s">
        <v>2836</v>
      </c>
      <c r="D150" s="88" t="s">
        <v>2837</v>
      </c>
      <c r="E150" s="88" t="s">
        <v>2838</v>
      </c>
      <c r="F150" s="89" t="s">
        <v>2541</v>
      </c>
      <c r="G150" s="89" t="s">
        <v>2312</v>
      </c>
      <c r="H150" s="89">
        <v>2</v>
      </c>
      <c r="I150" s="91" t="str">
        <f>IF(COUNTIF(J150:AW150,"&lt;&gt;")=0,"",SUMPRODUCT(((Recommendations[ImplStatus]="Implemented")+(Recommendations[ImplStatus]="Compensated"))*ISNUMBER(MATCH(Recommendations[Id],J150:AW150,0)))/COUNTIF(J150:AW150,"&lt;&gt;"))</f>
        <v/>
      </c>
      <c r="J150" s="93"/>
      <c r="K150" s="93"/>
      <c r="L150" s="93"/>
      <c r="M150" s="93"/>
      <c r="N150" s="93"/>
      <c r="O150" s="93"/>
      <c r="P150" s="93"/>
      <c r="Q150" s="93"/>
      <c r="R150" s="93"/>
      <c r="S150" s="93"/>
      <c r="T150" s="93"/>
      <c r="U150" s="93"/>
      <c r="V150" s="93"/>
      <c r="W150" s="93"/>
      <c r="X150" s="93"/>
      <c r="Y150" s="93"/>
      <c r="Z150" s="93"/>
      <c r="AA150" s="93"/>
      <c r="AB150" s="93"/>
      <c r="AC150" s="93"/>
      <c r="AD150" s="93"/>
      <c r="AE150" s="93"/>
      <c r="AF150" s="93"/>
      <c r="AG150" s="93"/>
      <c r="AH150" s="93"/>
      <c r="AI150" s="93"/>
      <c r="AJ150" s="93"/>
      <c r="AK150" s="93"/>
      <c r="AL150" s="93"/>
      <c r="AM150" s="93"/>
      <c r="AN150" s="93"/>
      <c r="AO150" s="93"/>
      <c r="AP150" s="93"/>
      <c r="AQ150" s="93"/>
      <c r="AR150" s="93"/>
      <c r="AS150" s="93"/>
      <c r="AT150" s="93"/>
      <c r="AU150" s="93"/>
      <c r="AV150" s="93"/>
      <c r="AW150" s="104"/>
    </row>
    <row r="151" spans="1:49" ht="60" customHeight="1" x14ac:dyDescent="0.35">
      <c r="A151" s="101" t="s">
        <v>2805</v>
      </c>
      <c r="B151" s="84" t="s">
        <v>2839</v>
      </c>
      <c r="C151" s="86" t="s">
        <v>2840</v>
      </c>
      <c r="D151" s="88" t="s">
        <v>2841</v>
      </c>
      <c r="E151" s="88" t="s">
        <v>2842</v>
      </c>
      <c r="F151" s="89" t="s">
        <v>2412</v>
      </c>
      <c r="G151" s="89" t="s">
        <v>2312</v>
      </c>
      <c r="H151" s="89">
        <v>2</v>
      </c>
      <c r="I151" s="91" t="str">
        <f>IF(COUNTIF(J151:AW151,"&lt;&gt;")=0,"",SUMPRODUCT(((Recommendations[ImplStatus]="Implemented")+(Recommendations[ImplStatus]="Compensated"))*ISNUMBER(MATCH(Recommendations[Id],J151:AW151,0)))/COUNTIF(J151:AW151,"&lt;&gt;"))</f>
        <v/>
      </c>
      <c r="J151" s="93"/>
      <c r="K151" s="93"/>
      <c r="L151" s="93"/>
      <c r="M151" s="93"/>
      <c r="N151" s="93"/>
      <c r="O151" s="93"/>
      <c r="P151" s="93"/>
      <c r="Q151" s="93"/>
      <c r="R151" s="93"/>
      <c r="S151" s="93"/>
      <c r="T151" s="93"/>
      <c r="U151" s="93"/>
      <c r="V151" s="93"/>
      <c r="W151" s="93"/>
      <c r="X151" s="93"/>
      <c r="Y151" s="93"/>
      <c r="Z151" s="93"/>
      <c r="AA151" s="93"/>
      <c r="AB151" s="93"/>
      <c r="AC151" s="93"/>
      <c r="AD151" s="93"/>
      <c r="AE151" s="93"/>
      <c r="AF151" s="93"/>
      <c r="AG151" s="93"/>
      <c r="AH151" s="93"/>
      <c r="AI151" s="93"/>
      <c r="AJ151" s="93"/>
      <c r="AK151" s="93"/>
      <c r="AL151" s="93"/>
      <c r="AM151" s="93"/>
      <c r="AN151" s="93"/>
      <c r="AO151" s="93"/>
      <c r="AP151" s="93"/>
      <c r="AQ151" s="93"/>
      <c r="AR151" s="93"/>
      <c r="AS151" s="93"/>
      <c r="AT151" s="93"/>
      <c r="AU151" s="93"/>
      <c r="AV151" s="93"/>
      <c r="AW151" s="104"/>
    </row>
    <row r="152" spans="1:49" ht="60" customHeight="1" x14ac:dyDescent="0.35">
      <c r="A152" s="101" t="s">
        <v>2805</v>
      </c>
      <c r="B152" s="84" t="s">
        <v>2843</v>
      </c>
      <c r="C152" s="86" t="s">
        <v>2844</v>
      </c>
      <c r="D152" s="88" t="s">
        <v>2845</v>
      </c>
      <c r="E152" s="88" t="s">
        <v>2846</v>
      </c>
      <c r="F152" s="89" t="s">
        <v>2295</v>
      </c>
      <c r="G152" s="89" t="s">
        <v>2312</v>
      </c>
      <c r="H152" s="89">
        <v>2</v>
      </c>
      <c r="I152" s="91" t="str">
        <f>IF(COUNTIF(J152:AW152,"&lt;&gt;")=0,"",SUMPRODUCT(((Recommendations[ImplStatus]="Implemented")+(Recommendations[ImplStatus]="Compensated"))*ISNUMBER(MATCH(Recommendations[Id],J152:AW152,0)))/COUNTIF(J152:AW152,"&lt;&gt;"))</f>
        <v/>
      </c>
      <c r="J152" s="93"/>
      <c r="K152" s="93"/>
      <c r="L152" s="93"/>
      <c r="M152" s="93"/>
      <c r="N152" s="93"/>
      <c r="O152" s="93"/>
      <c r="P152" s="93"/>
      <c r="Q152" s="93"/>
      <c r="R152" s="93"/>
      <c r="S152" s="93"/>
      <c r="T152" s="93"/>
      <c r="U152" s="93"/>
      <c r="V152" s="93"/>
      <c r="W152" s="93"/>
      <c r="X152" s="93"/>
      <c r="Y152" s="93"/>
      <c r="Z152" s="93"/>
      <c r="AA152" s="93"/>
      <c r="AB152" s="93"/>
      <c r="AC152" s="93"/>
      <c r="AD152" s="93"/>
      <c r="AE152" s="93"/>
      <c r="AF152" s="93"/>
      <c r="AG152" s="93"/>
      <c r="AH152" s="93"/>
      <c r="AI152" s="93"/>
      <c r="AJ152" s="93"/>
      <c r="AK152" s="93"/>
      <c r="AL152" s="93"/>
      <c r="AM152" s="93"/>
      <c r="AN152" s="93"/>
      <c r="AO152" s="93"/>
      <c r="AP152" s="93"/>
      <c r="AQ152" s="93"/>
      <c r="AR152" s="93"/>
      <c r="AS152" s="93"/>
      <c r="AT152" s="93"/>
      <c r="AU152" s="93"/>
      <c r="AV152" s="93"/>
      <c r="AW152" s="104"/>
    </row>
    <row r="153" spans="1:49" ht="60" customHeight="1" x14ac:dyDescent="0.35">
      <c r="A153" s="101" t="s">
        <v>2805</v>
      </c>
      <c r="B153" s="84" t="s">
        <v>2847</v>
      </c>
      <c r="C153" s="86" t="s">
        <v>2848</v>
      </c>
      <c r="D153" s="88" t="s">
        <v>2849</v>
      </c>
      <c r="E153" s="88" t="s">
        <v>2850</v>
      </c>
      <c r="F153" s="89" t="s">
        <v>2295</v>
      </c>
      <c r="G153" s="89" t="s">
        <v>2312</v>
      </c>
      <c r="H153" s="89">
        <v>2</v>
      </c>
      <c r="I153" s="91" t="str">
        <f>IF(COUNTIF(J153:AW153,"&lt;&gt;")=0,"",SUMPRODUCT(((Recommendations[ImplStatus]="Implemented")+(Recommendations[ImplStatus]="Compensated"))*ISNUMBER(MATCH(Recommendations[Id],J153:AW153,0)))/COUNTIF(J153:AW153,"&lt;&gt;"))</f>
        <v/>
      </c>
      <c r="J153" s="93"/>
      <c r="K153" s="93"/>
      <c r="L153" s="93"/>
      <c r="M153" s="93"/>
      <c r="N153" s="93"/>
      <c r="O153" s="93"/>
      <c r="P153" s="93"/>
      <c r="Q153" s="93"/>
      <c r="R153" s="93"/>
      <c r="S153" s="93"/>
      <c r="T153" s="93"/>
      <c r="U153" s="93"/>
      <c r="V153" s="93"/>
      <c r="W153" s="93"/>
      <c r="X153" s="93"/>
      <c r="Y153" s="93"/>
      <c r="Z153" s="93"/>
      <c r="AA153" s="93"/>
      <c r="AB153" s="93"/>
      <c r="AC153" s="93"/>
      <c r="AD153" s="93"/>
      <c r="AE153" s="93"/>
      <c r="AF153" s="93"/>
      <c r="AG153" s="93"/>
      <c r="AH153" s="93"/>
      <c r="AI153" s="93"/>
      <c r="AJ153" s="93"/>
      <c r="AK153" s="93"/>
      <c r="AL153" s="93"/>
      <c r="AM153" s="93"/>
      <c r="AN153" s="93"/>
      <c r="AO153" s="93"/>
      <c r="AP153" s="93"/>
      <c r="AQ153" s="93"/>
      <c r="AR153" s="93"/>
      <c r="AS153" s="93"/>
      <c r="AT153" s="93"/>
      <c r="AU153" s="93"/>
      <c r="AV153" s="93"/>
      <c r="AW153" s="104"/>
    </row>
    <row r="154" spans="1:49" ht="60" customHeight="1" x14ac:dyDescent="0.35">
      <c r="A154" s="101" t="s">
        <v>2805</v>
      </c>
      <c r="B154" s="84" t="s">
        <v>2851</v>
      </c>
      <c r="C154" s="86" t="s">
        <v>2852</v>
      </c>
      <c r="D154" s="88" t="s">
        <v>2853</v>
      </c>
      <c r="E154" s="88" t="s">
        <v>2854</v>
      </c>
      <c r="F154" s="89" t="s">
        <v>2295</v>
      </c>
      <c r="G154" s="89" t="s">
        <v>2312</v>
      </c>
      <c r="H154" s="89">
        <v>3</v>
      </c>
      <c r="I154" s="91" t="str">
        <f>IF(COUNTIF(J154:AW154,"&lt;&gt;")=0,"",SUMPRODUCT(((Recommendations[ImplStatus]="Implemented")+(Recommendations[ImplStatus]="Compensated"))*ISNUMBER(MATCH(Recommendations[Id],J154:AW154,0)))/COUNTIF(J154:AW154,"&lt;&gt;"))</f>
        <v/>
      </c>
      <c r="J154" s="93"/>
      <c r="K154" s="93"/>
      <c r="L154" s="93"/>
      <c r="M154" s="93"/>
      <c r="N154" s="93"/>
      <c r="O154" s="93"/>
      <c r="P154" s="93"/>
      <c r="Q154" s="93"/>
      <c r="R154" s="93"/>
      <c r="S154" s="93"/>
      <c r="T154" s="93"/>
      <c r="U154" s="93"/>
      <c r="V154" s="93"/>
      <c r="W154" s="93"/>
      <c r="X154" s="93"/>
      <c r="Y154" s="93"/>
      <c r="Z154" s="93"/>
      <c r="AA154" s="93"/>
      <c r="AB154" s="93"/>
      <c r="AC154" s="93"/>
      <c r="AD154" s="93"/>
      <c r="AE154" s="93"/>
      <c r="AF154" s="93"/>
      <c r="AG154" s="93"/>
      <c r="AH154" s="93"/>
      <c r="AI154" s="93"/>
      <c r="AJ154" s="93"/>
      <c r="AK154" s="93"/>
      <c r="AL154" s="93"/>
      <c r="AM154" s="93"/>
      <c r="AN154" s="93"/>
      <c r="AO154" s="93"/>
      <c r="AP154" s="93"/>
      <c r="AQ154" s="93"/>
      <c r="AR154" s="93"/>
      <c r="AS154" s="93"/>
      <c r="AT154" s="93"/>
      <c r="AU154" s="93"/>
      <c r="AV154" s="93"/>
      <c r="AW154" s="104"/>
    </row>
    <row r="155" spans="1:49" ht="60" customHeight="1" x14ac:dyDescent="0.35">
      <c r="A155" s="101" t="s">
        <v>2805</v>
      </c>
      <c r="B155" s="84" t="s">
        <v>2855</v>
      </c>
      <c r="C155" s="86" t="s">
        <v>2856</v>
      </c>
      <c r="D155" s="88" t="s">
        <v>2857</v>
      </c>
      <c r="E155" s="88" t="s">
        <v>2858</v>
      </c>
      <c r="F155" s="89" t="s">
        <v>2295</v>
      </c>
      <c r="G155" s="89" t="s">
        <v>2280</v>
      </c>
      <c r="H155" s="89">
        <v>3</v>
      </c>
      <c r="I155" s="91" t="str">
        <f>IF(COUNTIF(J155:AW155,"&lt;&gt;")=0,"",SUMPRODUCT(((Recommendations[ImplStatus]="Implemented")+(Recommendations[ImplStatus]="Compensated"))*ISNUMBER(MATCH(Recommendations[Id],J155:AW155,0)))/COUNTIF(J155:AW155,"&lt;&gt;"))</f>
        <v/>
      </c>
      <c r="J155" s="93"/>
      <c r="K155" s="93"/>
      <c r="L155" s="93"/>
      <c r="M155" s="93"/>
      <c r="N155" s="93"/>
      <c r="O155" s="93"/>
      <c r="P155" s="93"/>
      <c r="Q155" s="93"/>
      <c r="R155" s="93"/>
      <c r="S155" s="93"/>
      <c r="T155" s="93"/>
      <c r="U155" s="93"/>
      <c r="V155" s="93"/>
      <c r="W155" s="93"/>
      <c r="X155" s="93"/>
      <c r="Y155" s="93"/>
      <c r="Z155" s="93"/>
      <c r="AA155" s="93"/>
      <c r="AB155" s="93"/>
      <c r="AC155" s="93"/>
      <c r="AD155" s="93"/>
      <c r="AE155" s="93"/>
      <c r="AF155" s="93"/>
      <c r="AG155" s="93"/>
      <c r="AH155" s="93"/>
      <c r="AI155" s="93"/>
      <c r="AJ155" s="93"/>
      <c r="AK155" s="93"/>
      <c r="AL155" s="93"/>
      <c r="AM155" s="93"/>
      <c r="AN155" s="93"/>
      <c r="AO155" s="93"/>
      <c r="AP155" s="93"/>
      <c r="AQ155" s="93"/>
      <c r="AR155" s="93"/>
      <c r="AS155" s="93"/>
      <c r="AT155" s="93"/>
      <c r="AU155" s="93"/>
      <c r="AV155" s="93"/>
      <c r="AW155" s="104"/>
    </row>
    <row r="156" spans="1:49" ht="60" customHeight="1" x14ac:dyDescent="0.35">
      <c r="A156" s="101" t="s">
        <v>2805</v>
      </c>
      <c r="B156" s="84" t="s">
        <v>2859</v>
      </c>
      <c r="C156" s="86" t="s">
        <v>2860</v>
      </c>
      <c r="D156" s="88" t="s">
        <v>2861</v>
      </c>
      <c r="E156" s="88" t="s">
        <v>2862</v>
      </c>
      <c r="F156" s="89" t="s">
        <v>2295</v>
      </c>
      <c r="G156" s="89" t="s">
        <v>2312</v>
      </c>
      <c r="H156" s="89">
        <v>3</v>
      </c>
      <c r="I156" s="91" t="str">
        <f>IF(COUNTIF(J156:AW156,"&lt;&gt;")=0,"",SUMPRODUCT(((Recommendations[ImplStatus]="Implemented")+(Recommendations[ImplStatus]="Compensated"))*ISNUMBER(MATCH(Recommendations[Id],J156:AW156,0)))/COUNTIF(J156:AW156,"&lt;&gt;"))</f>
        <v/>
      </c>
      <c r="J156" s="93"/>
      <c r="K156" s="93"/>
      <c r="L156" s="93"/>
      <c r="M156" s="93"/>
      <c r="N156" s="93"/>
      <c r="O156" s="93"/>
      <c r="P156" s="93"/>
      <c r="Q156" s="93"/>
      <c r="R156" s="93"/>
      <c r="S156" s="93"/>
      <c r="T156" s="93"/>
      <c r="U156" s="93"/>
      <c r="V156" s="93"/>
      <c r="W156" s="93"/>
      <c r="X156" s="93"/>
      <c r="Y156" s="93"/>
      <c r="Z156" s="93"/>
      <c r="AA156" s="93"/>
      <c r="AB156" s="93"/>
      <c r="AC156" s="93"/>
      <c r="AD156" s="93"/>
      <c r="AE156" s="93"/>
      <c r="AF156" s="93"/>
      <c r="AG156" s="93"/>
      <c r="AH156" s="93"/>
      <c r="AI156" s="93"/>
      <c r="AJ156" s="93"/>
      <c r="AK156" s="93"/>
      <c r="AL156" s="93"/>
      <c r="AM156" s="93"/>
      <c r="AN156" s="93"/>
      <c r="AO156" s="93"/>
      <c r="AP156" s="93"/>
      <c r="AQ156" s="93"/>
      <c r="AR156" s="93"/>
      <c r="AS156" s="93"/>
      <c r="AT156" s="93"/>
      <c r="AU156" s="93"/>
      <c r="AV156" s="93"/>
      <c r="AW156" s="104"/>
    </row>
    <row r="157" spans="1:49" ht="60" customHeight="1" outlineLevel="1" x14ac:dyDescent="0.35">
      <c r="A157" s="100" t="s">
        <v>2863</v>
      </c>
      <c r="B157" s="83">
        <v>17</v>
      </c>
      <c r="C157" s="85" t="s">
        <v>21</v>
      </c>
      <c r="D157" s="87" t="s">
        <v>2864</v>
      </c>
      <c r="E157" s="87" t="s">
        <v>21</v>
      </c>
      <c r="F157" s="83" t="s">
        <v>21</v>
      </c>
      <c r="G157" s="83" t="s">
        <v>21</v>
      </c>
      <c r="H157" s="83"/>
      <c r="I157" s="90" t="str">
        <f>IF(COUNTIF(J157:AW157,"&lt;&gt;")=0,"",SUMPRODUCT(((Recommendations[ImplStatus]="Implemented")+(Recommendations[ImplStatus]="Compensated"))*ISNUMBER(MATCH(Recommendations[Id],J157:AW157,0)))/COUNTIF(J157:AW157,"&lt;&gt;"))</f>
        <v/>
      </c>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2"/>
      <c r="AM157" s="92"/>
      <c r="AN157" s="92"/>
      <c r="AO157" s="92"/>
      <c r="AP157" s="92"/>
      <c r="AQ157" s="92"/>
      <c r="AR157" s="92"/>
      <c r="AS157" s="92"/>
      <c r="AT157" s="92"/>
      <c r="AU157" s="92"/>
      <c r="AV157" s="92"/>
      <c r="AW157" s="103"/>
    </row>
    <row r="158" spans="1:49" ht="60" customHeight="1" x14ac:dyDescent="0.35">
      <c r="A158" s="101" t="s">
        <v>2863</v>
      </c>
      <c r="B158" s="84" t="s">
        <v>2865</v>
      </c>
      <c r="C158" s="86" t="s">
        <v>2866</v>
      </c>
      <c r="D158" s="88" t="s">
        <v>2867</v>
      </c>
      <c r="E158" s="88" t="s">
        <v>2868</v>
      </c>
      <c r="F158" s="89" t="s">
        <v>2412</v>
      </c>
      <c r="G158" s="89" t="s">
        <v>2275</v>
      </c>
      <c r="H158" s="89">
        <v>1</v>
      </c>
      <c r="I158" s="91" t="str">
        <f>IF(COUNTIF(J158:AW158,"&lt;&gt;")=0,"",SUMPRODUCT(((Recommendations[ImplStatus]="Implemented")+(Recommendations[ImplStatus]="Compensated"))*ISNUMBER(MATCH(Recommendations[Id],J158:AW158,0)))/COUNTIF(J158:AW158,"&lt;&gt;"))</f>
        <v/>
      </c>
      <c r="J158" s="93"/>
      <c r="K158" s="93"/>
      <c r="L158" s="93"/>
      <c r="M158" s="93"/>
      <c r="N158" s="93"/>
      <c r="O158" s="93"/>
      <c r="P158" s="93"/>
      <c r="Q158" s="93"/>
      <c r="R158" s="93"/>
      <c r="S158" s="93"/>
      <c r="T158" s="93"/>
      <c r="U158" s="93"/>
      <c r="V158" s="93"/>
      <c r="W158" s="93"/>
      <c r="X158" s="93"/>
      <c r="Y158" s="93"/>
      <c r="Z158" s="93"/>
      <c r="AA158" s="93"/>
      <c r="AB158" s="93"/>
      <c r="AC158" s="93"/>
      <c r="AD158" s="93"/>
      <c r="AE158" s="93"/>
      <c r="AF158" s="93"/>
      <c r="AG158" s="93"/>
      <c r="AH158" s="93"/>
      <c r="AI158" s="93"/>
      <c r="AJ158" s="93"/>
      <c r="AK158" s="93"/>
      <c r="AL158" s="93"/>
      <c r="AM158" s="93"/>
      <c r="AN158" s="93"/>
      <c r="AO158" s="93"/>
      <c r="AP158" s="93"/>
      <c r="AQ158" s="93"/>
      <c r="AR158" s="93"/>
      <c r="AS158" s="93"/>
      <c r="AT158" s="93"/>
      <c r="AU158" s="93"/>
      <c r="AV158" s="93"/>
      <c r="AW158" s="104"/>
    </row>
    <row r="159" spans="1:49" ht="60" customHeight="1" x14ac:dyDescent="0.35">
      <c r="A159" s="101" t="s">
        <v>2863</v>
      </c>
      <c r="B159" s="84" t="s">
        <v>2869</v>
      </c>
      <c r="C159" s="86" t="s">
        <v>2870</v>
      </c>
      <c r="D159" s="88" t="s">
        <v>2871</v>
      </c>
      <c r="E159" s="88" t="s">
        <v>2872</v>
      </c>
      <c r="F159" s="89" t="s">
        <v>2387</v>
      </c>
      <c r="G159" s="89" t="s">
        <v>2328</v>
      </c>
      <c r="H159" s="89">
        <v>1</v>
      </c>
      <c r="I159" s="91" t="str">
        <f>IF(COUNTIF(J159:AW159,"&lt;&gt;")=0,"",SUMPRODUCT(((Recommendations[ImplStatus]="Implemented")+(Recommendations[ImplStatus]="Compensated"))*ISNUMBER(MATCH(Recommendations[Id],J159:AW159,0)))/COUNTIF(J159:AW159,"&lt;&gt;"))</f>
        <v/>
      </c>
      <c r="J159" s="93"/>
      <c r="K159" s="93"/>
      <c r="L159" s="93"/>
      <c r="M159" s="93"/>
      <c r="N159" s="93"/>
      <c r="O159" s="93"/>
      <c r="P159" s="93"/>
      <c r="Q159" s="93"/>
      <c r="R159" s="93"/>
      <c r="S159" s="93"/>
      <c r="T159" s="93"/>
      <c r="U159" s="93"/>
      <c r="V159" s="93"/>
      <c r="W159" s="93"/>
      <c r="X159" s="93"/>
      <c r="Y159" s="93"/>
      <c r="Z159" s="93"/>
      <c r="AA159" s="93"/>
      <c r="AB159" s="93"/>
      <c r="AC159" s="93"/>
      <c r="AD159" s="93"/>
      <c r="AE159" s="93"/>
      <c r="AF159" s="93"/>
      <c r="AG159" s="93"/>
      <c r="AH159" s="93"/>
      <c r="AI159" s="93"/>
      <c r="AJ159" s="93"/>
      <c r="AK159" s="93"/>
      <c r="AL159" s="93"/>
      <c r="AM159" s="93"/>
      <c r="AN159" s="93"/>
      <c r="AO159" s="93"/>
      <c r="AP159" s="93"/>
      <c r="AQ159" s="93"/>
      <c r="AR159" s="93"/>
      <c r="AS159" s="93"/>
      <c r="AT159" s="93"/>
      <c r="AU159" s="93"/>
      <c r="AV159" s="93"/>
      <c r="AW159" s="104"/>
    </row>
    <row r="160" spans="1:49" ht="60" customHeight="1" x14ac:dyDescent="0.35">
      <c r="A160" s="101" t="s">
        <v>2863</v>
      </c>
      <c r="B160" s="84" t="s">
        <v>2873</v>
      </c>
      <c r="C160" s="86" t="s">
        <v>2874</v>
      </c>
      <c r="D160" s="88" t="s">
        <v>2875</v>
      </c>
      <c r="E160" s="88" t="s">
        <v>2876</v>
      </c>
      <c r="F160" s="89" t="s">
        <v>2387</v>
      </c>
      <c r="G160" s="89" t="s">
        <v>2328</v>
      </c>
      <c r="H160" s="89">
        <v>1</v>
      </c>
      <c r="I160" s="91" t="str">
        <f>IF(COUNTIF(J160:AW160,"&lt;&gt;")=0,"",SUMPRODUCT(((Recommendations[ImplStatus]="Implemented")+(Recommendations[ImplStatus]="Compensated"))*ISNUMBER(MATCH(Recommendations[Id],J160:AW160,0)))/COUNTIF(J160:AW160,"&lt;&gt;"))</f>
        <v/>
      </c>
      <c r="J160" s="93"/>
      <c r="K160" s="93"/>
      <c r="L160" s="93"/>
      <c r="M160" s="93"/>
      <c r="N160" s="93"/>
      <c r="O160" s="93"/>
      <c r="P160" s="93"/>
      <c r="Q160" s="93"/>
      <c r="R160" s="93"/>
      <c r="S160" s="93"/>
      <c r="T160" s="93"/>
      <c r="U160" s="93"/>
      <c r="V160" s="93"/>
      <c r="W160" s="93"/>
      <c r="X160" s="93"/>
      <c r="Y160" s="93"/>
      <c r="Z160" s="93"/>
      <c r="AA160" s="93"/>
      <c r="AB160" s="93"/>
      <c r="AC160" s="93"/>
      <c r="AD160" s="93"/>
      <c r="AE160" s="93"/>
      <c r="AF160" s="93"/>
      <c r="AG160" s="93"/>
      <c r="AH160" s="93"/>
      <c r="AI160" s="93"/>
      <c r="AJ160" s="93"/>
      <c r="AK160" s="93"/>
      <c r="AL160" s="93"/>
      <c r="AM160" s="93"/>
      <c r="AN160" s="93"/>
      <c r="AO160" s="93"/>
      <c r="AP160" s="93"/>
      <c r="AQ160" s="93"/>
      <c r="AR160" s="93"/>
      <c r="AS160" s="93"/>
      <c r="AT160" s="93"/>
      <c r="AU160" s="93"/>
      <c r="AV160" s="93"/>
      <c r="AW160" s="104"/>
    </row>
    <row r="161" spans="1:49" ht="60" customHeight="1" x14ac:dyDescent="0.35">
      <c r="A161" s="101" t="s">
        <v>2863</v>
      </c>
      <c r="B161" s="84" t="s">
        <v>2877</v>
      </c>
      <c r="C161" s="86" t="s">
        <v>2878</v>
      </c>
      <c r="D161" s="88" t="s">
        <v>2879</v>
      </c>
      <c r="E161" s="88" t="s">
        <v>2880</v>
      </c>
      <c r="F161" s="89" t="s">
        <v>2387</v>
      </c>
      <c r="G161" s="89" t="s">
        <v>2328</v>
      </c>
      <c r="H161" s="89">
        <v>2</v>
      </c>
      <c r="I161" s="91" t="str">
        <f>IF(COUNTIF(J161:AW161,"&lt;&gt;")=0,"",SUMPRODUCT(((Recommendations[ImplStatus]="Implemented")+(Recommendations[ImplStatus]="Compensated"))*ISNUMBER(MATCH(Recommendations[Id],J161:AW161,0)))/COUNTIF(J161:AW161,"&lt;&gt;"))</f>
        <v/>
      </c>
      <c r="J161" s="93"/>
      <c r="K161" s="93"/>
      <c r="L161" s="93"/>
      <c r="M161" s="93"/>
      <c r="N161" s="93"/>
      <c r="O161" s="93"/>
      <c r="P161" s="93"/>
      <c r="Q161" s="93"/>
      <c r="R161" s="93"/>
      <c r="S161" s="93"/>
      <c r="T161" s="93"/>
      <c r="U161" s="93"/>
      <c r="V161" s="93"/>
      <c r="W161" s="93"/>
      <c r="X161" s="93"/>
      <c r="Y161" s="93"/>
      <c r="Z161" s="93"/>
      <c r="AA161" s="93"/>
      <c r="AB161" s="93"/>
      <c r="AC161" s="93"/>
      <c r="AD161" s="93"/>
      <c r="AE161" s="93"/>
      <c r="AF161" s="93"/>
      <c r="AG161" s="93"/>
      <c r="AH161" s="93"/>
      <c r="AI161" s="93"/>
      <c r="AJ161" s="93"/>
      <c r="AK161" s="93"/>
      <c r="AL161" s="93"/>
      <c r="AM161" s="93"/>
      <c r="AN161" s="93"/>
      <c r="AO161" s="93"/>
      <c r="AP161" s="93"/>
      <c r="AQ161" s="93"/>
      <c r="AR161" s="93"/>
      <c r="AS161" s="93"/>
      <c r="AT161" s="93"/>
      <c r="AU161" s="93"/>
      <c r="AV161" s="93"/>
      <c r="AW161" s="104"/>
    </row>
    <row r="162" spans="1:49" ht="60" customHeight="1" x14ac:dyDescent="0.35">
      <c r="A162" s="101" t="s">
        <v>2863</v>
      </c>
      <c r="B162" s="84" t="s">
        <v>2881</v>
      </c>
      <c r="C162" s="86" t="s">
        <v>2882</v>
      </c>
      <c r="D162" s="88" t="s">
        <v>2883</v>
      </c>
      <c r="E162" s="88" t="s">
        <v>2884</v>
      </c>
      <c r="F162" s="89" t="s">
        <v>2412</v>
      </c>
      <c r="G162" s="89" t="s">
        <v>2275</v>
      </c>
      <c r="H162" s="89">
        <v>2</v>
      </c>
      <c r="I162" s="91" t="str">
        <f>IF(COUNTIF(J162:AW162,"&lt;&gt;")=0,"",SUMPRODUCT(((Recommendations[ImplStatus]="Implemented")+(Recommendations[ImplStatus]="Compensated"))*ISNUMBER(MATCH(Recommendations[Id],J162:AW162,0)))/COUNTIF(J162:AW162,"&lt;&gt;"))</f>
        <v/>
      </c>
      <c r="J162" s="93"/>
      <c r="K162" s="93"/>
      <c r="L162" s="93"/>
      <c r="M162" s="93"/>
      <c r="N162" s="93"/>
      <c r="O162" s="93"/>
      <c r="P162" s="93"/>
      <c r="Q162" s="93"/>
      <c r="R162" s="93"/>
      <c r="S162" s="93"/>
      <c r="T162" s="93"/>
      <c r="U162" s="93"/>
      <c r="V162" s="93"/>
      <c r="W162" s="93"/>
      <c r="X162" s="93"/>
      <c r="Y162" s="93"/>
      <c r="Z162" s="93"/>
      <c r="AA162" s="93"/>
      <c r="AB162" s="93"/>
      <c r="AC162" s="93"/>
      <c r="AD162" s="93"/>
      <c r="AE162" s="93"/>
      <c r="AF162" s="93"/>
      <c r="AG162" s="93"/>
      <c r="AH162" s="93"/>
      <c r="AI162" s="93"/>
      <c r="AJ162" s="93"/>
      <c r="AK162" s="93"/>
      <c r="AL162" s="93"/>
      <c r="AM162" s="93"/>
      <c r="AN162" s="93"/>
      <c r="AO162" s="93"/>
      <c r="AP162" s="93"/>
      <c r="AQ162" s="93"/>
      <c r="AR162" s="93"/>
      <c r="AS162" s="93"/>
      <c r="AT162" s="93"/>
      <c r="AU162" s="93"/>
      <c r="AV162" s="93"/>
      <c r="AW162" s="104"/>
    </row>
    <row r="163" spans="1:49" ht="60" customHeight="1" x14ac:dyDescent="0.35">
      <c r="A163" s="101" t="s">
        <v>2863</v>
      </c>
      <c r="B163" s="84" t="s">
        <v>2885</v>
      </c>
      <c r="C163" s="86" t="s">
        <v>2886</v>
      </c>
      <c r="D163" s="88" t="s">
        <v>2887</v>
      </c>
      <c r="E163" s="88" t="s">
        <v>2888</v>
      </c>
      <c r="F163" s="89" t="s">
        <v>2412</v>
      </c>
      <c r="G163" s="89" t="s">
        <v>2275</v>
      </c>
      <c r="H163" s="89">
        <v>2</v>
      </c>
      <c r="I163" s="91" t="str">
        <f>IF(COUNTIF(J163:AW163,"&lt;&gt;")=0,"",SUMPRODUCT(((Recommendations[ImplStatus]="Implemented")+(Recommendations[ImplStatus]="Compensated"))*ISNUMBER(MATCH(Recommendations[Id],J163:AW163,0)))/COUNTIF(J163:AW163,"&lt;&gt;"))</f>
        <v/>
      </c>
      <c r="J163" s="93"/>
      <c r="K163" s="93"/>
      <c r="L163" s="93"/>
      <c r="M163" s="93"/>
      <c r="N163" s="93"/>
      <c r="O163" s="93"/>
      <c r="P163" s="93"/>
      <c r="Q163" s="93"/>
      <c r="R163" s="93"/>
      <c r="S163" s="93"/>
      <c r="T163" s="93"/>
      <c r="U163" s="93"/>
      <c r="V163" s="93"/>
      <c r="W163" s="93"/>
      <c r="X163" s="93"/>
      <c r="Y163" s="93"/>
      <c r="Z163" s="93"/>
      <c r="AA163" s="93"/>
      <c r="AB163" s="93"/>
      <c r="AC163" s="93"/>
      <c r="AD163" s="93"/>
      <c r="AE163" s="93"/>
      <c r="AF163" s="93"/>
      <c r="AG163" s="93"/>
      <c r="AH163" s="93"/>
      <c r="AI163" s="93"/>
      <c r="AJ163" s="93"/>
      <c r="AK163" s="93"/>
      <c r="AL163" s="93"/>
      <c r="AM163" s="93"/>
      <c r="AN163" s="93"/>
      <c r="AO163" s="93"/>
      <c r="AP163" s="93"/>
      <c r="AQ163" s="93"/>
      <c r="AR163" s="93"/>
      <c r="AS163" s="93"/>
      <c r="AT163" s="93"/>
      <c r="AU163" s="93"/>
      <c r="AV163" s="93"/>
      <c r="AW163" s="104"/>
    </row>
    <row r="164" spans="1:49" ht="60" customHeight="1" x14ac:dyDescent="0.35">
      <c r="A164" s="101" t="s">
        <v>2863</v>
      </c>
      <c r="B164" s="84" t="s">
        <v>2889</v>
      </c>
      <c r="C164" s="86" t="s">
        <v>2890</v>
      </c>
      <c r="D164" s="88" t="s">
        <v>2891</v>
      </c>
      <c r="E164" s="88" t="s">
        <v>2892</v>
      </c>
      <c r="F164" s="89" t="s">
        <v>2412</v>
      </c>
      <c r="G164" s="89" t="s">
        <v>2644</v>
      </c>
      <c r="H164" s="89">
        <v>2</v>
      </c>
      <c r="I164" s="91" t="str">
        <f>IF(COUNTIF(J164:AW164,"&lt;&gt;")=0,"",SUMPRODUCT(((Recommendations[ImplStatus]="Implemented")+(Recommendations[ImplStatus]="Compensated"))*ISNUMBER(MATCH(Recommendations[Id],J164:AW164,0)))/COUNTIF(J164:AW164,"&lt;&gt;"))</f>
        <v/>
      </c>
      <c r="J164" s="93"/>
      <c r="K164" s="93"/>
      <c r="L164" s="93"/>
      <c r="M164" s="93"/>
      <c r="N164" s="93"/>
      <c r="O164" s="93"/>
      <c r="P164" s="93"/>
      <c r="Q164" s="93"/>
      <c r="R164" s="93"/>
      <c r="S164" s="93"/>
      <c r="T164" s="93"/>
      <c r="U164" s="93"/>
      <c r="V164" s="93"/>
      <c r="W164" s="93"/>
      <c r="X164" s="93"/>
      <c r="Y164" s="93"/>
      <c r="Z164" s="93"/>
      <c r="AA164" s="93"/>
      <c r="AB164" s="93"/>
      <c r="AC164" s="93"/>
      <c r="AD164" s="93"/>
      <c r="AE164" s="93"/>
      <c r="AF164" s="93"/>
      <c r="AG164" s="93"/>
      <c r="AH164" s="93"/>
      <c r="AI164" s="93"/>
      <c r="AJ164" s="93"/>
      <c r="AK164" s="93"/>
      <c r="AL164" s="93"/>
      <c r="AM164" s="93"/>
      <c r="AN164" s="93"/>
      <c r="AO164" s="93"/>
      <c r="AP164" s="93"/>
      <c r="AQ164" s="93"/>
      <c r="AR164" s="93"/>
      <c r="AS164" s="93"/>
      <c r="AT164" s="93"/>
      <c r="AU164" s="93"/>
      <c r="AV164" s="93"/>
      <c r="AW164" s="104"/>
    </row>
    <row r="165" spans="1:49" ht="60" customHeight="1" x14ac:dyDescent="0.35">
      <c r="A165" s="101" t="s">
        <v>2863</v>
      </c>
      <c r="B165" s="84" t="s">
        <v>2893</v>
      </c>
      <c r="C165" s="86" t="s">
        <v>2894</v>
      </c>
      <c r="D165" s="88" t="s">
        <v>2895</v>
      </c>
      <c r="E165" s="88" t="s">
        <v>2896</v>
      </c>
      <c r="F165" s="89" t="s">
        <v>2412</v>
      </c>
      <c r="G165" s="89" t="s">
        <v>2644</v>
      </c>
      <c r="H165" s="89">
        <v>2</v>
      </c>
      <c r="I165" s="91" t="str">
        <f>IF(COUNTIF(J165:AW165,"&lt;&gt;")=0,"",SUMPRODUCT(((Recommendations[ImplStatus]="Implemented")+(Recommendations[ImplStatus]="Compensated"))*ISNUMBER(MATCH(Recommendations[Id],J165:AW165,0)))/COUNTIF(J165:AW165,"&lt;&gt;"))</f>
        <v/>
      </c>
      <c r="J165" s="93"/>
      <c r="K165" s="93"/>
      <c r="L165" s="93"/>
      <c r="M165" s="93"/>
      <c r="N165" s="93"/>
      <c r="O165" s="93"/>
      <c r="P165" s="93"/>
      <c r="Q165" s="93"/>
      <c r="R165" s="93"/>
      <c r="S165" s="93"/>
      <c r="T165" s="93"/>
      <c r="U165" s="93"/>
      <c r="V165" s="93"/>
      <c r="W165" s="93"/>
      <c r="X165" s="93"/>
      <c r="Y165" s="93"/>
      <c r="Z165" s="93"/>
      <c r="AA165" s="93"/>
      <c r="AB165" s="93"/>
      <c r="AC165" s="93"/>
      <c r="AD165" s="93"/>
      <c r="AE165" s="93"/>
      <c r="AF165" s="93"/>
      <c r="AG165" s="93"/>
      <c r="AH165" s="93"/>
      <c r="AI165" s="93"/>
      <c r="AJ165" s="93"/>
      <c r="AK165" s="93"/>
      <c r="AL165" s="93"/>
      <c r="AM165" s="93"/>
      <c r="AN165" s="93"/>
      <c r="AO165" s="93"/>
      <c r="AP165" s="93"/>
      <c r="AQ165" s="93"/>
      <c r="AR165" s="93"/>
      <c r="AS165" s="93"/>
      <c r="AT165" s="93"/>
      <c r="AU165" s="93"/>
      <c r="AV165" s="93"/>
      <c r="AW165" s="104"/>
    </row>
    <row r="166" spans="1:49" ht="60" customHeight="1" x14ac:dyDescent="0.35">
      <c r="A166" s="101" t="s">
        <v>2863</v>
      </c>
      <c r="B166" s="84" t="s">
        <v>2897</v>
      </c>
      <c r="C166" s="86" t="s">
        <v>2898</v>
      </c>
      <c r="D166" s="88" t="s">
        <v>2899</v>
      </c>
      <c r="E166" s="88" t="s">
        <v>2900</v>
      </c>
      <c r="F166" s="89" t="s">
        <v>2387</v>
      </c>
      <c r="G166" s="89" t="s">
        <v>2644</v>
      </c>
      <c r="H166" s="89">
        <v>3</v>
      </c>
      <c r="I166" s="91" t="str">
        <f>IF(COUNTIF(J166:AW166,"&lt;&gt;")=0,"",SUMPRODUCT(((Recommendations[ImplStatus]="Implemented")+(Recommendations[ImplStatus]="Compensated"))*ISNUMBER(MATCH(Recommendations[Id],J166:AW166,0)))/COUNTIF(J166:AW166,"&lt;&gt;"))</f>
        <v/>
      </c>
      <c r="J166" s="93"/>
      <c r="K166" s="93"/>
      <c r="L166" s="93"/>
      <c r="M166" s="93"/>
      <c r="N166" s="93"/>
      <c r="O166" s="93"/>
      <c r="P166" s="93"/>
      <c r="Q166" s="93"/>
      <c r="R166" s="93"/>
      <c r="S166" s="93"/>
      <c r="T166" s="93"/>
      <c r="U166" s="93"/>
      <c r="V166" s="93"/>
      <c r="W166" s="93"/>
      <c r="X166" s="93"/>
      <c r="Y166" s="93"/>
      <c r="Z166" s="93"/>
      <c r="AA166" s="93"/>
      <c r="AB166" s="93"/>
      <c r="AC166" s="93"/>
      <c r="AD166" s="93"/>
      <c r="AE166" s="93"/>
      <c r="AF166" s="93"/>
      <c r="AG166" s="93"/>
      <c r="AH166" s="93"/>
      <c r="AI166" s="93"/>
      <c r="AJ166" s="93"/>
      <c r="AK166" s="93"/>
      <c r="AL166" s="93"/>
      <c r="AM166" s="93"/>
      <c r="AN166" s="93"/>
      <c r="AO166" s="93"/>
      <c r="AP166" s="93"/>
      <c r="AQ166" s="93"/>
      <c r="AR166" s="93"/>
      <c r="AS166" s="93"/>
      <c r="AT166" s="93"/>
      <c r="AU166" s="93"/>
      <c r="AV166" s="93"/>
      <c r="AW166" s="104"/>
    </row>
    <row r="167" spans="1:49" ht="60" customHeight="1" outlineLevel="1" x14ac:dyDescent="0.35">
      <c r="A167" s="100" t="s">
        <v>2901</v>
      </c>
      <c r="B167" s="83">
        <v>18</v>
      </c>
      <c r="C167" s="85" t="s">
        <v>21</v>
      </c>
      <c r="D167" s="87" t="s">
        <v>2902</v>
      </c>
      <c r="E167" s="87" t="s">
        <v>21</v>
      </c>
      <c r="F167" s="83" t="s">
        <v>21</v>
      </c>
      <c r="G167" s="83" t="s">
        <v>21</v>
      </c>
      <c r="H167" s="83"/>
      <c r="I167" s="90" t="str">
        <f>IF(COUNTIF(J167:AW167,"&lt;&gt;")=0,"",SUMPRODUCT(((Recommendations[ImplStatus]="Implemented")+(Recommendations[ImplStatus]="Compensated"))*ISNUMBER(MATCH(Recommendations[Id],J167:AW167,0)))/COUNTIF(J167:AW167,"&lt;&gt;"))</f>
        <v/>
      </c>
      <c r="J167" s="92"/>
      <c r="K167" s="92"/>
      <c r="L167" s="92"/>
      <c r="M167" s="92"/>
      <c r="N167" s="92"/>
      <c r="O167" s="92"/>
      <c r="P167" s="92"/>
      <c r="Q167" s="92"/>
      <c r="R167" s="92"/>
      <c r="S167" s="92"/>
      <c r="T167" s="92"/>
      <c r="U167" s="92"/>
      <c r="V167" s="92"/>
      <c r="W167" s="92"/>
      <c r="X167" s="92"/>
      <c r="Y167" s="92"/>
      <c r="Z167" s="92"/>
      <c r="AA167" s="92"/>
      <c r="AB167" s="92"/>
      <c r="AC167" s="92"/>
      <c r="AD167" s="92"/>
      <c r="AE167" s="92"/>
      <c r="AF167" s="92"/>
      <c r="AG167" s="92"/>
      <c r="AH167" s="92"/>
      <c r="AI167" s="92"/>
      <c r="AJ167" s="92"/>
      <c r="AK167" s="92"/>
      <c r="AL167" s="92"/>
      <c r="AM167" s="92"/>
      <c r="AN167" s="92"/>
      <c r="AO167" s="92"/>
      <c r="AP167" s="92"/>
      <c r="AQ167" s="92"/>
      <c r="AR167" s="92"/>
      <c r="AS167" s="92"/>
      <c r="AT167" s="92"/>
      <c r="AU167" s="92"/>
      <c r="AV167" s="92"/>
      <c r="AW167" s="103"/>
    </row>
    <row r="168" spans="1:49" ht="60" customHeight="1" x14ac:dyDescent="0.35">
      <c r="A168" s="101" t="s">
        <v>2901</v>
      </c>
      <c r="B168" s="84" t="s">
        <v>2903</v>
      </c>
      <c r="C168" s="86" t="s">
        <v>2904</v>
      </c>
      <c r="D168" s="88" t="s">
        <v>2905</v>
      </c>
      <c r="E168" s="88" t="s">
        <v>2906</v>
      </c>
      <c r="F168" s="89" t="s">
        <v>2387</v>
      </c>
      <c r="G168" s="89" t="s">
        <v>2328</v>
      </c>
      <c r="H168" s="89">
        <v>2</v>
      </c>
      <c r="I168" s="91" t="str">
        <f>IF(COUNTIF(J168:AW168,"&lt;&gt;")=0,"",SUMPRODUCT(((Recommendations[ImplStatus]="Implemented")+(Recommendations[ImplStatus]="Compensated"))*ISNUMBER(MATCH(Recommendations[Id],J168:AW168,0)))/COUNTIF(J168:AW168,"&lt;&gt;"))</f>
        <v/>
      </c>
      <c r="J168" s="93"/>
      <c r="K168" s="93"/>
      <c r="L168" s="93"/>
      <c r="M168" s="93"/>
      <c r="N168" s="93"/>
      <c r="O168" s="93"/>
      <c r="P168" s="93"/>
      <c r="Q168" s="93"/>
      <c r="R168" s="93"/>
      <c r="S168" s="93"/>
      <c r="T168" s="93"/>
      <c r="U168" s="93"/>
      <c r="V168" s="93"/>
      <c r="W168" s="93"/>
      <c r="X168" s="93"/>
      <c r="Y168" s="93"/>
      <c r="Z168" s="93"/>
      <c r="AA168" s="93"/>
      <c r="AB168" s="93"/>
      <c r="AC168" s="93"/>
      <c r="AD168" s="93"/>
      <c r="AE168" s="93"/>
      <c r="AF168" s="93"/>
      <c r="AG168" s="93"/>
      <c r="AH168" s="93"/>
      <c r="AI168" s="93"/>
      <c r="AJ168" s="93"/>
      <c r="AK168" s="93"/>
      <c r="AL168" s="93"/>
      <c r="AM168" s="93"/>
      <c r="AN168" s="93"/>
      <c r="AO168" s="93"/>
      <c r="AP168" s="93"/>
      <c r="AQ168" s="93"/>
      <c r="AR168" s="93"/>
      <c r="AS168" s="93"/>
      <c r="AT168" s="93"/>
      <c r="AU168" s="93"/>
      <c r="AV168" s="93"/>
      <c r="AW168" s="104"/>
    </row>
    <row r="169" spans="1:49" ht="60" customHeight="1" x14ac:dyDescent="0.35">
      <c r="A169" s="101" t="s">
        <v>2901</v>
      </c>
      <c r="B169" s="84" t="s">
        <v>2907</v>
      </c>
      <c r="C169" s="86" t="s">
        <v>2908</v>
      </c>
      <c r="D169" s="88" t="s">
        <v>2909</v>
      </c>
      <c r="E169" s="88" t="s">
        <v>2910</v>
      </c>
      <c r="F169" s="89" t="s">
        <v>2541</v>
      </c>
      <c r="G169" s="89" t="s">
        <v>2280</v>
      </c>
      <c r="H169" s="89">
        <v>2</v>
      </c>
      <c r="I169" s="91" t="str">
        <f>IF(COUNTIF(J169:AW169,"&lt;&gt;")=0,"",SUMPRODUCT(((Recommendations[ImplStatus]="Implemented")+(Recommendations[ImplStatus]="Compensated"))*ISNUMBER(MATCH(Recommendations[Id],J169:AW169,0)))/COUNTIF(J169:AW169,"&lt;&gt;"))</f>
        <v/>
      </c>
      <c r="J169" s="93"/>
      <c r="K169" s="93"/>
      <c r="L169" s="93"/>
      <c r="M169" s="93"/>
      <c r="N169" s="93"/>
      <c r="O169" s="93"/>
      <c r="P169" s="93"/>
      <c r="Q169" s="93"/>
      <c r="R169" s="93"/>
      <c r="S169" s="93"/>
      <c r="T169" s="93"/>
      <c r="U169" s="93"/>
      <c r="V169" s="93"/>
      <c r="W169" s="93"/>
      <c r="X169" s="93"/>
      <c r="Y169" s="93"/>
      <c r="Z169" s="93"/>
      <c r="AA169" s="93"/>
      <c r="AB169" s="93"/>
      <c r="AC169" s="93"/>
      <c r="AD169" s="93"/>
      <c r="AE169" s="93"/>
      <c r="AF169" s="93"/>
      <c r="AG169" s="93"/>
      <c r="AH169" s="93"/>
      <c r="AI169" s="93"/>
      <c r="AJ169" s="93"/>
      <c r="AK169" s="93"/>
      <c r="AL169" s="93"/>
      <c r="AM169" s="93"/>
      <c r="AN169" s="93"/>
      <c r="AO169" s="93"/>
      <c r="AP169" s="93"/>
      <c r="AQ169" s="93"/>
      <c r="AR169" s="93"/>
      <c r="AS169" s="93"/>
      <c r="AT169" s="93"/>
      <c r="AU169" s="93"/>
      <c r="AV169" s="93"/>
      <c r="AW169" s="104"/>
    </row>
    <row r="170" spans="1:49" ht="60" customHeight="1" x14ac:dyDescent="0.35">
      <c r="A170" s="101" t="s">
        <v>2901</v>
      </c>
      <c r="B170" s="84" t="s">
        <v>2911</v>
      </c>
      <c r="C170" s="86" t="s">
        <v>2912</v>
      </c>
      <c r="D170" s="88" t="s">
        <v>2913</v>
      </c>
      <c r="E170" s="88" t="s">
        <v>2914</v>
      </c>
      <c r="F170" s="89" t="s">
        <v>2541</v>
      </c>
      <c r="G170" s="89" t="s">
        <v>2312</v>
      </c>
      <c r="H170" s="89">
        <v>2</v>
      </c>
      <c r="I170" s="91" t="str">
        <f>IF(COUNTIF(J170:AW170,"&lt;&gt;")=0,"",SUMPRODUCT(((Recommendations[ImplStatus]="Implemented")+(Recommendations[ImplStatus]="Compensated"))*ISNUMBER(MATCH(Recommendations[Id],J170:AW170,0)))/COUNTIF(J170:AW170,"&lt;&gt;"))</f>
        <v/>
      </c>
      <c r="J170" s="93"/>
      <c r="K170" s="93"/>
      <c r="L170" s="93"/>
      <c r="M170" s="93"/>
      <c r="N170" s="93"/>
      <c r="O170" s="93"/>
      <c r="P170" s="93"/>
      <c r="Q170" s="93"/>
      <c r="R170" s="93"/>
      <c r="S170" s="93"/>
      <c r="T170" s="93"/>
      <c r="U170" s="93"/>
      <c r="V170" s="93"/>
      <c r="W170" s="93"/>
      <c r="X170" s="93"/>
      <c r="Y170" s="93"/>
      <c r="Z170" s="93"/>
      <c r="AA170" s="93"/>
      <c r="AB170" s="93"/>
      <c r="AC170" s="93"/>
      <c r="AD170" s="93"/>
      <c r="AE170" s="93"/>
      <c r="AF170" s="93"/>
      <c r="AG170" s="93"/>
      <c r="AH170" s="93"/>
      <c r="AI170" s="93"/>
      <c r="AJ170" s="93"/>
      <c r="AK170" s="93"/>
      <c r="AL170" s="93"/>
      <c r="AM170" s="93"/>
      <c r="AN170" s="93"/>
      <c r="AO170" s="93"/>
      <c r="AP170" s="93"/>
      <c r="AQ170" s="93"/>
      <c r="AR170" s="93"/>
      <c r="AS170" s="93"/>
      <c r="AT170" s="93"/>
      <c r="AU170" s="93"/>
      <c r="AV170" s="93"/>
      <c r="AW170" s="104"/>
    </row>
    <row r="171" spans="1:49" ht="60" customHeight="1" x14ac:dyDescent="0.35">
      <c r="A171" s="101" t="s">
        <v>2901</v>
      </c>
      <c r="B171" s="84" t="s">
        <v>2915</v>
      </c>
      <c r="C171" s="86" t="s">
        <v>2916</v>
      </c>
      <c r="D171" s="88" t="s">
        <v>2917</v>
      </c>
      <c r="E171" s="88" t="s">
        <v>2918</v>
      </c>
      <c r="F171" s="89" t="s">
        <v>2541</v>
      </c>
      <c r="G171" s="89" t="s">
        <v>2312</v>
      </c>
      <c r="H171" s="89">
        <v>3</v>
      </c>
      <c r="I171" s="91" t="str">
        <f>IF(COUNTIF(J171:AW171,"&lt;&gt;")=0,"",SUMPRODUCT(((Recommendations[ImplStatus]="Implemented")+(Recommendations[ImplStatus]="Compensated"))*ISNUMBER(MATCH(Recommendations[Id],J171:AW171,0)))/COUNTIF(J171:AW171,"&lt;&gt;"))</f>
        <v/>
      </c>
      <c r="J171" s="93"/>
      <c r="K171" s="93"/>
      <c r="L171" s="93"/>
      <c r="M171" s="93"/>
      <c r="N171" s="93"/>
      <c r="O171" s="93"/>
      <c r="P171" s="93"/>
      <c r="Q171" s="93"/>
      <c r="R171" s="93"/>
      <c r="S171" s="93"/>
      <c r="T171" s="93"/>
      <c r="U171" s="93"/>
      <c r="V171" s="93"/>
      <c r="W171" s="93"/>
      <c r="X171" s="93"/>
      <c r="Y171" s="93"/>
      <c r="Z171" s="93"/>
      <c r="AA171" s="93"/>
      <c r="AB171" s="93"/>
      <c r="AC171" s="93"/>
      <c r="AD171" s="93"/>
      <c r="AE171" s="93"/>
      <c r="AF171" s="93"/>
      <c r="AG171" s="93"/>
      <c r="AH171" s="93"/>
      <c r="AI171" s="93"/>
      <c r="AJ171" s="93"/>
      <c r="AK171" s="93"/>
      <c r="AL171" s="93"/>
      <c r="AM171" s="93"/>
      <c r="AN171" s="93"/>
      <c r="AO171" s="93"/>
      <c r="AP171" s="93"/>
      <c r="AQ171" s="93"/>
      <c r="AR171" s="93"/>
      <c r="AS171" s="93"/>
      <c r="AT171" s="93"/>
      <c r="AU171" s="93"/>
      <c r="AV171" s="93"/>
      <c r="AW171" s="104"/>
    </row>
    <row r="172" spans="1:49" ht="60" customHeight="1" x14ac:dyDescent="0.35">
      <c r="A172" s="102" t="s">
        <v>2901</v>
      </c>
      <c r="B172" s="94" t="s">
        <v>2919</v>
      </c>
      <c r="C172" s="95" t="s">
        <v>2920</v>
      </c>
      <c r="D172" s="96" t="s">
        <v>2921</v>
      </c>
      <c r="E172" s="96" t="s">
        <v>2922</v>
      </c>
      <c r="F172" s="97" t="s">
        <v>2541</v>
      </c>
      <c r="G172" s="97" t="s">
        <v>2280</v>
      </c>
      <c r="H172" s="97">
        <v>3</v>
      </c>
      <c r="I172" s="98" t="str">
        <f>IF(COUNTIF(J172:AW172,"&lt;&gt;")=0,"",SUMPRODUCT(((Recommendations[ImplStatus]="Implemented")+(Recommendations[ImplStatus]="Compensated"))*ISNUMBER(MATCH(Recommendations[Id],J172:AW172,0)))/COUNTIF(J172:AW172,"&lt;&gt;"))</f>
        <v/>
      </c>
      <c r="J172" s="99"/>
      <c r="K172" s="99"/>
      <c r="L172" s="99"/>
      <c r="M172" s="99"/>
      <c r="N172" s="99"/>
      <c r="O172" s="99"/>
      <c r="P172" s="99"/>
      <c r="Q172" s="99"/>
      <c r="R172" s="99"/>
      <c r="S172" s="99"/>
      <c r="T172" s="99"/>
      <c r="U172" s="99"/>
      <c r="V172" s="99"/>
      <c r="W172" s="99"/>
      <c r="X172" s="99"/>
      <c r="Y172" s="99"/>
      <c r="Z172" s="99"/>
      <c r="AA172" s="99"/>
      <c r="AB172" s="99"/>
      <c r="AC172" s="99"/>
      <c r="AD172" s="99"/>
      <c r="AE172" s="99"/>
      <c r="AF172" s="99"/>
      <c r="AG172" s="99"/>
      <c r="AH172" s="99"/>
      <c r="AI172" s="99"/>
      <c r="AJ172" s="99"/>
      <c r="AK172" s="99"/>
      <c r="AL172" s="99"/>
      <c r="AM172" s="99"/>
      <c r="AN172" s="99"/>
      <c r="AO172" s="99"/>
      <c r="AP172" s="99"/>
      <c r="AQ172" s="99"/>
      <c r="AR172" s="99"/>
      <c r="AS172" s="99"/>
      <c r="AT172" s="99"/>
      <c r="AU172" s="99"/>
      <c r="AV172" s="99"/>
      <c r="AW172" s="105"/>
    </row>
    <row r="176" spans="1:49" ht="32" customHeight="1" x14ac:dyDescent="0.35">
      <c r="A176" s="291" t="s">
        <v>1971</v>
      </c>
      <c r="B176" s="291"/>
      <c r="C176" s="291"/>
      <c r="D176" s="291"/>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IFERROR(INDEX('Recommendations'!$H$2:$H$461, MATCH(J2,'Recommendations'!$A$2:$A$461,0))="Implemented", FALSE))</xm:f>
            <x14:dxf>
              <font>
                <color rgb="FF000000"/>
              </font>
              <fill>
                <patternFill>
                  <bgColor rgb="FF3C7D22"/>
                </patternFill>
              </fill>
            </x14:dxf>
          </x14:cfRule>
          <x14:cfRule type="expression" priority="2" id="{00000000-000E-0000-0400-000002000000}">
            <xm:f>AND(J2&lt;&gt;"", IFERROR(INDEX('Recommendations'!$H$2:$H$461, MATCH(J2,'Recommendations'!$A$2:$A$461,0))="Compensated", FALSE))</xm:f>
            <x14:dxf>
              <font>
                <color rgb="FF000000"/>
              </font>
              <fill>
                <patternFill>
                  <bgColor rgb="FFC6E0B4"/>
                </patternFill>
              </fill>
            </x14:dxf>
          </x14:cfRule>
          <x14:cfRule type="expression" priority="3" id="{00000000-000E-0000-0400-000003000000}">
            <xm:f>AND(J2&lt;&gt;"", IFERROR(INDEX('Recommendations'!$H$2:$H$461, MATCH(J2,'Recommendations'!$A$2:$A$461,0))="Testing", FALSE))</xm:f>
            <x14:dxf>
              <font>
                <color rgb="FF000000"/>
              </font>
              <fill>
                <patternFill>
                  <bgColor rgb="FFFFC000"/>
                </patternFill>
              </fill>
            </x14:dxf>
          </x14:cfRule>
          <x14:cfRule type="expression" priority="4" id="{00000000-000E-0000-0400-000004000000}">
            <xm:f>AND(J2&lt;&gt;"", IFERROR(INDEX('Recommendations'!$H$2:$H$461, MATCH(J2,'Recommendations'!$A$2:$A$461,0))="Failed", FALSE))</xm:f>
            <x14:dxf>
              <font>
                <color rgb="FF000000"/>
              </font>
              <fill>
                <patternFill>
                  <bgColor rgb="FFD82891"/>
                </patternFill>
              </fill>
            </x14:dxf>
          </x14:cfRule>
          <x14:cfRule type="expression" priority="5" id="{00000000-000E-0000-0400-000005000000}">
            <xm:f>AND(J2&lt;&gt;"", IFERROR(INDEX('Recommendations'!$H$2:$H$461, MATCH(J2,'Recommendations'!$A$2:$A$461,0))="Risk Accepted", FALSE))</xm:f>
            <x14:dxf>
              <font>
                <color rgb="FF000000"/>
              </font>
              <fill>
                <patternFill>
                  <bgColor rgb="FFD9D9D9"/>
                </patternFill>
              </fill>
            </x14:dxf>
          </x14:cfRule>
          <x14:cfRule type="expression" priority="6" id="{00000000-000E-0000-0400-000006000000}">
            <xm:f>AND(J2&lt;&gt;"", IFERROR(INDEX('Recommendations'!$H$2:$H$461, MATCH(J2,'Recommendations'!$A$2:$A$461,0))="N/A",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3" t="s">
        <v>0</v>
      </c>
      <c r="B1" s="124" t="s">
        <v>2923</v>
      </c>
      <c r="C1" s="124" t="s">
        <v>10</v>
      </c>
      <c r="D1" s="124" t="s">
        <v>2128</v>
      </c>
      <c r="E1" s="124" t="s">
        <v>2924</v>
      </c>
      <c r="F1" s="124" t="s">
        <v>2925</v>
      </c>
      <c r="G1" s="124" t="s">
        <v>2222</v>
      </c>
      <c r="H1" s="124" t="s">
        <v>2223</v>
      </c>
      <c r="I1" s="124" t="s">
        <v>2224</v>
      </c>
      <c r="J1" s="124" t="s">
        <v>2225</v>
      </c>
      <c r="K1" s="124" t="s">
        <v>2226</v>
      </c>
      <c r="L1" s="124" t="s">
        <v>2227</v>
      </c>
      <c r="M1" s="124" t="s">
        <v>2228</v>
      </c>
      <c r="N1" s="124" t="s">
        <v>2229</v>
      </c>
      <c r="O1" s="124" t="s">
        <v>2230</v>
      </c>
      <c r="P1" s="124" t="s">
        <v>2231</v>
      </c>
      <c r="Q1" s="124" t="s">
        <v>2232</v>
      </c>
      <c r="R1" s="124" t="s">
        <v>2233</v>
      </c>
      <c r="S1" s="124" t="s">
        <v>2234</v>
      </c>
      <c r="T1" s="124" t="s">
        <v>2235</v>
      </c>
      <c r="U1" s="124" t="s">
        <v>2236</v>
      </c>
      <c r="V1" s="124" t="s">
        <v>2237</v>
      </c>
      <c r="W1" s="124" t="s">
        <v>2238</v>
      </c>
      <c r="X1" s="124" t="s">
        <v>2239</v>
      </c>
      <c r="Y1" s="124" t="s">
        <v>2240</v>
      </c>
      <c r="Z1" s="124" t="s">
        <v>2241</v>
      </c>
      <c r="AA1" s="124" t="s">
        <v>2242</v>
      </c>
      <c r="AB1" s="124" t="s">
        <v>2243</v>
      </c>
      <c r="AC1" s="124" t="s">
        <v>2244</v>
      </c>
      <c r="AD1" s="124" t="s">
        <v>2245</v>
      </c>
      <c r="AE1" s="124" t="s">
        <v>2246</v>
      </c>
      <c r="AF1" s="124" t="s">
        <v>2247</v>
      </c>
      <c r="AG1" s="124" t="s">
        <v>2248</v>
      </c>
      <c r="AH1" s="124" t="s">
        <v>2249</v>
      </c>
      <c r="AI1" s="124" t="s">
        <v>2250</v>
      </c>
      <c r="AJ1" s="124" t="s">
        <v>2251</v>
      </c>
      <c r="AK1" s="124" t="s">
        <v>2252</v>
      </c>
      <c r="AL1" s="124" t="s">
        <v>2253</v>
      </c>
      <c r="AM1" s="124" t="s">
        <v>2254</v>
      </c>
      <c r="AN1" s="124" t="s">
        <v>2255</v>
      </c>
      <c r="AO1" s="124" t="s">
        <v>2256</v>
      </c>
      <c r="AP1" s="124" t="s">
        <v>2257</v>
      </c>
      <c r="AQ1" s="124" t="s">
        <v>2258</v>
      </c>
      <c r="AR1" s="124" t="s">
        <v>2259</v>
      </c>
      <c r="AS1" s="124" t="s">
        <v>2260</v>
      </c>
      <c r="AT1" s="124" t="s">
        <v>2261</v>
      </c>
      <c r="AU1" s="125" t="s">
        <v>2262</v>
      </c>
    </row>
    <row r="2" spans="1:47" ht="60" customHeight="1" x14ac:dyDescent="0.35">
      <c r="A2" s="119" t="s">
        <v>2926</v>
      </c>
      <c r="B2" s="109" t="s">
        <v>2927</v>
      </c>
      <c r="C2" s="110" t="s">
        <v>2928</v>
      </c>
      <c r="D2" s="110" t="s">
        <v>2929</v>
      </c>
      <c r="E2" s="110" t="s">
        <v>2930</v>
      </c>
      <c r="F2" s="111" t="s">
        <v>2931</v>
      </c>
      <c r="G2" s="112">
        <f>IF(COUNTIF(H2:AU2,"&lt;&gt;")=0,"",SUMPRODUCT(((Recommendations[ImplStatus]="Implemented")+(Recommendations[ImplStatus]="Compensated"))*ISNUMBER(MATCH(Recommendations[Id],H2:AU2,0)))/COUNTIF(H2:AU2,"&lt;&gt;"))</f>
        <v>0</v>
      </c>
      <c r="H2" s="113" t="s">
        <v>337</v>
      </c>
      <c r="I2" s="113" t="s">
        <v>1024</v>
      </c>
      <c r="J2" s="113" t="s">
        <v>1212</v>
      </c>
      <c r="K2" s="113" t="s">
        <v>1217</v>
      </c>
      <c r="L2" s="113" t="s">
        <v>1220</v>
      </c>
      <c r="M2" s="113"/>
      <c r="N2" s="113"/>
      <c r="O2" s="113"/>
      <c r="P2" s="113"/>
      <c r="Q2" s="113"/>
      <c r="R2" s="113"/>
      <c r="S2" s="113"/>
      <c r="T2" s="113"/>
      <c r="U2" s="113"/>
      <c r="V2" s="113"/>
      <c r="W2" s="113"/>
      <c r="X2" s="113"/>
      <c r="Y2" s="113"/>
      <c r="Z2" s="113"/>
      <c r="AA2" s="113"/>
      <c r="AB2" s="113"/>
      <c r="AC2" s="113"/>
      <c r="AD2" s="113"/>
      <c r="AE2" s="113"/>
      <c r="AF2" s="113"/>
      <c r="AG2" s="113"/>
      <c r="AH2" s="113"/>
      <c r="AI2" s="113"/>
      <c r="AJ2" s="113"/>
      <c r="AK2" s="113"/>
      <c r="AL2" s="113"/>
      <c r="AM2" s="113"/>
      <c r="AN2" s="113"/>
      <c r="AO2" s="113"/>
      <c r="AP2" s="113"/>
      <c r="AQ2" s="113"/>
      <c r="AR2" s="113"/>
      <c r="AS2" s="113"/>
      <c r="AT2" s="113"/>
      <c r="AU2" s="121"/>
    </row>
    <row r="3" spans="1:47" ht="60" customHeight="1" x14ac:dyDescent="0.35">
      <c r="A3" s="119" t="s">
        <v>2932</v>
      </c>
      <c r="B3" s="109" t="s">
        <v>2933</v>
      </c>
      <c r="C3" s="110" t="s">
        <v>2934</v>
      </c>
      <c r="D3" s="110" t="s">
        <v>2935</v>
      </c>
      <c r="E3" s="110" t="s">
        <v>2936</v>
      </c>
      <c r="F3" s="111" t="s">
        <v>2937</v>
      </c>
      <c r="G3" s="112">
        <f>IF(COUNTIF(H3:AU3,"&lt;&gt;")=0,"",SUMPRODUCT(((Recommendations[ImplStatus]="Implemented")+(Recommendations[ImplStatus]="Compensated"))*ISNUMBER(MATCH(Recommendations[Id],H3:AU3,0)))/COUNTIF(H3:AU3,"&lt;&gt;"))</f>
        <v>0</v>
      </c>
      <c r="H3" s="113" t="s">
        <v>14</v>
      </c>
      <c r="I3" s="113" t="s">
        <v>855</v>
      </c>
      <c r="J3" s="113" t="s">
        <v>860</v>
      </c>
      <c r="K3" s="113" t="s">
        <v>865</v>
      </c>
      <c r="L3" s="113" t="s">
        <v>1490</v>
      </c>
      <c r="M3" s="113" t="s">
        <v>1495</v>
      </c>
      <c r="N3" s="113" t="s">
        <v>1499</v>
      </c>
      <c r="O3" s="113" t="s">
        <v>1769</v>
      </c>
      <c r="P3" s="113"/>
      <c r="Q3" s="113"/>
      <c r="R3" s="113"/>
      <c r="S3" s="113"/>
      <c r="T3" s="113"/>
      <c r="U3" s="113"/>
      <c r="V3" s="113"/>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21"/>
    </row>
    <row r="4" spans="1:47" ht="60" customHeight="1" x14ac:dyDescent="0.35">
      <c r="A4" s="119" t="s">
        <v>2938</v>
      </c>
      <c r="B4" s="109" t="s">
        <v>2939</v>
      </c>
      <c r="C4" s="110" t="s">
        <v>2940</v>
      </c>
      <c r="D4" s="110" t="s">
        <v>2941</v>
      </c>
      <c r="E4" s="110" t="s">
        <v>2942</v>
      </c>
      <c r="F4" s="111" t="s">
        <v>2943</v>
      </c>
      <c r="G4" s="112" t="str">
        <f>IF(COUNTIF(H4:AU4,"&lt;&gt;")=0,"",SUMPRODUCT(((Recommendations[ImplStatus]="Implemented")+(Recommendations[ImplStatus]="Compensated"))*ISNUMBER(MATCH(Recommendations[Id],H4:AU4,0)))/COUNTIF(H4:AU4,"&lt;&gt;"))</f>
        <v/>
      </c>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c r="AL4" s="113"/>
      <c r="AM4" s="113"/>
      <c r="AN4" s="113"/>
      <c r="AO4" s="113"/>
      <c r="AP4" s="113"/>
      <c r="AQ4" s="113"/>
      <c r="AR4" s="113"/>
      <c r="AS4" s="113"/>
      <c r="AT4" s="113"/>
      <c r="AU4" s="121"/>
    </row>
    <row r="5" spans="1:47" ht="60" customHeight="1" x14ac:dyDescent="0.35">
      <c r="A5" s="119" t="s">
        <v>2944</v>
      </c>
      <c r="B5" s="109" t="s">
        <v>2945</v>
      </c>
      <c r="C5" s="110" t="s">
        <v>2946</v>
      </c>
      <c r="D5" s="110" t="s">
        <v>2947</v>
      </c>
      <c r="E5" s="110" t="s">
        <v>2948</v>
      </c>
      <c r="F5" s="111" t="s">
        <v>2949</v>
      </c>
      <c r="G5" s="112" t="str">
        <f>IF(COUNTIF(H5:AU5,"&lt;&gt;")=0,"",SUMPRODUCT(((Recommendations[ImplStatus]="Implemented")+(Recommendations[ImplStatus]="Compensated"))*ISNUMBER(MATCH(Recommendations[Id],H5:AU5,0)))/COUNTIF(H5:AU5,"&lt;&gt;"))</f>
        <v/>
      </c>
      <c r="H5" s="113"/>
      <c r="I5" s="113"/>
      <c r="J5" s="113"/>
      <c r="K5" s="113"/>
      <c r="L5" s="113"/>
      <c r="M5" s="113"/>
      <c r="N5" s="113"/>
      <c r="O5" s="113"/>
      <c r="P5" s="113"/>
      <c r="Q5" s="113"/>
      <c r="R5" s="113"/>
      <c r="S5" s="113"/>
      <c r="T5" s="113"/>
      <c r="U5" s="113"/>
      <c r="V5" s="113"/>
      <c r="W5" s="113"/>
      <c r="X5" s="113"/>
      <c r="Y5" s="113"/>
      <c r="Z5" s="113"/>
      <c r="AA5" s="113"/>
      <c r="AB5" s="113"/>
      <c r="AC5" s="113"/>
      <c r="AD5" s="113"/>
      <c r="AE5" s="113"/>
      <c r="AF5" s="113"/>
      <c r="AG5" s="113"/>
      <c r="AH5" s="113"/>
      <c r="AI5" s="113"/>
      <c r="AJ5" s="113"/>
      <c r="AK5" s="113"/>
      <c r="AL5" s="113"/>
      <c r="AM5" s="113"/>
      <c r="AN5" s="113"/>
      <c r="AO5" s="113"/>
      <c r="AP5" s="113"/>
      <c r="AQ5" s="113"/>
      <c r="AR5" s="113"/>
      <c r="AS5" s="113"/>
      <c r="AT5" s="113"/>
      <c r="AU5" s="121"/>
    </row>
    <row r="6" spans="1:47" ht="60" customHeight="1" x14ac:dyDescent="0.35">
      <c r="A6" s="119" t="s">
        <v>2950</v>
      </c>
      <c r="B6" s="109" t="s">
        <v>2951</v>
      </c>
      <c r="C6" s="110" t="s">
        <v>2952</v>
      </c>
      <c r="D6" s="110" t="s">
        <v>2953</v>
      </c>
      <c r="E6" s="110" t="s">
        <v>21</v>
      </c>
      <c r="F6" s="111" t="s">
        <v>2954</v>
      </c>
      <c r="G6" s="112" t="str">
        <f>IF(COUNTIF(H6:AU6,"&lt;&gt;")=0,"",SUMPRODUCT(((Recommendations[ImplStatus]="Implemented")+(Recommendations[ImplStatus]="Compensated"))*ISNUMBER(MATCH(Recommendations[Id],H6:AU6,0)))/COUNTIF(H6:AU6,"&lt;&gt;"))</f>
        <v/>
      </c>
      <c r="H6" s="113"/>
      <c r="I6" s="113"/>
      <c r="J6" s="113"/>
      <c r="K6" s="113"/>
      <c r="L6" s="113"/>
      <c r="M6" s="113"/>
      <c r="N6" s="113"/>
      <c r="O6" s="113"/>
      <c r="P6" s="113"/>
      <c r="Q6" s="113"/>
      <c r="R6" s="113"/>
      <c r="S6" s="113"/>
      <c r="T6" s="113"/>
      <c r="U6" s="113"/>
      <c r="V6" s="113"/>
      <c r="W6" s="113"/>
      <c r="X6" s="113"/>
      <c r="Y6" s="113"/>
      <c r="Z6" s="113"/>
      <c r="AA6" s="113"/>
      <c r="AB6" s="113"/>
      <c r="AC6" s="113"/>
      <c r="AD6" s="113"/>
      <c r="AE6" s="113"/>
      <c r="AF6" s="113"/>
      <c r="AG6" s="113"/>
      <c r="AH6" s="113"/>
      <c r="AI6" s="113"/>
      <c r="AJ6" s="113"/>
      <c r="AK6" s="113"/>
      <c r="AL6" s="113"/>
      <c r="AM6" s="113"/>
      <c r="AN6" s="113"/>
      <c r="AO6" s="113"/>
      <c r="AP6" s="113"/>
      <c r="AQ6" s="113"/>
      <c r="AR6" s="113"/>
      <c r="AS6" s="113"/>
      <c r="AT6" s="113"/>
      <c r="AU6" s="121"/>
    </row>
    <row r="7" spans="1:47" ht="60" customHeight="1" x14ac:dyDescent="0.35">
      <c r="A7" s="119" t="s">
        <v>2955</v>
      </c>
      <c r="B7" s="109" t="s">
        <v>11</v>
      </c>
      <c r="C7" s="110" t="s">
        <v>2956</v>
      </c>
      <c r="D7" s="110" t="s">
        <v>2957</v>
      </c>
      <c r="E7" s="110" t="s">
        <v>21</v>
      </c>
      <c r="F7" s="111" t="s">
        <v>2958</v>
      </c>
      <c r="G7" s="112">
        <f>IF(COUNTIF(H7:AU7,"&lt;&gt;")=0,"",SUMPRODUCT(((Recommendations[ImplStatus]="Implemented")+(Recommendations[ImplStatus]="Compensated"))*ISNUMBER(MATCH(Recommendations[Id],H7:AU7,0)))/COUNTIF(H7:AU7,"&lt;&gt;"))</f>
        <v>0</v>
      </c>
      <c r="H7" s="113" t="s">
        <v>51</v>
      </c>
      <c r="I7" s="113" t="s">
        <v>61</v>
      </c>
      <c r="J7" s="113" t="s">
        <v>66</v>
      </c>
      <c r="K7" s="113" t="s">
        <v>69</v>
      </c>
      <c r="L7" s="113" t="s">
        <v>72</v>
      </c>
      <c r="M7" s="113" t="s">
        <v>79</v>
      </c>
      <c r="N7" s="113" t="s">
        <v>82</v>
      </c>
      <c r="O7" s="113" t="s">
        <v>85</v>
      </c>
      <c r="P7" s="113" t="s">
        <v>88</v>
      </c>
      <c r="Q7" s="113" t="s">
        <v>91</v>
      </c>
      <c r="R7" s="113" t="s">
        <v>94</v>
      </c>
      <c r="S7" s="113" t="s">
        <v>110</v>
      </c>
      <c r="T7" s="113" t="s">
        <v>142</v>
      </c>
      <c r="U7" s="113" t="s">
        <v>152</v>
      </c>
      <c r="V7" s="113" t="s">
        <v>187</v>
      </c>
      <c r="W7" s="113" t="s">
        <v>192</v>
      </c>
      <c r="X7" s="113" t="s">
        <v>228</v>
      </c>
      <c r="Y7" s="113" t="s">
        <v>232</v>
      </c>
      <c r="Z7" s="113" t="s">
        <v>235</v>
      </c>
      <c r="AA7" s="113" t="s">
        <v>238</v>
      </c>
      <c r="AB7" s="113" t="s">
        <v>241</v>
      </c>
      <c r="AC7" s="113" t="s">
        <v>244</v>
      </c>
      <c r="AD7" s="113" t="s">
        <v>247</v>
      </c>
      <c r="AE7" s="113" t="s">
        <v>250</v>
      </c>
      <c r="AF7" s="113" t="s">
        <v>253</v>
      </c>
      <c r="AG7" s="113" t="s">
        <v>256</v>
      </c>
      <c r="AH7" s="113" t="s">
        <v>259</v>
      </c>
      <c r="AI7" s="113" t="s">
        <v>262</v>
      </c>
      <c r="AJ7" s="113" t="s">
        <v>265</v>
      </c>
      <c r="AK7" s="113" t="s">
        <v>268</v>
      </c>
      <c r="AL7" s="113" t="s">
        <v>273</v>
      </c>
      <c r="AM7" s="113" t="s">
        <v>278</v>
      </c>
      <c r="AN7" s="113" t="s">
        <v>281</v>
      </c>
      <c r="AO7" s="113" t="s">
        <v>284</v>
      </c>
      <c r="AP7" s="113" t="s">
        <v>287</v>
      </c>
      <c r="AQ7" s="113" t="s">
        <v>290</v>
      </c>
      <c r="AR7" s="113" t="s">
        <v>293</v>
      </c>
      <c r="AS7" s="113" t="s">
        <v>296</v>
      </c>
      <c r="AT7" s="113" t="s">
        <v>309</v>
      </c>
      <c r="AU7" s="121" t="s">
        <v>328</v>
      </c>
    </row>
    <row r="8" spans="1:47" ht="60" customHeight="1" x14ac:dyDescent="0.35">
      <c r="A8" s="119" t="s">
        <v>2959</v>
      </c>
      <c r="B8" s="109" t="s">
        <v>2960</v>
      </c>
      <c r="C8" s="110" t="s">
        <v>2961</v>
      </c>
      <c r="D8" s="110" t="s">
        <v>2962</v>
      </c>
      <c r="E8" s="110" t="s">
        <v>21</v>
      </c>
      <c r="F8" s="111" t="s">
        <v>2963</v>
      </c>
      <c r="G8" s="112" t="str">
        <f>IF(COUNTIF(H8:AU8,"&lt;&gt;")=0,"",SUMPRODUCT(((Recommendations[ImplStatus]="Implemented")+(Recommendations[ImplStatus]="Compensated"))*ISNUMBER(MATCH(Recommendations[Id],H8:AU8,0)))/COUNTIF(H8:AU8,"&lt;&gt;"))</f>
        <v/>
      </c>
      <c r="H8" s="113"/>
      <c r="I8" s="113"/>
      <c r="J8" s="113"/>
      <c r="K8" s="113"/>
      <c r="L8" s="113"/>
      <c r="M8" s="113"/>
      <c r="N8" s="113"/>
      <c r="O8" s="113"/>
      <c r="P8" s="113"/>
      <c r="Q8" s="113"/>
      <c r="R8" s="113"/>
      <c r="S8" s="113"/>
      <c r="T8" s="113"/>
      <c r="U8" s="113"/>
      <c r="V8" s="113"/>
      <c r="W8" s="113"/>
      <c r="X8" s="113"/>
      <c r="Y8" s="113"/>
      <c r="Z8" s="113"/>
      <c r="AA8" s="113"/>
      <c r="AB8" s="113"/>
      <c r="AC8" s="113"/>
      <c r="AD8" s="113"/>
      <c r="AE8" s="113"/>
      <c r="AF8" s="113"/>
      <c r="AG8" s="113"/>
      <c r="AH8" s="113"/>
      <c r="AI8" s="113"/>
      <c r="AJ8" s="113"/>
      <c r="AK8" s="113"/>
      <c r="AL8" s="113"/>
      <c r="AM8" s="113"/>
      <c r="AN8" s="113"/>
      <c r="AO8" s="113"/>
      <c r="AP8" s="113"/>
      <c r="AQ8" s="113"/>
      <c r="AR8" s="113"/>
      <c r="AS8" s="113"/>
      <c r="AT8" s="113"/>
      <c r="AU8" s="121"/>
    </row>
    <row r="9" spans="1:47" ht="60" customHeight="1" x14ac:dyDescent="0.35">
      <c r="A9" s="119" t="s">
        <v>2964</v>
      </c>
      <c r="B9" s="109" t="s">
        <v>2965</v>
      </c>
      <c r="C9" s="110" t="s">
        <v>2966</v>
      </c>
      <c r="D9" s="110" t="s">
        <v>2967</v>
      </c>
      <c r="E9" s="110" t="s">
        <v>21</v>
      </c>
      <c r="F9" s="111" t="s">
        <v>2968</v>
      </c>
      <c r="G9" s="112" t="str">
        <f>IF(COUNTIF(H9:AU9,"&lt;&gt;")=0,"",SUMPRODUCT(((Recommendations[ImplStatus]="Implemented")+(Recommendations[ImplStatus]="Compensated"))*ISNUMBER(MATCH(Recommendations[Id],H9:AU9,0)))/COUNTIF(H9:AU9,"&lt;&gt;"))</f>
        <v/>
      </c>
      <c r="H9" s="113"/>
      <c r="I9" s="113"/>
      <c r="J9" s="113"/>
      <c r="K9" s="113"/>
      <c r="L9" s="113"/>
      <c r="M9" s="113"/>
      <c r="N9" s="113"/>
      <c r="O9" s="113"/>
      <c r="P9" s="113"/>
      <c r="Q9" s="113"/>
      <c r="R9" s="113"/>
      <c r="S9" s="113"/>
      <c r="T9" s="113"/>
      <c r="U9" s="113"/>
      <c r="V9" s="113"/>
      <c r="W9" s="113"/>
      <c r="X9" s="113"/>
      <c r="Y9" s="113"/>
      <c r="Z9" s="113"/>
      <c r="AA9" s="113"/>
      <c r="AB9" s="113"/>
      <c r="AC9" s="113"/>
      <c r="AD9" s="113"/>
      <c r="AE9" s="113"/>
      <c r="AF9" s="113"/>
      <c r="AG9" s="113"/>
      <c r="AH9" s="113"/>
      <c r="AI9" s="113"/>
      <c r="AJ9" s="113"/>
      <c r="AK9" s="113"/>
      <c r="AL9" s="113"/>
      <c r="AM9" s="113"/>
      <c r="AN9" s="113"/>
      <c r="AO9" s="113"/>
      <c r="AP9" s="113"/>
      <c r="AQ9" s="113"/>
      <c r="AR9" s="113"/>
      <c r="AS9" s="113"/>
      <c r="AT9" s="113"/>
      <c r="AU9" s="121"/>
    </row>
    <row r="10" spans="1:47" ht="60" customHeight="1" x14ac:dyDescent="0.35">
      <c r="A10" s="119" t="s">
        <v>2969</v>
      </c>
      <c r="B10" s="109" t="s">
        <v>2970</v>
      </c>
      <c r="C10" s="110" t="s">
        <v>2971</v>
      </c>
      <c r="D10" s="110" t="s">
        <v>2972</v>
      </c>
      <c r="E10" s="110" t="s">
        <v>21</v>
      </c>
      <c r="F10" s="111" t="s">
        <v>2973</v>
      </c>
      <c r="G10" s="112">
        <f>IF(COUNTIF(H10:AU10,"&lt;&gt;")=0,"",SUMPRODUCT(((Recommendations[ImplStatus]="Implemented")+(Recommendations[ImplStatus]="Compensated"))*ISNUMBER(MATCH(Recommendations[Id],H10:AU10,0)))/COUNTIF(H10:AU10,"&lt;&gt;"))</f>
        <v>0</v>
      </c>
      <c r="H10" s="113" t="s">
        <v>1071</v>
      </c>
      <c r="I10" s="113" t="s">
        <v>1480</v>
      </c>
      <c r="J10" s="113" t="s">
        <v>1485</v>
      </c>
      <c r="K10" s="113"/>
      <c r="L10" s="113"/>
      <c r="M10" s="113"/>
      <c r="N10" s="113"/>
      <c r="O10" s="113"/>
      <c r="P10" s="113"/>
      <c r="Q10" s="113"/>
      <c r="R10" s="113"/>
      <c r="S10" s="113"/>
      <c r="T10" s="113"/>
      <c r="U10" s="113"/>
      <c r="V10" s="113"/>
      <c r="W10" s="113"/>
      <c r="X10" s="113"/>
      <c r="Y10" s="113"/>
      <c r="Z10" s="113"/>
      <c r="AA10" s="113"/>
      <c r="AB10" s="113"/>
      <c r="AC10" s="113"/>
      <c r="AD10" s="113"/>
      <c r="AE10" s="113"/>
      <c r="AF10" s="113"/>
      <c r="AG10" s="113"/>
      <c r="AH10" s="113"/>
      <c r="AI10" s="113"/>
      <c r="AJ10" s="113"/>
      <c r="AK10" s="113"/>
      <c r="AL10" s="113"/>
      <c r="AM10" s="113"/>
      <c r="AN10" s="113"/>
      <c r="AO10" s="113"/>
      <c r="AP10" s="113"/>
      <c r="AQ10" s="113"/>
      <c r="AR10" s="113"/>
      <c r="AS10" s="113"/>
      <c r="AT10" s="113"/>
      <c r="AU10" s="121"/>
    </row>
    <row r="11" spans="1:47" ht="60" customHeight="1" x14ac:dyDescent="0.35">
      <c r="A11" s="119" t="s">
        <v>2974</v>
      </c>
      <c r="B11" s="109" t="s">
        <v>2975</v>
      </c>
      <c r="C11" s="110" t="s">
        <v>2976</v>
      </c>
      <c r="D11" s="110" t="s">
        <v>2977</v>
      </c>
      <c r="E11" s="110" t="s">
        <v>21</v>
      </c>
      <c r="F11" s="111" t="s">
        <v>2978</v>
      </c>
      <c r="G11" s="112" t="str">
        <f>IF(COUNTIF(H11:AU11,"&lt;&gt;")=0,"",SUMPRODUCT(((Recommendations[ImplStatus]="Implemented")+(Recommendations[ImplStatus]="Compensated"))*ISNUMBER(MATCH(Recommendations[Id],H11:AU11,0)))/COUNTIF(H11:AU11,"&lt;&gt;"))</f>
        <v/>
      </c>
      <c r="H11" s="113"/>
      <c r="I11" s="113"/>
      <c r="J11" s="113"/>
      <c r="K11" s="113"/>
      <c r="L11" s="113"/>
      <c r="M11" s="113"/>
      <c r="N11" s="113"/>
      <c r="O11" s="113"/>
      <c r="P11" s="113"/>
      <c r="Q11" s="113"/>
      <c r="R11" s="113"/>
      <c r="S11" s="113"/>
      <c r="T11" s="113"/>
      <c r="U11" s="113"/>
      <c r="V11" s="113"/>
      <c r="W11" s="113"/>
      <c r="X11" s="113"/>
      <c r="Y11" s="113"/>
      <c r="Z11" s="113"/>
      <c r="AA11" s="113"/>
      <c r="AB11" s="113"/>
      <c r="AC11" s="113"/>
      <c r="AD11" s="113"/>
      <c r="AE11" s="113"/>
      <c r="AF11" s="113"/>
      <c r="AG11" s="113"/>
      <c r="AH11" s="113"/>
      <c r="AI11" s="113"/>
      <c r="AJ11" s="113"/>
      <c r="AK11" s="113"/>
      <c r="AL11" s="113"/>
      <c r="AM11" s="113"/>
      <c r="AN11" s="113"/>
      <c r="AO11" s="113"/>
      <c r="AP11" s="113"/>
      <c r="AQ11" s="113"/>
      <c r="AR11" s="113"/>
      <c r="AS11" s="113"/>
      <c r="AT11" s="113"/>
      <c r="AU11" s="121"/>
    </row>
    <row r="12" spans="1:47" ht="60" customHeight="1" x14ac:dyDescent="0.35">
      <c r="A12" s="119" t="s">
        <v>2979</v>
      </c>
      <c r="B12" s="109" t="s">
        <v>2980</v>
      </c>
      <c r="C12" s="110" t="s">
        <v>2981</v>
      </c>
      <c r="D12" s="110" t="s">
        <v>2982</v>
      </c>
      <c r="E12" s="110" t="s">
        <v>21</v>
      </c>
      <c r="F12" s="111" t="s">
        <v>2983</v>
      </c>
      <c r="G12" s="112" t="str">
        <f>IF(COUNTIF(H12:AU12,"&lt;&gt;")=0,"",SUMPRODUCT(((Recommendations[ImplStatus]="Implemented")+(Recommendations[ImplStatus]="Compensated"))*ISNUMBER(MATCH(Recommendations[Id],H12:AU12,0)))/COUNTIF(H12:AU12,"&lt;&gt;"))</f>
        <v/>
      </c>
      <c r="H12" s="113"/>
      <c r="I12" s="113"/>
      <c r="J12" s="113"/>
      <c r="K12" s="113"/>
      <c r="L12" s="113"/>
      <c r="M12" s="113"/>
      <c r="N12" s="113"/>
      <c r="O12" s="113"/>
      <c r="P12" s="113"/>
      <c r="Q12" s="113"/>
      <c r="R12" s="113"/>
      <c r="S12" s="113"/>
      <c r="T12" s="113"/>
      <c r="U12" s="113"/>
      <c r="V12" s="113"/>
      <c r="W12" s="113"/>
      <c r="X12" s="113"/>
      <c r="Y12" s="113"/>
      <c r="Z12" s="113"/>
      <c r="AA12" s="113"/>
      <c r="AB12" s="113"/>
      <c r="AC12" s="113"/>
      <c r="AD12" s="113"/>
      <c r="AE12" s="113"/>
      <c r="AF12" s="113"/>
      <c r="AG12" s="113"/>
      <c r="AH12" s="113"/>
      <c r="AI12" s="113"/>
      <c r="AJ12" s="113"/>
      <c r="AK12" s="113"/>
      <c r="AL12" s="113"/>
      <c r="AM12" s="113"/>
      <c r="AN12" s="113"/>
      <c r="AO12" s="113"/>
      <c r="AP12" s="113"/>
      <c r="AQ12" s="113"/>
      <c r="AR12" s="113"/>
      <c r="AS12" s="113"/>
      <c r="AT12" s="113"/>
      <c r="AU12" s="121"/>
    </row>
    <row r="13" spans="1:47" ht="60" customHeight="1" x14ac:dyDescent="0.35">
      <c r="A13" s="119" t="s">
        <v>2984</v>
      </c>
      <c r="B13" s="109" t="s">
        <v>2985</v>
      </c>
      <c r="C13" s="110" t="s">
        <v>2986</v>
      </c>
      <c r="D13" s="110" t="s">
        <v>2987</v>
      </c>
      <c r="E13" s="110" t="s">
        <v>21</v>
      </c>
      <c r="F13" s="111" t="s">
        <v>2988</v>
      </c>
      <c r="G13" s="112" t="str">
        <f>IF(COUNTIF(H13:AU13,"&lt;&gt;")=0,"",SUMPRODUCT(((Recommendations[ImplStatus]="Implemented")+(Recommendations[ImplStatus]="Compensated"))*ISNUMBER(MATCH(Recommendations[Id],H13:AU13,0)))/COUNTIF(H13:AU13,"&lt;&gt;"))</f>
        <v/>
      </c>
      <c r="H13" s="113"/>
      <c r="I13" s="113"/>
      <c r="J13" s="113"/>
      <c r="K13" s="113"/>
      <c r="L13" s="113"/>
      <c r="M13" s="113"/>
      <c r="N13" s="113"/>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3"/>
      <c r="AR13" s="113"/>
      <c r="AS13" s="113"/>
      <c r="AT13" s="113"/>
      <c r="AU13" s="121"/>
    </row>
    <row r="14" spans="1:47" ht="60" customHeight="1" x14ac:dyDescent="0.35">
      <c r="A14" s="119" t="s">
        <v>2989</v>
      </c>
      <c r="B14" s="109" t="s">
        <v>2990</v>
      </c>
      <c r="C14" s="110" t="s">
        <v>2991</v>
      </c>
      <c r="D14" s="110" t="s">
        <v>2992</v>
      </c>
      <c r="E14" s="110" t="s">
        <v>21</v>
      </c>
      <c r="F14" s="111" t="s">
        <v>2993</v>
      </c>
      <c r="G14" s="112">
        <f>IF(COUNTIF(H14:AU14,"&lt;&gt;")=0,"",SUMPRODUCT(((Recommendations[ImplStatus]="Implemented")+(Recommendations[ImplStatus]="Compensated"))*ISNUMBER(MATCH(Recommendations[Id],H14:AU14,0)))/COUNTIF(H14:AU14,"&lt;&gt;"))</f>
        <v>0</v>
      </c>
      <c r="H14" s="113" t="s">
        <v>137</v>
      </c>
      <c r="I14" s="113" t="s">
        <v>215</v>
      </c>
      <c r="J14" s="113" t="s">
        <v>621</v>
      </c>
      <c r="K14" s="113" t="s">
        <v>626</v>
      </c>
      <c r="L14" s="113" t="s">
        <v>631</v>
      </c>
      <c r="M14" s="113" t="s">
        <v>635</v>
      </c>
      <c r="N14" s="113" t="s">
        <v>640</v>
      </c>
      <c r="O14" s="113" t="s">
        <v>645</v>
      </c>
      <c r="P14" s="113" t="s">
        <v>650</v>
      </c>
      <c r="Q14" s="113" t="s">
        <v>665</v>
      </c>
      <c r="R14" s="113" t="s">
        <v>670</v>
      </c>
      <c r="S14" s="113" t="s">
        <v>675</v>
      </c>
      <c r="T14" s="113" t="s">
        <v>680</v>
      </c>
      <c r="U14" s="113" t="s">
        <v>705</v>
      </c>
      <c r="V14" s="113" t="s">
        <v>760</v>
      </c>
      <c r="W14" s="113" t="s">
        <v>765</v>
      </c>
      <c r="X14" s="113" t="s">
        <v>770</v>
      </c>
      <c r="Y14" s="113" t="s">
        <v>775</v>
      </c>
      <c r="Z14" s="113" t="s">
        <v>780</v>
      </c>
      <c r="AA14" s="113" t="s">
        <v>785</v>
      </c>
      <c r="AB14" s="113" t="s">
        <v>790</v>
      </c>
      <c r="AC14" s="113" t="s">
        <v>795</v>
      </c>
      <c r="AD14" s="113" t="s">
        <v>800</v>
      </c>
      <c r="AE14" s="113" t="s">
        <v>820</v>
      </c>
      <c r="AF14" s="113" t="s">
        <v>825</v>
      </c>
      <c r="AG14" s="113" t="s">
        <v>1502</v>
      </c>
      <c r="AH14" s="113" t="s">
        <v>1507</v>
      </c>
      <c r="AI14" s="113" t="s">
        <v>1512</v>
      </c>
      <c r="AJ14" s="113" t="s">
        <v>1517</v>
      </c>
      <c r="AK14" s="113" t="s">
        <v>1522</v>
      </c>
      <c r="AL14" s="113" t="s">
        <v>1541</v>
      </c>
      <c r="AM14" s="113" t="s">
        <v>1729</v>
      </c>
      <c r="AN14" s="113" t="s">
        <v>1734</v>
      </c>
      <c r="AO14" s="113" t="s">
        <v>1738</v>
      </c>
      <c r="AP14" s="113" t="s">
        <v>1742</v>
      </c>
      <c r="AQ14" s="113" t="s">
        <v>1747</v>
      </c>
      <c r="AR14" s="113" t="s">
        <v>1751</v>
      </c>
      <c r="AS14" s="113" t="s">
        <v>1865</v>
      </c>
      <c r="AT14" s="113" t="s">
        <v>1870</v>
      </c>
      <c r="AU14" s="121" t="s">
        <v>1874</v>
      </c>
    </row>
    <row r="15" spans="1:47" ht="60" customHeight="1" x14ac:dyDescent="0.35">
      <c r="A15" s="119" t="s">
        <v>2994</v>
      </c>
      <c r="B15" s="109" t="s">
        <v>2995</v>
      </c>
      <c r="C15" s="110" t="s">
        <v>2996</v>
      </c>
      <c r="D15" s="110" t="s">
        <v>2997</v>
      </c>
      <c r="E15" s="110" t="s">
        <v>21</v>
      </c>
      <c r="F15" s="111" t="s">
        <v>2998</v>
      </c>
      <c r="G15" s="112" t="str">
        <f>IF(COUNTIF(H15:AU15,"&lt;&gt;")=0,"",SUMPRODUCT(((Recommendations[ImplStatus]="Implemented")+(Recommendations[ImplStatus]="Compensated"))*ISNUMBER(MATCH(Recommendations[Id],H15:AU15,0)))/COUNTIF(H15:AU15,"&lt;&gt;"))</f>
        <v/>
      </c>
      <c r="H15" s="11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c r="AI15" s="113"/>
      <c r="AJ15" s="113"/>
      <c r="AK15" s="113"/>
      <c r="AL15" s="113"/>
      <c r="AM15" s="113"/>
      <c r="AN15" s="113"/>
      <c r="AO15" s="113"/>
      <c r="AP15" s="113"/>
      <c r="AQ15" s="113"/>
      <c r="AR15" s="113"/>
      <c r="AS15" s="113"/>
      <c r="AT15" s="113"/>
      <c r="AU15" s="121"/>
    </row>
    <row r="16" spans="1:47" ht="60" customHeight="1" x14ac:dyDescent="0.35">
      <c r="A16" s="119" t="s">
        <v>2999</v>
      </c>
      <c r="B16" s="109" t="s">
        <v>3000</v>
      </c>
      <c r="C16" s="110" t="s">
        <v>3001</v>
      </c>
      <c r="D16" s="110" t="s">
        <v>3002</v>
      </c>
      <c r="E16" s="110" t="s">
        <v>21</v>
      </c>
      <c r="F16" s="111" t="s">
        <v>3003</v>
      </c>
      <c r="G16" s="112">
        <f>IF(COUNTIF(H16:AU16,"&lt;&gt;")=0,"",SUMPRODUCT(((Recommendations[ImplStatus]="Implemented")+(Recommendations[ImplStatus]="Compensated"))*ISNUMBER(MATCH(Recommendations[Id],H16:AU16,0)))/COUNTIF(H16:AU16,"&lt;&gt;"))</f>
        <v>0</v>
      </c>
      <c r="H16" s="113" t="s">
        <v>35</v>
      </c>
      <c r="I16" s="113" t="s">
        <v>161</v>
      </c>
      <c r="J16" s="113" t="s">
        <v>299</v>
      </c>
      <c r="K16" s="113" t="s">
        <v>303</v>
      </c>
      <c r="L16" s="113" t="s">
        <v>306</v>
      </c>
      <c r="M16" s="113" t="s">
        <v>366</v>
      </c>
      <c r="N16" s="113" t="s">
        <v>371</v>
      </c>
      <c r="O16" s="113" t="s">
        <v>997</v>
      </c>
      <c r="P16" s="113" t="s">
        <v>1081</v>
      </c>
      <c r="Q16" s="113" t="s">
        <v>1085</v>
      </c>
      <c r="R16" s="113" t="s">
        <v>1090</v>
      </c>
      <c r="S16" s="113" t="s">
        <v>1093</v>
      </c>
      <c r="T16" s="113" t="s">
        <v>1196</v>
      </c>
      <c r="U16" s="113" t="s">
        <v>1289</v>
      </c>
      <c r="V16" s="113" t="s">
        <v>1294</v>
      </c>
      <c r="W16" s="113" t="s">
        <v>1298</v>
      </c>
      <c r="X16" s="113" t="s">
        <v>1303</v>
      </c>
      <c r="Y16" s="113" t="s">
        <v>1308</v>
      </c>
      <c r="Z16" s="113" t="s">
        <v>1312</v>
      </c>
      <c r="AA16" s="113" t="s">
        <v>1582</v>
      </c>
      <c r="AB16" s="113" t="s">
        <v>1587</v>
      </c>
      <c r="AC16" s="113" t="s">
        <v>1592</v>
      </c>
      <c r="AD16" s="113" t="s">
        <v>1595</v>
      </c>
      <c r="AE16" s="113" t="s">
        <v>1610</v>
      </c>
      <c r="AF16" s="113" t="s">
        <v>1613</v>
      </c>
      <c r="AG16" s="113" t="s">
        <v>1616</v>
      </c>
      <c r="AH16" s="113" t="s">
        <v>1774</v>
      </c>
      <c r="AI16" s="113" t="s">
        <v>1779</v>
      </c>
      <c r="AJ16" s="113" t="s">
        <v>1783</v>
      </c>
      <c r="AK16" s="113" t="s">
        <v>1850</v>
      </c>
      <c r="AL16" s="113" t="s">
        <v>1855</v>
      </c>
      <c r="AM16" s="113" t="s">
        <v>1860</v>
      </c>
      <c r="AN16" s="113" t="s">
        <v>1879</v>
      </c>
      <c r="AO16" s="113" t="s">
        <v>1884</v>
      </c>
      <c r="AP16" s="113" t="s">
        <v>1888</v>
      </c>
      <c r="AQ16" s="113" t="s">
        <v>1928</v>
      </c>
      <c r="AR16" s="113" t="s">
        <v>1933</v>
      </c>
      <c r="AS16" s="113" t="s">
        <v>1937</v>
      </c>
      <c r="AT16" s="113" t="s">
        <v>1941</v>
      </c>
      <c r="AU16" s="121" t="s">
        <v>1946</v>
      </c>
    </row>
    <row r="17" spans="1:47" ht="60" customHeight="1" x14ac:dyDescent="0.35">
      <c r="A17" s="119" t="s">
        <v>3004</v>
      </c>
      <c r="B17" s="109" t="s">
        <v>3005</v>
      </c>
      <c r="C17" s="110" t="s">
        <v>3006</v>
      </c>
      <c r="D17" s="110" t="s">
        <v>3007</v>
      </c>
      <c r="E17" s="110" t="s">
        <v>21</v>
      </c>
      <c r="F17" s="111" t="s">
        <v>3008</v>
      </c>
      <c r="G17" s="112" t="str">
        <f>IF(COUNTIF(H17:AU17,"&lt;&gt;")=0,"",SUMPRODUCT(((Recommendations[ImplStatus]="Implemented")+(Recommendations[ImplStatus]="Compensated"))*ISNUMBER(MATCH(Recommendations[Id],H17:AU17,0)))/COUNTIF(H17:AU17,"&lt;&gt;"))</f>
        <v/>
      </c>
      <c r="H17" s="113"/>
      <c r="I17" s="113"/>
      <c r="J17" s="113"/>
      <c r="K17" s="113"/>
      <c r="L17" s="113"/>
      <c r="M17" s="113"/>
      <c r="N17" s="113"/>
      <c r="O17" s="113"/>
      <c r="P17" s="113"/>
      <c r="Q17" s="113"/>
      <c r="R17" s="113"/>
      <c r="S17" s="113"/>
      <c r="T17" s="113"/>
      <c r="U17" s="113"/>
      <c r="V17" s="113"/>
      <c r="W17" s="113"/>
      <c r="X17" s="113"/>
      <c r="Y17" s="113"/>
      <c r="Z17" s="113"/>
      <c r="AA17" s="113"/>
      <c r="AB17" s="113"/>
      <c r="AC17" s="113"/>
      <c r="AD17" s="113"/>
      <c r="AE17" s="113"/>
      <c r="AF17" s="113"/>
      <c r="AG17" s="113"/>
      <c r="AH17" s="113"/>
      <c r="AI17" s="113"/>
      <c r="AJ17" s="113"/>
      <c r="AK17" s="113"/>
      <c r="AL17" s="113"/>
      <c r="AM17" s="113"/>
      <c r="AN17" s="113"/>
      <c r="AO17" s="113"/>
      <c r="AP17" s="113"/>
      <c r="AQ17" s="113"/>
      <c r="AR17" s="113"/>
      <c r="AS17" s="113"/>
      <c r="AT17" s="113"/>
      <c r="AU17" s="121"/>
    </row>
    <row r="18" spans="1:47" ht="60" customHeight="1" x14ac:dyDescent="0.35">
      <c r="A18" s="119" t="s">
        <v>3009</v>
      </c>
      <c r="B18" s="109" t="s">
        <v>3010</v>
      </c>
      <c r="C18" s="110" t="s">
        <v>3011</v>
      </c>
      <c r="D18" s="110" t="s">
        <v>3012</v>
      </c>
      <c r="E18" s="110" t="s">
        <v>21</v>
      </c>
      <c r="F18" s="111" t="s">
        <v>3013</v>
      </c>
      <c r="G18" s="112" t="str">
        <f>IF(COUNTIF(H18:AU18,"&lt;&gt;")=0,"",SUMPRODUCT(((Recommendations[ImplStatus]="Implemented")+(Recommendations[ImplStatus]="Compensated"))*ISNUMBER(MATCH(Recommendations[Id],H18:AU18,0)))/COUNTIF(H18:AU18,"&lt;&gt;"))</f>
        <v/>
      </c>
      <c r="H18" s="113"/>
      <c r="I18" s="113"/>
      <c r="J18" s="113"/>
      <c r="K18" s="113"/>
      <c r="L18" s="113"/>
      <c r="M18" s="113"/>
      <c r="N18" s="113"/>
      <c r="O18" s="113"/>
      <c r="P18" s="113"/>
      <c r="Q18" s="113"/>
      <c r="R18" s="113"/>
      <c r="S18" s="113"/>
      <c r="T18" s="113"/>
      <c r="U18" s="113"/>
      <c r="V18" s="113"/>
      <c r="W18" s="113"/>
      <c r="X18" s="113"/>
      <c r="Y18" s="113"/>
      <c r="Z18" s="113"/>
      <c r="AA18" s="113"/>
      <c r="AB18" s="113"/>
      <c r="AC18" s="113"/>
      <c r="AD18" s="113"/>
      <c r="AE18" s="113"/>
      <c r="AF18" s="113"/>
      <c r="AG18" s="113"/>
      <c r="AH18" s="113"/>
      <c r="AI18" s="113"/>
      <c r="AJ18" s="113"/>
      <c r="AK18" s="113"/>
      <c r="AL18" s="113"/>
      <c r="AM18" s="113"/>
      <c r="AN18" s="113"/>
      <c r="AO18" s="113"/>
      <c r="AP18" s="113"/>
      <c r="AQ18" s="113"/>
      <c r="AR18" s="113"/>
      <c r="AS18" s="113"/>
      <c r="AT18" s="113"/>
      <c r="AU18" s="121"/>
    </row>
    <row r="19" spans="1:47" ht="60" customHeight="1" x14ac:dyDescent="0.35">
      <c r="A19" s="119" t="s">
        <v>3014</v>
      </c>
      <c r="B19" s="109" t="s">
        <v>3015</v>
      </c>
      <c r="C19" s="110" t="s">
        <v>3016</v>
      </c>
      <c r="D19" s="110" t="s">
        <v>3017</v>
      </c>
      <c r="E19" s="110" t="s">
        <v>21</v>
      </c>
      <c r="F19" s="111" t="s">
        <v>3018</v>
      </c>
      <c r="G19" s="112">
        <f>IF(COUNTIF(H19:AU19,"&lt;&gt;")=0,"",SUMPRODUCT(((Recommendations[ImplStatus]="Implemented")+(Recommendations[ImplStatus]="Compensated"))*ISNUMBER(MATCH(Recommendations[Id],H19:AU19,0)))/COUNTIF(H19:AU19,"&lt;&gt;"))</f>
        <v>0</v>
      </c>
      <c r="H19" s="113" t="s">
        <v>1100</v>
      </c>
      <c r="I19" s="113" t="s">
        <v>1105</v>
      </c>
      <c r="J19" s="113"/>
      <c r="K19" s="113"/>
      <c r="L19" s="113"/>
      <c r="M19" s="113"/>
      <c r="N19" s="113"/>
      <c r="O19" s="113"/>
      <c r="P19" s="113"/>
      <c r="Q19" s="113"/>
      <c r="R19" s="113"/>
      <c r="S19" s="113"/>
      <c r="T19" s="113"/>
      <c r="U19" s="113"/>
      <c r="V19" s="113"/>
      <c r="W19" s="113"/>
      <c r="X19" s="113"/>
      <c r="Y19" s="113"/>
      <c r="Z19" s="113"/>
      <c r="AA19" s="113"/>
      <c r="AB19" s="113"/>
      <c r="AC19" s="113"/>
      <c r="AD19" s="113"/>
      <c r="AE19" s="113"/>
      <c r="AF19" s="113"/>
      <c r="AG19" s="113"/>
      <c r="AH19" s="113"/>
      <c r="AI19" s="113"/>
      <c r="AJ19" s="113"/>
      <c r="AK19" s="113"/>
      <c r="AL19" s="113"/>
      <c r="AM19" s="113"/>
      <c r="AN19" s="113"/>
      <c r="AO19" s="113"/>
      <c r="AP19" s="113"/>
      <c r="AQ19" s="113"/>
      <c r="AR19" s="113"/>
      <c r="AS19" s="113"/>
      <c r="AT19" s="113"/>
      <c r="AU19" s="121"/>
    </row>
    <row r="20" spans="1:47" ht="60" customHeight="1" x14ac:dyDescent="0.35">
      <c r="A20" s="119" t="s">
        <v>3019</v>
      </c>
      <c r="B20" s="109" t="s">
        <v>3020</v>
      </c>
      <c r="C20" s="110" t="s">
        <v>3021</v>
      </c>
      <c r="D20" s="110" t="s">
        <v>3022</v>
      </c>
      <c r="E20" s="110" t="s">
        <v>21</v>
      </c>
      <c r="F20" s="111" t="s">
        <v>3023</v>
      </c>
      <c r="G20" s="112" t="str">
        <f>IF(COUNTIF(H20:AU20,"&lt;&gt;")=0,"",SUMPRODUCT(((Recommendations[ImplStatus]="Implemented")+(Recommendations[ImplStatus]="Compensated"))*ISNUMBER(MATCH(Recommendations[Id],H20:AU20,0)))/COUNTIF(H20:AU20,"&lt;&gt;"))</f>
        <v/>
      </c>
      <c r="H20" s="113"/>
      <c r="I20" s="113"/>
      <c r="J20" s="113"/>
      <c r="K20" s="113"/>
      <c r="L20" s="113"/>
      <c r="M20" s="113"/>
      <c r="N20" s="113"/>
      <c r="O20" s="113"/>
      <c r="P20" s="113"/>
      <c r="Q20" s="113"/>
      <c r="R20" s="113"/>
      <c r="S20" s="113"/>
      <c r="T20" s="113"/>
      <c r="U20" s="113"/>
      <c r="V20" s="113"/>
      <c r="W20" s="113"/>
      <c r="X20" s="113"/>
      <c r="Y20" s="113"/>
      <c r="Z20" s="113"/>
      <c r="AA20" s="113"/>
      <c r="AB20" s="113"/>
      <c r="AC20" s="113"/>
      <c r="AD20" s="113"/>
      <c r="AE20" s="113"/>
      <c r="AF20" s="113"/>
      <c r="AG20" s="113"/>
      <c r="AH20" s="113"/>
      <c r="AI20" s="113"/>
      <c r="AJ20" s="113"/>
      <c r="AK20" s="113"/>
      <c r="AL20" s="113"/>
      <c r="AM20" s="113"/>
      <c r="AN20" s="113"/>
      <c r="AO20" s="113"/>
      <c r="AP20" s="113"/>
      <c r="AQ20" s="113"/>
      <c r="AR20" s="113"/>
      <c r="AS20" s="113"/>
      <c r="AT20" s="113"/>
      <c r="AU20" s="121"/>
    </row>
    <row r="21" spans="1:47" ht="60" customHeight="1" x14ac:dyDescent="0.35">
      <c r="A21" s="119" t="s">
        <v>3024</v>
      </c>
      <c r="B21" s="109" t="s">
        <v>3025</v>
      </c>
      <c r="C21" s="110" t="s">
        <v>3026</v>
      </c>
      <c r="D21" s="110" t="s">
        <v>3027</v>
      </c>
      <c r="E21" s="110" t="s">
        <v>3028</v>
      </c>
      <c r="F21" s="111" t="s">
        <v>3029</v>
      </c>
      <c r="G21" s="112" t="str">
        <f>IF(COUNTIF(H21:AU21,"&lt;&gt;")=0,"",SUMPRODUCT(((Recommendations[ImplStatus]="Implemented")+(Recommendations[ImplStatus]="Compensated"))*ISNUMBER(MATCH(Recommendations[Id],H21:AU21,0)))/COUNTIF(H21:AU21,"&lt;&gt;"))</f>
        <v/>
      </c>
      <c r="H21" s="113"/>
      <c r="I21" s="113"/>
      <c r="J21" s="113"/>
      <c r="K21" s="113"/>
      <c r="L21" s="113"/>
      <c r="M21" s="113"/>
      <c r="N21" s="113"/>
      <c r="O21" s="113"/>
      <c r="P21" s="113"/>
      <c r="Q21" s="113"/>
      <c r="R21" s="113"/>
      <c r="S21" s="113"/>
      <c r="T21" s="113"/>
      <c r="U21" s="113"/>
      <c r="V21" s="113"/>
      <c r="W21" s="113"/>
      <c r="X21" s="113"/>
      <c r="Y21" s="113"/>
      <c r="Z21" s="113"/>
      <c r="AA21" s="113"/>
      <c r="AB21" s="113"/>
      <c r="AC21" s="113"/>
      <c r="AD21" s="113"/>
      <c r="AE21" s="113"/>
      <c r="AF21" s="113"/>
      <c r="AG21" s="113"/>
      <c r="AH21" s="113"/>
      <c r="AI21" s="113"/>
      <c r="AJ21" s="113"/>
      <c r="AK21" s="113"/>
      <c r="AL21" s="113"/>
      <c r="AM21" s="113"/>
      <c r="AN21" s="113"/>
      <c r="AO21" s="113"/>
      <c r="AP21" s="113"/>
      <c r="AQ21" s="113"/>
      <c r="AR21" s="113"/>
      <c r="AS21" s="113"/>
      <c r="AT21" s="113"/>
      <c r="AU21" s="121"/>
    </row>
    <row r="22" spans="1:47" ht="60" customHeight="1" x14ac:dyDescent="0.35">
      <c r="A22" s="119" t="s">
        <v>3030</v>
      </c>
      <c r="B22" s="109" t="s">
        <v>3031</v>
      </c>
      <c r="C22" s="110" t="s">
        <v>3032</v>
      </c>
      <c r="D22" s="110" t="s">
        <v>3033</v>
      </c>
      <c r="E22" s="110" t="s">
        <v>3034</v>
      </c>
      <c r="F22" s="111" t="s">
        <v>3035</v>
      </c>
      <c r="G22" s="112" t="str">
        <f>IF(COUNTIF(H22:AU22,"&lt;&gt;")=0,"",SUMPRODUCT(((Recommendations[ImplStatus]="Implemented")+(Recommendations[ImplStatus]="Compensated"))*ISNUMBER(MATCH(Recommendations[Id],H22:AU22,0)))/COUNTIF(H22:AU22,"&lt;&gt;"))</f>
        <v/>
      </c>
      <c r="H22" s="113"/>
      <c r="I22" s="113"/>
      <c r="J22" s="113"/>
      <c r="K22" s="113"/>
      <c r="L22" s="113"/>
      <c r="M22" s="113"/>
      <c r="N22" s="113"/>
      <c r="O22" s="113"/>
      <c r="P22" s="113"/>
      <c r="Q22" s="113"/>
      <c r="R22" s="113"/>
      <c r="S22" s="113"/>
      <c r="T22" s="113"/>
      <c r="U22" s="113"/>
      <c r="V22" s="113"/>
      <c r="W22" s="113"/>
      <c r="X22" s="113"/>
      <c r="Y22" s="113"/>
      <c r="Z22" s="113"/>
      <c r="AA22" s="113"/>
      <c r="AB22" s="113"/>
      <c r="AC22" s="113"/>
      <c r="AD22" s="113"/>
      <c r="AE22" s="113"/>
      <c r="AF22" s="113"/>
      <c r="AG22" s="113"/>
      <c r="AH22" s="113"/>
      <c r="AI22" s="113"/>
      <c r="AJ22" s="113"/>
      <c r="AK22" s="113"/>
      <c r="AL22" s="113"/>
      <c r="AM22" s="113"/>
      <c r="AN22" s="113"/>
      <c r="AO22" s="113"/>
      <c r="AP22" s="113"/>
      <c r="AQ22" s="113"/>
      <c r="AR22" s="113"/>
      <c r="AS22" s="113"/>
      <c r="AT22" s="113"/>
      <c r="AU22" s="121"/>
    </row>
    <row r="23" spans="1:47" ht="60" customHeight="1" x14ac:dyDescent="0.35">
      <c r="A23" s="119" t="s">
        <v>3036</v>
      </c>
      <c r="B23" s="109" t="s">
        <v>3037</v>
      </c>
      <c r="C23" s="110" t="s">
        <v>3038</v>
      </c>
      <c r="D23" s="110" t="s">
        <v>3039</v>
      </c>
      <c r="E23" s="110" t="s">
        <v>3040</v>
      </c>
      <c r="F23" s="111" t="s">
        <v>3041</v>
      </c>
      <c r="G23" s="112" t="str">
        <f>IF(COUNTIF(H23:AU23,"&lt;&gt;")=0,"",SUMPRODUCT(((Recommendations[ImplStatus]="Implemented")+(Recommendations[ImplStatus]="Compensated"))*ISNUMBER(MATCH(Recommendations[Id],H23:AU23,0)))/COUNTIF(H23:AU23,"&lt;&gt;"))</f>
        <v/>
      </c>
      <c r="H23" s="113"/>
      <c r="I23" s="113"/>
      <c r="J23" s="113"/>
      <c r="K23" s="113"/>
      <c r="L23" s="113"/>
      <c r="M23" s="113"/>
      <c r="N23" s="113"/>
      <c r="O23" s="113"/>
      <c r="P23" s="113"/>
      <c r="Q23" s="113"/>
      <c r="R23" s="113"/>
      <c r="S23" s="113"/>
      <c r="T23" s="113"/>
      <c r="U23" s="113"/>
      <c r="V23" s="113"/>
      <c r="W23" s="113"/>
      <c r="X23" s="113"/>
      <c r="Y23" s="113"/>
      <c r="Z23" s="113"/>
      <c r="AA23" s="113"/>
      <c r="AB23" s="113"/>
      <c r="AC23" s="113"/>
      <c r="AD23" s="113"/>
      <c r="AE23" s="113"/>
      <c r="AF23" s="113"/>
      <c r="AG23" s="113"/>
      <c r="AH23" s="113"/>
      <c r="AI23" s="113"/>
      <c r="AJ23" s="113"/>
      <c r="AK23" s="113"/>
      <c r="AL23" s="113"/>
      <c r="AM23" s="113"/>
      <c r="AN23" s="113"/>
      <c r="AO23" s="113"/>
      <c r="AP23" s="113"/>
      <c r="AQ23" s="113"/>
      <c r="AR23" s="113"/>
      <c r="AS23" s="113"/>
      <c r="AT23" s="113"/>
      <c r="AU23" s="121"/>
    </row>
    <row r="24" spans="1:47" ht="60" customHeight="1" x14ac:dyDescent="0.35">
      <c r="A24" s="119" t="s">
        <v>3042</v>
      </c>
      <c r="B24" s="109" t="s">
        <v>3043</v>
      </c>
      <c r="C24" s="110" t="s">
        <v>3044</v>
      </c>
      <c r="D24" s="110" t="s">
        <v>3045</v>
      </c>
      <c r="E24" s="110" t="s">
        <v>21</v>
      </c>
      <c r="F24" s="111" t="s">
        <v>3046</v>
      </c>
      <c r="G24" s="112">
        <f>IF(COUNTIF(H24:AU24,"&lt;&gt;")=0,"",SUMPRODUCT(((Recommendations[ImplStatus]="Implemented")+(Recommendations[ImplStatus]="Compensated"))*ISNUMBER(MATCH(Recommendations[Id],H24:AU24,0)))/COUNTIF(H24:AU24,"&lt;&gt;"))</f>
        <v>0</v>
      </c>
      <c r="H24" s="113" t="s">
        <v>873</v>
      </c>
      <c r="I24" s="113"/>
      <c r="J24" s="113"/>
      <c r="K24" s="113"/>
      <c r="L24" s="113"/>
      <c r="M24" s="113"/>
      <c r="N24" s="113"/>
      <c r="O24" s="113"/>
      <c r="P24" s="113"/>
      <c r="Q24" s="113"/>
      <c r="R24" s="113"/>
      <c r="S24" s="113"/>
      <c r="T24" s="113"/>
      <c r="U24" s="113"/>
      <c r="V24" s="113"/>
      <c r="W24" s="113"/>
      <c r="X24" s="113"/>
      <c r="Y24" s="113"/>
      <c r="Z24" s="113"/>
      <c r="AA24" s="113"/>
      <c r="AB24" s="113"/>
      <c r="AC24" s="113"/>
      <c r="AD24" s="113"/>
      <c r="AE24" s="113"/>
      <c r="AF24" s="113"/>
      <c r="AG24" s="113"/>
      <c r="AH24" s="113"/>
      <c r="AI24" s="113"/>
      <c r="AJ24" s="113"/>
      <c r="AK24" s="113"/>
      <c r="AL24" s="113"/>
      <c r="AM24" s="113"/>
      <c r="AN24" s="113"/>
      <c r="AO24" s="113"/>
      <c r="AP24" s="113"/>
      <c r="AQ24" s="113"/>
      <c r="AR24" s="113"/>
      <c r="AS24" s="113"/>
      <c r="AT24" s="113"/>
      <c r="AU24" s="121"/>
    </row>
    <row r="25" spans="1:47" ht="60" customHeight="1" x14ac:dyDescent="0.35">
      <c r="A25" s="119" t="s">
        <v>3047</v>
      </c>
      <c r="B25" s="109" t="s">
        <v>3048</v>
      </c>
      <c r="C25" s="110" t="s">
        <v>3049</v>
      </c>
      <c r="D25" s="110" t="s">
        <v>21</v>
      </c>
      <c r="E25" s="110" t="s">
        <v>21</v>
      </c>
      <c r="F25" s="111" t="s">
        <v>3050</v>
      </c>
      <c r="G25" s="112" t="str">
        <f>IF(COUNTIF(H25:AU25,"&lt;&gt;")=0,"",SUMPRODUCT(((Recommendations[ImplStatus]="Implemented")+(Recommendations[ImplStatus]="Compensated"))*ISNUMBER(MATCH(Recommendations[Id],H25:AU25,0)))/COUNTIF(H25:AU25,"&lt;&gt;"))</f>
        <v/>
      </c>
      <c r="H25" s="113"/>
      <c r="I25" s="113"/>
      <c r="J25" s="113"/>
      <c r="K25" s="113"/>
      <c r="L25" s="113"/>
      <c r="M25" s="113"/>
      <c r="N25" s="113"/>
      <c r="O25" s="113"/>
      <c r="P25" s="113"/>
      <c r="Q25" s="113"/>
      <c r="R25" s="113"/>
      <c r="S25" s="113"/>
      <c r="T25" s="113"/>
      <c r="U25" s="113"/>
      <c r="V25" s="113"/>
      <c r="W25" s="113"/>
      <c r="X25" s="113"/>
      <c r="Y25" s="113"/>
      <c r="Z25" s="113"/>
      <c r="AA25" s="113"/>
      <c r="AB25" s="113"/>
      <c r="AC25" s="113"/>
      <c r="AD25" s="113"/>
      <c r="AE25" s="113"/>
      <c r="AF25" s="113"/>
      <c r="AG25" s="113"/>
      <c r="AH25" s="113"/>
      <c r="AI25" s="113"/>
      <c r="AJ25" s="113"/>
      <c r="AK25" s="113"/>
      <c r="AL25" s="113"/>
      <c r="AM25" s="113"/>
      <c r="AN25" s="113"/>
      <c r="AO25" s="113"/>
      <c r="AP25" s="113"/>
      <c r="AQ25" s="113"/>
      <c r="AR25" s="113"/>
      <c r="AS25" s="113"/>
      <c r="AT25" s="113"/>
      <c r="AU25" s="121"/>
    </row>
    <row r="26" spans="1:47" ht="60" customHeight="1" x14ac:dyDescent="0.35">
      <c r="A26" s="119" t="s">
        <v>3051</v>
      </c>
      <c r="B26" s="109" t="s">
        <v>3052</v>
      </c>
      <c r="C26" s="110" t="s">
        <v>3053</v>
      </c>
      <c r="D26" s="110" t="s">
        <v>3054</v>
      </c>
      <c r="E26" s="110" t="s">
        <v>21</v>
      </c>
      <c r="F26" s="111" t="s">
        <v>3055</v>
      </c>
      <c r="G26" s="112" t="str">
        <f>IF(COUNTIF(H26:AU26,"&lt;&gt;")=0,"",SUMPRODUCT(((Recommendations[ImplStatus]="Implemented")+(Recommendations[ImplStatus]="Compensated"))*ISNUMBER(MATCH(Recommendations[Id],H26:AU26,0)))/COUNTIF(H26:AU26,"&lt;&gt;"))</f>
        <v/>
      </c>
      <c r="H26" s="113"/>
      <c r="I26" s="113"/>
      <c r="J26" s="113"/>
      <c r="K26" s="113"/>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21"/>
    </row>
    <row r="27" spans="1:47" ht="60" customHeight="1" x14ac:dyDescent="0.35">
      <c r="A27" s="119" t="s">
        <v>3056</v>
      </c>
      <c r="B27" s="109" t="s">
        <v>3057</v>
      </c>
      <c r="C27" s="110" t="s">
        <v>3058</v>
      </c>
      <c r="D27" s="110" t="s">
        <v>3059</v>
      </c>
      <c r="E27" s="110" t="s">
        <v>3060</v>
      </c>
      <c r="F27" s="111" t="s">
        <v>3061</v>
      </c>
      <c r="G27" s="112">
        <f>IF(COUNTIF(H27:AU27,"&lt;&gt;")=0,"",SUMPRODUCT(((Recommendations[ImplStatus]="Implemented")+(Recommendations[ImplStatus]="Compensated"))*ISNUMBER(MATCH(Recommendations[Id],H27:AU27,0)))/COUNTIF(H27:AU27,"&lt;&gt;"))</f>
        <v>0</v>
      </c>
      <c r="H27" s="113" t="s">
        <v>30</v>
      </c>
      <c r="I27" s="113" t="s">
        <v>40</v>
      </c>
      <c r="J27" s="113" t="s">
        <v>172</v>
      </c>
      <c r="K27" s="113" t="s">
        <v>182</v>
      </c>
      <c r="L27" s="113" t="s">
        <v>312</v>
      </c>
      <c r="M27" s="113" t="s">
        <v>602</v>
      </c>
      <c r="N27" s="113" t="s">
        <v>695</v>
      </c>
      <c r="O27" s="113" t="s">
        <v>700</v>
      </c>
      <c r="P27" s="113" t="s">
        <v>805</v>
      </c>
      <c r="Q27" s="113" t="s">
        <v>810</v>
      </c>
      <c r="R27" s="113" t="s">
        <v>815</v>
      </c>
      <c r="S27" s="113" t="s">
        <v>840</v>
      </c>
      <c r="T27" s="113" t="s">
        <v>845</v>
      </c>
      <c r="U27" s="113" t="s">
        <v>917</v>
      </c>
      <c r="V27" s="113" t="s">
        <v>921</v>
      </c>
      <c r="W27" s="113" t="s">
        <v>924</v>
      </c>
      <c r="X27" s="113" t="s">
        <v>1005</v>
      </c>
      <c r="Y27" s="113" t="s">
        <v>1223</v>
      </c>
      <c r="Z27" s="113" t="s">
        <v>1275</v>
      </c>
      <c r="AA27" s="113" t="s">
        <v>1280</v>
      </c>
      <c r="AB27" s="113" t="s">
        <v>1285</v>
      </c>
      <c r="AC27" s="113" t="s">
        <v>1527</v>
      </c>
      <c r="AD27" s="113" t="s">
        <v>1532</v>
      </c>
      <c r="AE27" s="113" t="s">
        <v>1537</v>
      </c>
      <c r="AF27" s="113" t="s">
        <v>1559</v>
      </c>
      <c r="AG27" s="113" t="s">
        <v>1564</v>
      </c>
      <c r="AH27" s="113" t="s">
        <v>1567</v>
      </c>
      <c r="AI27" s="113" t="s">
        <v>1570</v>
      </c>
      <c r="AJ27" s="113" t="s">
        <v>1575</v>
      </c>
      <c r="AK27" s="113" t="s">
        <v>1578</v>
      </c>
      <c r="AL27" s="113" t="s">
        <v>1641</v>
      </c>
      <c r="AM27" s="113" t="s">
        <v>1661</v>
      </c>
      <c r="AN27" s="113" t="s">
        <v>1666</v>
      </c>
      <c r="AO27" s="113" t="s">
        <v>1670</v>
      </c>
      <c r="AP27" s="113" t="s">
        <v>1688</v>
      </c>
      <c r="AQ27" s="113" t="s">
        <v>1693</v>
      </c>
      <c r="AR27" s="113" t="s">
        <v>1697</v>
      </c>
      <c r="AS27" s="113" t="s">
        <v>1701</v>
      </c>
      <c r="AT27" s="113" t="s">
        <v>1706</v>
      </c>
      <c r="AU27" s="121" t="s">
        <v>1711</v>
      </c>
    </row>
    <row r="28" spans="1:47" ht="60" customHeight="1" x14ac:dyDescent="0.35">
      <c r="A28" s="119" t="s">
        <v>3062</v>
      </c>
      <c r="B28" s="109" t="s">
        <v>3063</v>
      </c>
      <c r="C28" s="110" t="s">
        <v>3064</v>
      </c>
      <c r="D28" s="110" t="s">
        <v>21</v>
      </c>
      <c r="E28" s="110" t="s">
        <v>21</v>
      </c>
      <c r="F28" s="111" t="s">
        <v>3065</v>
      </c>
      <c r="G28" s="112" t="str">
        <f>IF(COUNTIF(H28:AU28,"&lt;&gt;")=0,"",SUMPRODUCT(((Recommendations[ImplStatus]="Implemented")+(Recommendations[ImplStatus]="Compensated"))*ISNUMBER(MATCH(Recommendations[Id],H28:AU28,0)))/COUNTIF(H28:AU28,"&lt;&gt;"))</f>
        <v/>
      </c>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3"/>
      <c r="AH28" s="113"/>
      <c r="AI28" s="113"/>
      <c r="AJ28" s="113"/>
      <c r="AK28" s="113"/>
      <c r="AL28" s="113"/>
      <c r="AM28" s="113"/>
      <c r="AN28" s="113"/>
      <c r="AO28" s="113"/>
      <c r="AP28" s="113"/>
      <c r="AQ28" s="113"/>
      <c r="AR28" s="113"/>
      <c r="AS28" s="113"/>
      <c r="AT28" s="113"/>
      <c r="AU28" s="121"/>
    </row>
    <row r="29" spans="1:47" ht="60" customHeight="1" x14ac:dyDescent="0.35">
      <c r="A29" s="119" t="s">
        <v>3066</v>
      </c>
      <c r="B29" s="109" t="s">
        <v>3067</v>
      </c>
      <c r="C29" s="110" t="s">
        <v>3068</v>
      </c>
      <c r="D29" s="110" t="s">
        <v>3069</v>
      </c>
      <c r="E29" s="110" t="s">
        <v>3070</v>
      </c>
      <c r="F29" s="111" t="s">
        <v>3071</v>
      </c>
      <c r="G29" s="112">
        <f>IF(COUNTIF(H29:AU29,"&lt;&gt;")=0,"",SUMPRODUCT(((Recommendations[ImplStatus]="Implemented")+(Recommendations[ImplStatus]="Compensated"))*ISNUMBER(MATCH(Recommendations[Id],H29:AU29,0)))/COUNTIF(H29:AU29,"&lt;&gt;"))</f>
        <v>0</v>
      </c>
      <c r="H29" s="113" t="s">
        <v>156</v>
      </c>
      <c r="I29" s="113" t="s">
        <v>537</v>
      </c>
      <c r="J29" s="113" t="s">
        <v>542</v>
      </c>
      <c r="K29" s="113" t="s">
        <v>547</v>
      </c>
      <c r="L29" s="113" t="s">
        <v>551</v>
      </c>
      <c r="M29" s="113" t="s">
        <v>555</v>
      </c>
      <c r="N29" s="113" t="s">
        <v>560</v>
      </c>
      <c r="O29" s="113" t="s">
        <v>565</v>
      </c>
      <c r="P29" s="113" t="s">
        <v>570</v>
      </c>
      <c r="Q29" s="113" t="s">
        <v>574</v>
      </c>
      <c r="R29" s="113" t="s">
        <v>579</v>
      </c>
      <c r="S29" s="113" t="s">
        <v>583</v>
      </c>
      <c r="T29" s="113" t="s">
        <v>588</v>
      </c>
      <c r="U29" s="113" t="s">
        <v>592</v>
      </c>
      <c r="V29" s="113" t="s">
        <v>978</v>
      </c>
      <c r="W29" s="113" t="s">
        <v>1200</v>
      </c>
      <c r="X29" s="113" t="s">
        <v>1205</v>
      </c>
      <c r="Y29" s="113" t="s">
        <v>1209</v>
      </c>
      <c r="Z29" s="113"/>
      <c r="AA29" s="113"/>
      <c r="AB29" s="113"/>
      <c r="AC29" s="113"/>
      <c r="AD29" s="113"/>
      <c r="AE29" s="113"/>
      <c r="AF29" s="113"/>
      <c r="AG29" s="113"/>
      <c r="AH29" s="113"/>
      <c r="AI29" s="113"/>
      <c r="AJ29" s="113"/>
      <c r="AK29" s="113"/>
      <c r="AL29" s="113"/>
      <c r="AM29" s="113"/>
      <c r="AN29" s="113"/>
      <c r="AO29" s="113"/>
      <c r="AP29" s="113"/>
      <c r="AQ29" s="113"/>
      <c r="AR29" s="113"/>
      <c r="AS29" s="113"/>
      <c r="AT29" s="113"/>
      <c r="AU29" s="121"/>
    </row>
    <row r="30" spans="1:47" ht="60" customHeight="1" x14ac:dyDescent="0.35">
      <c r="A30" s="119" t="s">
        <v>3072</v>
      </c>
      <c r="B30" s="109" t="s">
        <v>3073</v>
      </c>
      <c r="C30" s="110" t="s">
        <v>3074</v>
      </c>
      <c r="D30" s="110" t="s">
        <v>3075</v>
      </c>
      <c r="E30" s="110" t="s">
        <v>21</v>
      </c>
      <c r="F30" s="111" t="s">
        <v>3076</v>
      </c>
      <c r="G30" s="112" t="str">
        <f>IF(COUNTIF(H30:AU30,"&lt;&gt;")=0,"",SUMPRODUCT(((Recommendations[ImplStatus]="Implemented")+(Recommendations[ImplStatus]="Compensated"))*ISNUMBER(MATCH(Recommendations[Id],H30:AU30,0)))/COUNTIF(H30:AU30,"&lt;&gt;"))</f>
        <v/>
      </c>
      <c r="H30" s="113"/>
      <c r="I30" s="113"/>
      <c r="J30" s="113"/>
      <c r="K30" s="113"/>
      <c r="L30" s="113"/>
      <c r="M30" s="113"/>
      <c r="N30" s="113"/>
      <c r="O30" s="113"/>
      <c r="P30" s="113"/>
      <c r="Q30" s="113"/>
      <c r="R30" s="113"/>
      <c r="S30" s="113"/>
      <c r="T30" s="113"/>
      <c r="U30" s="113"/>
      <c r="V30" s="113"/>
      <c r="W30" s="113"/>
      <c r="X30" s="113"/>
      <c r="Y30" s="113"/>
      <c r="Z30" s="113"/>
      <c r="AA30" s="113"/>
      <c r="AB30" s="113"/>
      <c r="AC30" s="113"/>
      <c r="AD30" s="113"/>
      <c r="AE30" s="113"/>
      <c r="AF30" s="113"/>
      <c r="AG30" s="113"/>
      <c r="AH30" s="113"/>
      <c r="AI30" s="113"/>
      <c r="AJ30" s="113"/>
      <c r="AK30" s="113"/>
      <c r="AL30" s="113"/>
      <c r="AM30" s="113"/>
      <c r="AN30" s="113"/>
      <c r="AO30" s="113"/>
      <c r="AP30" s="113"/>
      <c r="AQ30" s="113"/>
      <c r="AR30" s="113"/>
      <c r="AS30" s="113"/>
      <c r="AT30" s="113"/>
      <c r="AU30" s="121"/>
    </row>
    <row r="31" spans="1:47" ht="60" customHeight="1" x14ac:dyDescent="0.35">
      <c r="A31" s="119" t="s">
        <v>3077</v>
      </c>
      <c r="B31" s="109" t="s">
        <v>3078</v>
      </c>
      <c r="C31" s="110" t="s">
        <v>3079</v>
      </c>
      <c r="D31" s="110" t="s">
        <v>3080</v>
      </c>
      <c r="E31" s="110" t="s">
        <v>3081</v>
      </c>
      <c r="F31" s="111" t="s">
        <v>3082</v>
      </c>
      <c r="G31" s="112">
        <f>IF(COUNTIF(H31:AU31,"&lt;&gt;")=0,"",SUMPRODUCT(((Recommendations[ImplStatus]="Implemented")+(Recommendations[ImplStatus]="Compensated"))*ISNUMBER(MATCH(Recommendations[Id],H31:AU31,0)))/COUNTIF(H31:AU31,"&lt;&gt;"))</f>
        <v>0</v>
      </c>
      <c r="H31" s="113" t="s">
        <v>132</v>
      </c>
      <c r="I31" s="113" t="s">
        <v>147</v>
      </c>
      <c r="J31" s="113" t="s">
        <v>212</v>
      </c>
      <c r="K31" s="113" t="s">
        <v>597</v>
      </c>
      <c r="L31" s="113" t="s">
        <v>835</v>
      </c>
      <c r="M31" s="113" t="s">
        <v>1600</v>
      </c>
      <c r="N31" s="113" t="s">
        <v>1605</v>
      </c>
      <c r="O31" s="113" t="s">
        <v>1618</v>
      </c>
      <c r="P31" s="113" t="s">
        <v>1623</v>
      </c>
      <c r="Q31" s="113" t="s">
        <v>1626</v>
      </c>
      <c r="R31" s="113" t="s">
        <v>1629</v>
      </c>
      <c r="S31" s="113" t="s">
        <v>1634</v>
      </c>
      <c r="T31" s="113" t="s">
        <v>1637</v>
      </c>
      <c r="U31" s="113"/>
      <c r="V31" s="113"/>
      <c r="W31" s="113"/>
      <c r="X31" s="113"/>
      <c r="Y31" s="113"/>
      <c r="Z31" s="113"/>
      <c r="AA31" s="113"/>
      <c r="AB31" s="113"/>
      <c r="AC31" s="113"/>
      <c r="AD31" s="113"/>
      <c r="AE31" s="113"/>
      <c r="AF31" s="113"/>
      <c r="AG31" s="113"/>
      <c r="AH31" s="113"/>
      <c r="AI31" s="113"/>
      <c r="AJ31" s="113"/>
      <c r="AK31" s="113"/>
      <c r="AL31" s="113"/>
      <c r="AM31" s="113"/>
      <c r="AN31" s="113"/>
      <c r="AO31" s="113"/>
      <c r="AP31" s="113"/>
      <c r="AQ31" s="113"/>
      <c r="AR31" s="113"/>
      <c r="AS31" s="113"/>
      <c r="AT31" s="113"/>
      <c r="AU31" s="121"/>
    </row>
    <row r="32" spans="1:47" ht="60" customHeight="1" x14ac:dyDescent="0.35">
      <c r="A32" s="119" t="s">
        <v>3083</v>
      </c>
      <c r="B32" s="109" t="s">
        <v>3084</v>
      </c>
      <c r="C32" s="110" t="s">
        <v>3085</v>
      </c>
      <c r="D32" s="110" t="s">
        <v>3086</v>
      </c>
      <c r="E32" s="110" t="s">
        <v>3087</v>
      </c>
      <c r="F32" s="111" t="s">
        <v>3088</v>
      </c>
      <c r="G32" s="112" t="str">
        <f>IF(COUNTIF(H32:AU32,"&lt;&gt;")=0,"",SUMPRODUCT(((Recommendations[ImplStatus]="Implemented")+(Recommendations[ImplStatus]="Compensated"))*ISNUMBER(MATCH(Recommendations[Id],H32:AU32,0)))/COUNTIF(H32:AU32,"&lt;&gt;"))</f>
        <v/>
      </c>
      <c r="H32" s="113"/>
      <c r="I32" s="113"/>
      <c r="J32" s="113"/>
      <c r="K32" s="113"/>
      <c r="L32" s="113"/>
      <c r="M32" s="113"/>
      <c r="N32" s="113"/>
      <c r="O32" s="113"/>
      <c r="P32" s="113"/>
      <c r="Q32" s="113"/>
      <c r="R32" s="113"/>
      <c r="S32" s="113"/>
      <c r="T32" s="113"/>
      <c r="U32" s="113"/>
      <c r="V32" s="113"/>
      <c r="W32" s="113"/>
      <c r="X32" s="113"/>
      <c r="Y32" s="113"/>
      <c r="Z32" s="113"/>
      <c r="AA32" s="113"/>
      <c r="AB32" s="113"/>
      <c r="AC32" s="113"/>
      <c r="AD32" s="113"/>
      <c r="AE32" s="113"/>
      <c r="AF32" s="113"/>
      <c r="AG32" s="113"/>
      <c r="AH32" s="113"/>
      <c r="AI32" s="113"/>
      <c r="AJ32" s="113"/>
      <c r="AK32" s="113"/>
      <c r="AL32" s="113"/>
      <c r="AM32" s="113"/>
      <c r="AN32" s="113"/>
      <c r="AO32" s="113"/>
      <c r="AP32" s="113"/>
      <c r="AQ32" s="113"/>
      <c r="AR32" s="113"/>
      <c r="AS32" s="113"/>
      <c r="AT32" s="113"/>
      <c r="AU32" s="121"/>
    </row>
    <row r="33" spans="1:47" ht="60" customHeight="1" x14ac:dyDescent="0.35">
      <c r="A33" s="119" t="s">
        <v>3089</v>
      </c>
      <c r="B33" s="109" t="s">
        <v>3090</v>
      </c>
      <c r="C33" s="110" t="s">
        <v>3091</v>
      </c>
      <c r="D33" s="110" t="s">
        <v>3092</v>
      </c>
      <c r="E33" s="110" t="s">
        <v>21</v>
      </c>
      <c r="F33" s="111" t="s">
        <v>3093</v>
      </c>
      <c r="G33" s="112" t="str">
        <f>IF(COUNTIF(H33:AU33,"&lt;&gt;")=0,"",SUMPRODUCT(((Recommendations[ImplStatus]="Implemented")+(Recommendations[ImplStatus]="Compensated"))*ISNUMBER(MATCH(Recommendations[Id],H33:AU33,0)))/COUNTIF(H33:AU33,"&lt;&gt;"))</f>
        <v/>
      </c>
      <c r="H33" s="113"/>
      <c r="I33" s="113"/>
      <c r="J33" s="113"/>
      <c r="K33" s="113"/>
      <c r="L33" s="113"/>
      <c r="M33" s="113"/>
      <c r="N33" s="113"/>
      <c r="O33" s="113"/>
      <c r="P33" s="113"/>
      <c r="Q33" s="113"/>
      <c r="R33" s="113"/>
      <c r="S33" s="113"/>
      <c r="T33" s="113"/>
      <c r="U33" s="113"/>
      <c r="V33" s="113"/>
      <c r="W33" s="113"/>
      <c r="X33" s="113"/>
      <c r="Y33" s="113"/>
      <c r="Z33" s="113"/>
      <c r="AA33" s="113"/>
      <c r="AB33" s="113"/>
      <c r="AC33" s="113"/>
      <c r="AD33" s="113"/>
      <c r="AE33" s="113"/>
      <c r="AF33" s="113"/>
      <c r="AG33" s="113"/>
      <c r="AH33" s="113"/>
      <c r="AI33" s="113"/>
      <c r="AJ33" s="113"/>
      <c r="AK33" s="113"/>
      <c r="AL33" s="113"/>
      <c r="AM33" s="113"/>
      <c r="AN33" s="113"/>
      <c r="AO33" s="113"/>
      <c r="AP33" s="113"/>
      <c r="AQ33" s="113"/>
      <c r="AR33" s="113"/>
      <c r="AS33" s="113"/>
      <c r="AT33" s="113"/>
      <c r="AU33" s="121"/>
    </row>
    <row r="34" spans="1:47" ht="60" customHeight="1" x14ac:dyDescent="0.35">
      <c r="A34" s="119" t="s">
        <v>3094</v>
      </c>
      <c r="B34" s="109" t="s">
        <v>3095</v>
      </c>
      <c r="C34" s="110" t="s">
        <v>3096</v>
      </c>
      <c r="D34" s="110" t="s">
        <v>3097</v>
      </c>
      <c r="E34" s="110" t="s">
        <v>21</v>
      </c>
      <c r="F34" s="111" t="s">
        <v>3098</v>
      </c>
      <c r="G34" s="112">
        <f>IF(COUNTIF(H34:AU34,"&lt;&gt;")=0,"",SUMPRODUCT(((Recommendations[ImplStatus]="Implemented")+(Recommendations[ImplStatus]="Compensated"))*ISNUMBER(MATCH(Recommendations[Id],H34:AU34,0)))/COUNTIF(H34:AU34,"&lt;&gt;"))</f>
        <v>0</v>
      </c>
      <c r="H34" s="113" t="s">
        <v>127</v>
      </c>
      <c r="I34" s="113" t="s">
        <v>132</v>
      </c>
      <c r="J34" s="113" t="s">
        <v>177</v>
      </c>
      <c r="K34" s="113" t="s">
        <v>212</v>
      </c>
      <c r="L34" s="113" t="s">
        <v>606</v>
      </c>
      <c r="M34" s="113" t="s">
        <v>611</v>
      </c>
      <c r="N34" s="113" t="s">
        <v>616</v>
      </c>
      <c r="O34" s="113" t="s">
        <v>685</v>
      </c>
      <c r="P34" s="113" t="s">
        <v>690</v>
      </c>
      <c r="Q34" s="113" t="s">
        <v>710</v>
      </c>
      <c r="R34" s="113" t="s">
        <v>715</v>
      </c>
      <c r="S34" s="113" t="s">
        <v>720</v>
      </c>
      <c r="T34" s="113" t="s">
        <v>725</v>
      </c>
      <c r="U34" s="113" t="s">
        <v>730</v>
      </c>
      <c r="V34" s="113" t="s">
        <v>735</v>
      </c>
      <c r="W34" s="113" t="s">
        <v>750</v>
      </c>
      <c r="X34" s="113" t="s">
        <v>755</v>
      </c>
      <c r="Y34" s="113" t="s">
        <v>1045</v>
      </c>
      <c r="Z34" s="113" t="s">
        <v>1050</v>
      </c>
      <c r="AA34" s="113" t="s">
        <v>1055</v>
      </c>
      <c r="AB34" s="113" t="s">
        <v>1228</v>
      </c>
      <c r="AC34" s="113"/>
      <c r="AD34" s="113"/>
      <c r="AE34" s="113"/>
      <c r="AF34" s="113"/>
      <c r="AG34" s="113"/>
      <c r="AH34" s="113"/>
      <c r="AI34" s="113"/>
      <c r="AJ34" s="113"/>
      <c r="AK34" s="113"/>
      <c r="AL34" s="113"/>
      <c r="AM34" s="113"/>
      <c r="AN34" s="113"/>
      <c r="AO34" s="113"/>
      <c r="AP34" s="113"/>
      <c r="AQ34" s="113"/>
      <c r="AR34" s="113"/>
      <c r="AS34" s="113"/>
      <c r="AT34" s="113"/>
      <c r="AU34" s="121"/>
    </row>
    <row r="35" spans="1:47" ht="60" customHeight="1" x14ac:dyDescent="0.35">
      <c r="A35" s="119" t="s">
        <v>3099</v>
      </c>
      <c r="B35" s="109" t="s">
        <v>3100</v>
      </c>
      <c r="C35" s="110" t="s">
        <v>3101</v>
      </c>
      <c r="D35" s="110" t="s">
        <v>3102</v>
      </c>
      <c r="E35" s="110" t="s">
        <v>3103</v>
      </c>
      <c r="F35" s="111" t="s">
        <v>3104</v>
      </c>
      <c r="G35" s="112" t="str">
        <f>IF(COUNTIF(H35:AU35,"&lt;&gt;")=0,"",SUMPRODUCT(((Recommendations[ImplStatus]="Implemented")+(Recommendations[ImplStatus]="Compensated"))*ISNUMBER(MATCH(Recommendations[Id],H35:AU35,0)))/COUNTIF(H35:AU35,"&lt;&gt;"))</f>
        <v/>
      </c>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c r="AM35" s="113"/>
      <c r="AN35" s="113"/>
      <c r="AO35" s="113"/>
      <c r="AP35" s="113"/>
      <c r="AQ35" s="113"/>
      <c r="AR35" s="113"/>
      <c r="AS35" s="113"/>
      <c r="AT35" s="113"/>
      <c r="AU35" s="121"/>
    </row>
    <row r="36" spans="1:47" ht="60" customHeight="1" x14ac:dyDescent="0.35">
      <c r="A36" s="119" t="s">
        <v>3105</v>
      </c>
      <c r="B36" s="109" t="s">
        <v>3106</v>
      </c>
      <c r="C36" s="110" t="s">
        <v>3107</v>
      </c>
      <c r="D36" s="110" t="s">
        <v>3108</v>
      </c>
      <c r="E36" s="110" t="s">
        <v>3109</v>
      </c>
      <c r="F36" s="111" t="s">
        <v>3110</v>
      </c>
      <c r="G36" s="112" t="str">
        <f>IF(COUNTIF(H36:AU36,"&lt;&gt;")=0,"",SUMPRODUCT(((Recommendations[ImplStatus]="Implemented")+(Recommendations[ImplStatus]="Compensated"))*ISNUMBER(MATCH(Recommendations[Id],H36:AU36,0)))/COUNTIF(H36:AU36,"&lt;&gt;"))</f>
        <v/>
      </c>
      <c r="H36" s="113"/>
      <c r="I36" s="113"/>
      <c r="J36" s="113"/>
      <c r="K36" s="113"/>
      <c r="L36" s="113"/>
      <c r="M36" s="113"/>
      <c r="N36" s="113"/>
      <c r="O36" s="113"/>
      <c r="P36" s="113"/>
      <c r="Q36" s="113"/>
      <c r="R36" s="113"/>
      <c r="S36" s="113"/>
      <c r="T36" s="113"/>
      <c r="U36" s="113"/>
      <c r="V36" s="113"/>
      <c r="W36" s="113"/>
      <c r="X36" s="113"/>
      <c r="Y36" s="113"/>
      <c r="Z36" s="113"/>
      <c r="AA36" s="113"/>
      <c r="AB36" s="113"/>
      <c r="AC36" s="113"/>
      <c r="AD36" s="113"/>
      <c r="AE36" s="113"/>
      <c r="AF36" s="113"/>
      <c r="AG36" s="113"/>
      <c r="AH36" s="113"/>
      <c r="AI36" s="113"/>
      <c r="AJ36" s="113"/>
      <c r="AK36" s="113"/>
      <c r="AL36" s="113"/>
      <c r="AM36" s="113"/>
      <c r="AN36" s="113"/>
      <c r="AO36" s="113"/>
      <c r="AP36" s="113"/>
      <c r="AQ36" s="113"/>
      <c r="AR36" s="113"/>
      <c r="AS36" s="113"/>
      <c r="AT36" s="113"/>
      <c r="AU36" s="121"/>
    </row>
    <row r="37" spans="1:47" ht="60" customHeight="1" x14ac:dyDescent="0.35">
      <c r="A37" s="119" t="s">
        <v>3111</v>
      </c>
      <c r="B37" s="109" t="s">
        <v>3112</v>
      </c>
      <c r="C37" s="110" t="s">
        <v>3113</v>
      </c>
      <c r="D37" s="110" t="s">
        <v>3114</v>
      </c>
      <c r="E37" s="110" t="s">
        <v>21</v>
      </c>
      <c r="F37" s="111" t="s">
        <v>3115</v>
      </c>
      <c r="G37" s="112">
        <f>IF(COUNTIF(H37:AU37,"&lt;&gt;")=0,"",SUMPRODUCT(((Recommendations[ImplStatus]="Implemented")+(Recommendations[ImplStatus]="Compensated"))*ISNUMBER(MATCH(Recommendations[Id],H37:AU37,0)))/COUNTIF(H37:AU37,"&lt;&gt;"))</f>
        <v>0</v>
      </c>
      <c r="H37" s="113" t="s">
        <v>1675</v>
      </c>
      <c r="I37" s="113" t="s">
        <v>1680</v>
      </c>
      <c r="J37" s="113" t="s">
        <v>1684</v>
      </c>
      <c r="K37" s="113" t="s">
        <v>1892</v>
      </c>
      <c r="L37" s="113" t="s">
        <v>1895</v>
      </c>
      <c r="M37" s="113" t="s">
        <v>1898</v>
      </c>
      <c r="N37" s="113" t="s">
        <v>1902</v>
      </c>
      <c r="O37" s="113" t="s">
        <v>1907</v>
      </c>
      <c r="P37" s="113" t="s">
        <v>1911</v>
      </c>
      <c r="Q37" s="113" t="s">
        <v>1915</v>
      </c>
      <c r="R37" s="113" t="s">
        <v>1920</v>
      </c>
      <c r="S37" s="113" t="s">
        <v>1924</v>
      </c>
      <c r="T37" s="113"/>
      <c r="U37" s="113"/>
      <c r="V37" s="113"/>
      <c r="W37" s="113"/>
      <c r="X37" s="113"/>
      <c r="Y37" s="113"/>
      <c r="Z37" s="113"/>
      <c r="AA37" s="113"/>
      <c r="AB37" s="113"/>
      <c r="AC37" s="113"/>
      <c r="AD37" s="113"/>
      <c r="AE37" s="113"/>
      <c r="AF37" s="113"/>
      <c r="AG37" s="113"/>
      <c r="AH37" s="113"/>
      <c r="AI37" s="113"/>
      <c r="AJ37" s="113"/>
      <c r="AK37" s="113"/>
      <c r="AL37" s="113"/>
      <c r="AM37" s="113"/>
      <c r="AN37" s="113"/>
      <c r="AO37" s="113"/>
      <c r="AP37" s="113"/>
      <c r="AQ37" s="113"/>
      <c r="AR37" s="113"/>
      <c r="AS37" s="113"/>
      <c r="AT37" s="113"/>
      <c r="AU37" s="121"/>
    </row>
    <row r="38" spans="1:47" ht="60" customHeight="1" x14ac:dyDescent="0.35">
      <c r="A38" s="119" t="s">
        <v>3116</v>
      </c>
      <c r="B38" s="109" t="s">
        <v>3117</v>
      </c>
      <c r="C38" s="110" t="s">
        <v>3118</v>
      </c>
      <c r="D38" s="110" t="s">
        <v>3119</v>
      </c>
      <c r="E38" s="110" t="s">
        <v>3120</v>
      </c>
      <c r="F38" s="111" t="s">
        <v>3121</v>
      </c>
      <c r="G38" s="112" t="str">
        <f>IF(COUNTIF(H38:AU38,"&lt;&gt;")=0,"",SUMPRODUCT(((Recommendations[ImplStatus]="Implemented")+(Recommendations[ImplStatus]="Compensated"))*ISNUMBER(MATCH(Recommendations[Id],H38:AU38,0)))/COUNTIF(H38:AU38,"&lt;&gt;"))</f>
        <v/>
      </c>
      <c r="H38" s="113"/>
      <c r="I38" s="113"/>
      <c r="J38" s="113"/>
      <c r="K38" s="113"/>
      <c r="L38" s="113"/>
      <c r="M38" s="113"/>
      <c r="N38" s="113"/>
      <c r="O38" s="113"/>
      <c r="P38" s="113"/>
      <c r="Q38" s="113"/>
      <c r="R38" s="113"/>
      <c r="S38" s="113"/>
      <c r="T38" s="113"/>
      <c r="U38" s="113"/>
      <c r="V38" s="113"/>
      <c r="W38" s="113"/>
      <c r="X38" s="113"/>
      <c r="Y38" s="113"/>
      <c r="Z38" s="113"/>
      <c r="AA38" s="113"/>
      <c r="AB38" s="113"/>
      <c r="AC38" s="113"/>
      <c r="AD38" s="113"/>
      <c r="AE38" s="113"/>
      <c r="AF38" s="113"/>
      <c r="AG38" s="113"/>
      <c r="AH38" s="113"/>
      <c r="AI38" s="113"/>
      <c r="AJ38" s="113"/>
      <c r="AK38" s="113"/>
      <c r="AL38" s="113"/>
      <c r="AM38" s="113"/>
      <c r="AN38" s="113"/>
      <c r="AO38" s="113"/>
      <c r="AP38" s="113"/>
      <c r="AQ38" s="113"/>
      <c r="AR38" s="113"/>
      <c r="AS38" s="113"/>
      <c r="AT38" s="113"/>
      <c r="AU38" s="121"/>
    </row>
    <row r="39" spans="1:47" ht="60" customHeight="1" x14ac:dyDescent="0.35">
      <c r="A39" s="119" t="s">
        <v>3122</v>
      </c>
      <c r="B39" s="109" t="s">
        <v>3123</v>
      </c>
      <c r="C39" s="110" t="s">
        <v>3124</v>
      </c>
      <c r="D39" s="110" t="s">
        <v>3125</v>
      </c>
      <c r="E39" s="110" t="s">
        <v>21</v>
      </c>
      <c r="F39" s="111" t="s">
        <v>3126</v>
      </c>
      <c r="G39" s="112" t="str">
        <f>IF(COUNTIF(H39:AU39,"&lt;&gt;")=0,"",SUMPRODUCT(((Recommendations[ImplStatus]="Implemented")+(Recommendations[ImplStatus]="Compensated"))*ISNUMBER(MATCH(Recommendations[Id],H39:AU39,0)))/COUNTIF(H39:AU39,"&lt;&gt;"))</f>
        <v/>
      </c>
      <c r="H39" s="113"/>
      <c r="I39" s="113"/>
      <c r="J39" s="113"/>
      <c r="K39" s="113"/>
      <c r="L39" s="113"/>
      <c r="M39" s="113"/>
      <c r="N39" s="113"/>
      <c r="O39" s="113"/>
      <c r="P39" s="113"/>
      <c r="Q39" s="113"/>
      <c r="R39" s="113"/>
      <c r="S39" s="113"/>
      <c r="T39" s="113"/>
      <c r="U39" s="113"/>
      <c r="V39" s="113"/>
      <c r="W39" s="113"/>
      <c r="X39" s="113"/>
      <c r="Y39" s="113"/>
      <c r="Z39" s="113"/>
      <c r="AA39" s="113"/>
      <c r="AB39" s="113"/>
      <c r="AC39" s="113"/>
      <c r="AD39" s="113"/>
      <c r="AE39" s="113"/>
      <c r="AF39" s="113"/>
      <c r="AG39" s="113"/>
      <c r="AH39" s="113"/>
      <c r="AI39" s="113"/>
      <c r="AJ39" s="113"/>
      <c r="AK39" s="113"/>
      <c r="AL39" s="113"/>
      <c r="AM39" s="113"/>
      <c r="AN39" s="113"/>
      <c r="AO39" s="113"/>
      <c r="AP39" s="113"/>
      <c r="AQ39" s="113"/>
      <c r="AR39" s="113"/>
      <c r="AS39" s="113"/>
      <c r="AT39" s="113"/>
      <c r="AU39" s="121"/>
    </row>
    <row r="40" spans="1:47" ht="60" customHeight="1" x14ac:dyDescent="0.35">
      <c r="A40" s="119" t="s">
        <v>3127</v>
      </c>
      <c r="B40" s="109" t="s">
        <v>3128</v>
      </c>
      <c r="C40" s="110" t="s">
        <v>3129</v>
      </c>
      <c r="D40" s="110" t="s">
        <v>3130</v>
      </c>
      <c r="E40" s="110" t="s">
        <v>3131</v>
      </c>
      <c r="F40" s="111" t="s">
        <v>3132</v>
      </c>
      <c r="G40" s="112" t="str">
        <f>IF(COUNTIF(H40:AU40,"&lt;&gt;")=0,"",SUMPRODUCT(((Recommendations[ImplStatus]="Implemented")+(Recommendations[ImplStatus]="Compensated"))*ISNUMBER(MATCH(Recommendations[Id],H40:AU40,0)))/COUNTIF(H40:AU40,"&lt;&gt;"))</f>
        <v/>
      </c>
      <c r="H40" s="113"/>
      <c r="I40" s="113"/>
      <c r="J40" s="113"/>
      <c r="K40" s="113"/>
      <c r="L40" s="113"/>
      <c r="M40" s="113"/>
      <c r="N40" s="113"/>
      <c r="O40" s="113"/>
      <c r="P40" s="113"/>
      <c r="Q40" s="113"/>
      <c r="R40" s="113"/>
      <c r="S40" s="113"/>
      <c r="T40" s="113"/>
      <c r="U40" s="113"/>
      <c r="V40" s="113"/>
      <c r="W40" s="113"/>
      <c r="X40" s="113"/>
      <c r="Y40" s="113"/>
      <c r="Z40" s="113"/>
      <c r="AA40" s="113"/>
      <c r="AB40" s="113"/>
      <c r="AC40" s="113"/>
      <c r="AD40" s="113"/>
      <c r="AE40" s="113"/>
      <c r="AF40" s="113"/>
      <c r="AG40" s="113"/>
      <c r="AH40" s="113"/>
      <c r="AI40" s="113"/>
      <c r="AJ40" s="113"/>
      <c r="AK40" s="113"/>
      <c r="AL40" s="113"/>
      <c r="AM40" s="113"/>
      <c r="AN40" s="113"/>
      <c r="AO40" s="113"/>
      <c r="AP40" s="113"/>
      <c r="AQ40" s="113"/>
      <c r="AR40" s="113"/>
      <c r="AS40" s="113"/>
      <c r="AT40" s="113"/>
      <c r="AU40" s="121"/>
    </row>
    <row r="41" spans="1:47" ht="60" customHeight="1" x14ac:dyDescent="0.35">
      <c r="A41" s="119" t="s">
        <v>3133</v>
      </c>
      <c r="B41" s="109" t="s">
        <v>3134</v>
      </c>
      <c r="C41" s="110" t="s">
        <v>3135</v>
      </c>
      <c r="D41" s="110" t="s">
        <v>3136</v>
      </c>
      <c r="E41" s="110" t="s">
        <v>3137</v>
      </c>
      <c r="F41" s="111" t="s">
        <v>3138</v>
      </c>
      <c r="G41" s="112">
        <f>IF(COUNTIF(H41:AU41,"&lt;&gt;")=0,"",SUMPRODUCT(((Recommendations[ImplStatus]="Implemented")+(Recommendations[ImplStatus]="Compensated"))*ISNUMBER(MATCH(Recommendations[Id],H41:AU41,0)))/COUNTIF(H41:AU41,"&lt;&gt;"))</f>
        <v>0</v>
      </c>
      <c r="H41" s="113" t="s">
        <v>223</v>
      </c>
      <c r="I41" s="113" t="s">
        <v>1962</v>
      </c>
      <c r="J41" s="113"/>
      <c r="K41" s="113"/>
      <c r="L41" s="113"/>
      <c r="M41" s="113"/>
      <c r="N41" s="113"/>
      <c r="O41" s="113"/>
      <c r="P41" s="113"/>
      <c r="Q41" s="113"/>
      <c r="R41" s="113"/>
      <c r="S41" s="113"/>
      <c r="T41" s="113"/>
      <c r="U41" s="113"/>
      <c r="V41" s="113"/>
      <c r="W41" s="113"/>
      <c r="X41" s="113"/>
      <c r="Y41" s="113"/>
      <c r="Z41" s="113"/>
      <c r="AA41" s="113"/>
      <c r="AB41" s="113"/>
      <c r="AC41" s="113"/>
      <c r="AD41" s="113"/>
      <c r="AE41" s="113"/>
      <c r="AF41" s="113"/>
      <c r="AG41" s="113"/>
      <c r="AH41" s="113"/>
      <c r="AI41" s="113"/>
      <c r="AJ41" s="113"/>
      <c r="AK41" s="113"/>
      <c r="AL41" s="113"/>
      <c r="AM41" s="113"/>
      <c r="AN41" s="113"/>
      <c r="AO41" s="113"/>
      <c r="AP41" s="113"/>
      <c r="AQ41" s="113"/>
      <c r="AR41" s="113"/>
      <c r="AS41" s="113"/>
      <c r="AT41" s="113"/>
      <c r="AU41" s="121"/>
    </row>
    <row r="42" spans="1:47" ht="60" customHeight="1" x14ac:dyDescent="0.35">
      <c r="A42" s="119" t="s">
        <v>3139</v>
      </c>
      <c r="B42" s="109" t="s">
        <v>3140</v>
      </c>
      <c r="C42" s="110" t="s">
        <v>3141</v>
      </c>
      <c r="D42" s="110" t="s">
        <v>3142</v>
      </c>
      <c r="E42" s="110" t="s">
        <v>3143</v>
      </c>
      <c r="F42" s="111" t="s">
        <v>3144</v>
      </c>
      <c r="G42" s="112" t="str">
        <f>IF(COUNTIF(H42:AU42,"&lt;&gt;")=0,"",SUMPRODUCT(((Recommendations[ImplStatus]="Implemented")+(Recommendations[ImplStatus]="Compensated"))*ISNUMBER(MATCH(Recommendations[Id],H42:AU42,0)))/COUNTIF(H42:AU42,"&lt;&gt;"))</f>
        <v/>
      </c>
      <c r="H42" s="113"/>
      <c r="I42" s="113"/>
      <c r="J42" s="113"/>
      <c r="K42" s="113"/>
      <c r="L42" s="113"/>
      <c r="M42" s="113"/>
      <c r="N42" s="113"/>
      <c r="O42" s="113"/>
      <c r="P42" s="113"/>
      <c r="Q42" s="113"/>
      <c r="R42" s="113"/>
      <c r="S42" s="113"/>
      <c r="T42" s="113"/>
      <c r="U42" s="113"/>
      <c r="V42" s="113"/>
      <c r="W42" s="113"/>
      <c r="X42" s="113"/>
      <c r="Y42" s="113"/>
      <c r="Z42" s="113"/>
      <c r="AA42" s="113"/>
      <c r="AB42" s="113"/>
      <c r="AC42" s="113"/>
      <c r="AD42" s="113"/>
      <c r="AE42" s="113"/>
      <c r="AF42" s="113"/>
      <c r="AG42" s="113"/>
      <c r="AH42" s="113"/>
      <c r="AI42" s="113"/>
      <c r="AJ42" s="113"/>
      <c r="AK42" s="113"/>
      <c r="AL42" s="113"/>
      <c r="AM42" s="113"/>
      <c r="AN42" s="113"/>
      <c r="AO42" s="113"/>
      <c r="AP42" s="113"/>
      <c r="AQ42" s="113"/>
      <c r="AR42" s="113"/>
      <c r="AS42" s="113"/>
      <c r="AT42" s="113"/>
      <c r="AU42" s="121"/>
    </row>
    <row r="43" spans="1:47" ht="60" customHeight="1" x14ac:dyDescent="0.35">
      <c r="A43" s="119" t="s">
        <v>3145</v>
      </c>
      <c r="B43" s="109" t="s">
        <v>3146</v>
      </c>
      <c r="C43" s="110" t="s">
        <v>3147</v>
      </c>
      <c r="D43" s="110" t="s">
        <v>3148</v>
      </c>
      <c r="E43" s="110" t="s">
        <v>3149</v>
      </c>
      <c r="F43" s="111" t="s">
        <v>3150</v>
      </c>
      <c r="G43" s="112">
        <f>IF(COUNTIF(H43:AU43,"&lt;&gt;")=0,"",SUMPRODUCT(((Recommendations[ImplStatus]="Implemented")+(Recommendations[ImplStatus]="Compensated"))*ISNUMBER(MATCH(Recommendations[Id],H43:AU43,0)))/COUNTIF(H43:AU43,"&lt;&gt;"))</f>
        <v>0</v>
      </c>
      <c r="H43" s="113" t="s">
        <v>317</v>
      </c>
      <c r="I43" s="113" t="s">
        <v>323</v>
      </c>
      <c r="J43" s="113" t="s">
        <v>830</v>
      </c>
      <c r="K43" s="113" t="s">
        <v>850</v>
      </c>
      <c r="L43" s="113" t="s">
        <v>868</v>
      </c>
      <c r="M43" s="113"/>
      <c r="N43" s="113"/>
      <c r="O43" s="113"/>
      <c r="P43" s="113"/>
      <c r="Q43" s="113"/>
      <c r="R43" s="113"/>
      <c r="S43" s="113"/>
      <c r="T43" s="113"/>
      <c r="U43" s="113"/>
      <c r="V43" s="113"/>
      <c r="W43" s="113"/>
      <c r="X43" s="113"/>
      <c r="Y43" s="113"/>
      <c r="Z43" s="113"/>
      <c r="AA43" s="113"/>
      <c r="AB43" s="113"/>
      <c r="AC43" s="113"/>
      <c r="AD43" s="113"/>
      <c r="AE43" s="113"/>
      <c r="AF43" s="113"/>
      <c r="AG43" s="113"/>
      <c r="AH43" s="113"/>
      <c r="AI43" s="113"/>
      <c r="AJ43" s="113"/>
      <c r="AK43" s="113"/>
      <c r="AL43" s="113"/>
      <c r="AM43" s="113"/>
      <c r="AN43" s="113"/>
      <c r="AO43" s="113"/>
      <c r="AP43" s="113"/>
      <c r="AQ43" s="113"/>
      <c r="AR43" s="113"/>
      <c r="AS43" s="113"/>
      <c r="AT43" s="113"/>
      <c r="AU43" s="121"/>
    </row>
    <row r="44" spans="1:47" ht="60" customHeight="1" x14ac:dyDescent="0.35">
      <c r="A44" s="119" t="s">
        <v>3151</v>
      </c>
      <c r="B44" s="109" t="s">
        <v>3152</v>
      </c>
      <c r="C44" s="110" t="s">
        <v>3153</v>
      </c>
      <c r="D44" s="110" t="s">
        <v>3154</v>
      </c>
      <c r="E44" s="110" t="s">
        <v>21</v>
      </c>
      <c r="F44" s="111" t="s">
        <v>3155</v>
      </c>
      <c r="G44" s="112" t="str">
        <f>IF(COUNTIF(H44:AU44,"&lt;&gt;")=0,"",SUMPRODUCT(((Recommendations[ImplStatus]="Implemented")+(Recommendations[ImplStatus]="Compensated"))*ISNUMBER(MATCH(Recommendations[Id],H44:AU44,0)))/COUNTIF(H44:AU44,"&lt;&gt;"))</f>
        <v/>
      </c>
      <c r="H44" s="113"/>
      <c r="I44" s="113"/>
      <c r="J44" s="113"/>
      <c r="K44" s="113"/>
      <c r="L44" s="113"/>
      <c r="M44" s="113"/>
      <c r="N44" s="113"/>
      <c r="O44" s="113"/>
      <c r="P44" s="113"/>
      <c r="Q44" s="113"/>
      <c r="R44" s="113"/>
      <c r="S44" s="113"/>
      <c r="T44" s="113"/>
      <c r="U44" s="113"/>
      <c r="V44" s="113"/>
      <c r="W44" s="113"/>
      <c r="X44" s="113"/>
      <c r="Y44" s="113"/>
      <c r="Z44" s="113"/>
      <c r="AA44" s="113"/>
      <c r="AB44" s="113"/>
      <c r="AC44" s="113"/>
      <c r="AD44" s="113"/>
      <c r="AE44" s="113"/>
      <c r="AF44" s="113"/>
      <c r="AG44" s="113"/>
      <c r="AH44" s="113"/>
      <c r="AI44" s="113"/>
      <c r="AJ44" s="113"/>
      <c r="AK44" s="113"/>
      <c r="AL44" s="113"/>
      <c r="AM44" s="113"/>
      <c r="AN44" s="113"/>
      <c r="AO44" s="113"/>
      <c r="AP44" s="113"/>
      <c r="AQ44" s="113"/>
      <c r="AR44" s="113"/>
      <c r="AS44" s="113"/>
      <c r="AT44" s="113"/>
      <c r="AU44" s="121"/>
    </row>
    <row r="45" spans="1:47" ht="60" customHeight="1" x14ac:dyDescent="0.35">
      <c r="A45" s="120" t="s">
        <v>3156</v>
      </c>
      <c r="B45" s="114" t="s">
        <v>3157</v>
      </c>
      <c r="C45" s="115" t="s">
        <v>3158</v>
      </c>
      <c r="D45" s="115" t="s">
        <v>3159</v>
      </c>
      <c r="E45" s="115" t="s">
        <v>3160</v>
      </c>
      <c r="F45" s="116" t="s">
        <v>3161</v>
      </c>
      <c r="G45" s="117" t="str">
        <f>IF(COUNTIF(H45:AU45,"&lt;&gt;")=0,"",SUMPRODUCT(((Recommendations[ImplStatus]="Implemented")+(Recommendations[ImplStatus]="Compensated"))*ISNUMBER(MATCH(Recommendations[Id],H45:AU45,0)))/COUNTIF(H45:AU45,"&lt;&gt;"))</f>
        <v/>
      </c>
      <c r="H45" s="118"/>
      <c r="I45" s="118"/>
      <c r="J45" s="118"/>
      <c r="K45" s="118"/>
      <c r="L45" s="118"/>
      <c r="M45" s="118"/>
      <c r="N45" s="118"/>
      <c r="O45" s="118"/>
      <c r="P45" s="118"/>
      <c r="Q45" s="118"/>
      <c r="R45" s="118"/>
      <c r="S45" s="118"/>
      <c r="T45" s="118"/>
      <c r="U45" s="118"/>
      <c r="V45" s="118"/>
      <c r="W45" s="118"/>
      <c r="X45" s="118"/>
      <c r="Y45" s="118"/>
      <c r="Z45" s="118"/>
      <c r="AA45" s="118"/>
      <c r="AB45" s="118"/>
      <c r="AC45" s="118"/>
      <c r="AD45" s="118"/>
      <c r="AE45" s="118"/>
      <c r="AF45" s="118"/>
      <c r="AG45" s="118"/>
      <c r="AH45" s="118"/>
      <c r="AI45" s="118"/>
      <c r="AJ45" s="118"/>
      <c r="AK45" s="118"/>
      <c r="AL45" s="118"/>
      <c r="AM45" s="118"/>
      <c r="AN45" s="118"/>
      <c r="AO45" s="118"/>
      <c r="AP45" s="118"/>
      <c r="AQ45" s="118"/>
      <c r="AR45" s="118"/>
      <c r="AS45" s="118"/>
      <c r="AT45" s="118"/>
      <c r="AU45" s="122"/>
    </row>
    <row r="49" spans="1:4" ht="32" customHeight="1" x14ac:dyDescent="0.35">
      <c r="A49" s="291" t="s">
        <v>1971</v>
      </c>
      <c r="B49" s="291"/>
      <c r="C49" s="291"/>
      <c r="D49" s="291"/>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IFERROR(INDEX('Recommendations'!$H$2:$H$461, MATCH(H2,'Recommendations'!$A$2:$A$461,0))="Implemented", FALSE))</xm:f>
            <x14:dxf>
              <font>
                <color rgb="FF000000"/>
              </font>
              <fill>
                <patternFill>
                  <bgColor rgb="FF3C7D22"/>
                </patternFill>
              </fill>
            </x14:dxf>
          </x14:cfRule>
          <x14:cfRule type="expression" priority="2" id="{00000000-000E-0000-0500-000002000000}">
            <xm:f>AND(H2&lt;&gt;"", IFERROR(INDEX('Recommendations'!$H$2:$H$461, MATCH(H2,'Recommendations'!$A$2:$A$461,0))="Compensated", FALSE))</xm:f>
            <x14:dxf>
              <font>
                <color rgb="FF000000"/>
              </font>
              <fill>
                <patternFill>
                  <bgColor rgb="FFC6E0B4"/>
                </patternFill>
              </fill>
            </x14:dxf>
          </x14:cfRule>
          <x14:cfRule type="expression" priority="3" id="{00000000-000E-0000-0500-000003000000}">
            <xm:f>AND(H2&lt;&gt;"", IFERROR(INDEX('Recommendations'!$H$2:$H$461, MATCH(H2,'Recommendations'!$A$2:$A$461,0))="Testing", FALSE))</xm:f>
            <x14:dxf>
              <font>
                <color rgb="FF000000"/>
              </font>
              <fill>
                <patternFill>
                  <bgColor rgb="FFFFC000"/>
                </patternFill>
              </fill>
            </x14:dxf>
          </x14:cfRule>
          <x14:cfRule type="expression" priority="4" id="{00000000-000E-0000-0500-000004000000}">
            <xm:f>AND(H2&lt;&gt;"", IFERROR(INDEX('Recommendations'!$H$2:$H$461, MATCH(H2,'Recommendations'!$A$2:$A$461,0))="Failed", FALSE))</xm:f>
            <x14:dxf>
              <font>
                <color rgb="FF000000"/>
              </font>
              <fill>
                <patternFill>
                  <bgColor rgb="FFD82891"/>
                </patternFill>
              </fill>
            </x14:dxf>
          </x14:cfRule>
          <x14:cfRule type="expression" priority="5" id="{00000000-000E-0000-0500-000005000000}">
            <xm:f>AND(H2&lt;&gt;"", IFERROR(INDEX('Recommendations'!$H$2:$H$461, MATCH(H2,'Recommendations'!$A$2:$A$461,0))="Risk Accepted", FALSE))</xm:f>
            <x14:dxf>
              <font>
                <color rgb="FF000000"/>
              </font>
              <fill>
                <patternFill>
                  <bgColor rgb="FFD9D9D9"/>
                </patternFill>
              </fill>
            </x14:dxf>
          </x14:cfRule>
          <x14:cfRule type="expression" priority="6" id="{00000000-000E-0000-0500-000006000000}">
            <xm:f>AND(H2&lt;&gt;"", IFERROR(INDEX('Recommendations'!$H$2:$H$461, MATCH(H2,'Recommendations'!$A$2:$A$461,0))="N/A",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7" t="s">
        <v>3162</v>
      </c>
      <c r="B1" s="148" t="s">
        <v>2216</v>
      </c>
      <c r="C1" s="148" t="s">
        <v>0</v>
      </c>
      <c r="D1" s="148" t="s">
        <v>2217</v>
      </c>
      <c r="E1" s="148" t="s">
        <v>3163</v>
      </c>
      <c r="F1" s="148" t="s">
        <v>3164</v>
      </c>
      <c r="G1" s="148" t="s">
        <v>3165</v>
      </c>
      <c r="H1" s="148" t="s">
        <v>3166</v>
      </c>
      <c r="I1" s="148" t="s">
        <v>2222</v>
      </c>
      <c r="J1" s="148" t="s">
        <v>2223</v>
      </c>
      <c r="K1" s="148" t="s">
        <v>2224</v>
      </c>
      <c r="L1" s="148" t="s">
        <v>2225</v>
      </c>
      <c r="M1" s="148" t="s">
        <v>2226</v>
      </c>
      <c r="N1" s="148" t="s">
        <v>2227</v>
      </c>
      <c r="O1" s="148" t="s">
        <v>2228</v>
      </c>
      <c r="P1" s="148" t="s">
        <v>2229</v>
      </c>
      <c r="Q1" s="148" t="s">
        <v>2230</v>
      </c>
      <c r="R1" s="148" t="s">
        <v>2231</v>
      </c>
      <c r="S1" s="148" t="s">
        <v>2232</v>
      </c>
      <c r="T1" s="148" t="s">
        <v>2233</v>
      </c>
      <c r="U1" s="148" t="s">
        <v>2234</v>
      </c>
      <c r="V1" s="148" t="s">
        <v>2235</v>
      </c>
      <c r="W1" s="148" t="s">
        <v>2236</v>
      </c>
      <c r="X1" s="148" t="s">
        <v>2237</v>
      </c>
      <c r="Y1" s="148" t="s">
        <v>2238</v>
      </c>
      <c r="Z1" s="148" t="s">
        <v>2239</v>
      </c>
      <c r="AA1" s="148" t="s">
        <v>2240</v>
      </c>
      <c r="AB1" s="148" t="s">
        <v>2241</v>
      </c>
      <c r="AC1" s="148" t="s">
        <v>2242</v>
      </c>
      <c r="AD1" s="148" t="s">
        <v>2243</v>
      </c>
      <c r="AE1" s="148" t="s">
        <v>2244</v>
      </c>
      <c r="AF1" s="148" t="s">
        <v>2245</v>
      </c>
      <c r="AG1" s="148" t="s">
        <v>2246</v>
      </c>
      <c r="AH1" s="148" t="s">
        <v>2247</v>
      </c>
      <c r="AI1" s="148" t="s">
        <v>2248</v>
      </c>
      <c r="AJ1" s="148" t="s">
        <v>2249</v>
      </c>
      <c r="AK1" s="148" t="s">
        <v>2250</v>
      </c>
      <c r="AL1" s="148" t="s">
        <v>2251</v>
      </c>
      <c r="AM1" s="148" t="s">
        <v>2252</v>
      </c>
      <c r="AN1" s="148" t="s">
        <v>2253</v>
      </c>
      <c r="AO1" s="148" t="s">
        <v>2254</v>
      </c>
      <c r="AP1" s="148" t="s">
        <v>2255</v>
      </c>
      <c r="AQ1" s="148" t="s">
        <v>2256</v>
      </c>
      <c r="AR1" s="148" t="s">
        <v>2257</v>
      </c>
      <c r="AS1" s="148" t="s">
        <v>2258</v>
      </c>
      <c r="AT1" s="148" t="s">
        <v>2259</v>
      </c>
      <c r="AU1" s="148" t="s">
        <v>2260</v>
      </c>
      <c r="AV1" s="148" t="s">
        <v>2261</v>
      </c>
      <c r="AW1" s="149" t="s">
        <v>2262</v>
      </c>
    </row>
    <row r="2" spans="1:49" ht="60" customHeight="1" outlineLevel="1" x14ac:dyDescent="0.35">
      <c r="A2" s="141" t="s">
        <v>3167</v>
      </c>
      <c r="B2" s="127"/>
      <c r="C2" s="126" t="s">
        <v>3168</v>
      </c>
      <c r="D2" s="130"/>
      <c r="E2" s="130"/>
      <c r="F2" s="130"/>
      <c r="G2" s="130"/>
      <c r="H2" s="130"/>
      <c r="I2" s="132" t="str">
        <f>IF(COUNTIF(J2:AW2,"&lt;&gt;")=0,"",SUMPRODUCT(((Recommendations[ImplStatus]="Implemented")+(Recommendations[ImplStatus]="Compensated"))*ISNUMBER(MATCH(Recommendations[Id],J2:AW2,0)))/COUNTIF(J2:AW2,"&lt;&gt;"))</f>
        <v/>
      </c>
      <c r="J2" s="134"/>
      <c r="K2" s="134"/>
      <c r="L2" s="134"/>
      <c r="M2" s="134"/>
      <c r="N2" s="134"/>
      <c r="O2" s="134"/>
      <c r="P2" s="134"/>
      <c r="Q2" s="134"/>
      <c r="R2" s="134"/>
      <c r="S2" s="134"/>
      <c r="T2" s="134"/>
      <c r="U2" s="134"/>
      <c r="V2" s="134"/>
      <c r="W2" s="134"/>
      <c r="X2" s="134"/>
      <c r="Y2" s="134"/>
      <c r="Z2" s="134"/>
      <c r="AA2" s="134"/>
      <c r="AB2" s="134"/>
      <c r="AC2" s="134"/>
      <c r="AD2" s="134"/>
      <c r="AE2" s="134"/>
      <c r="AF2" s="134"/>
      <c r="AG2" s="134"/>
      <c r="AH2" s="134"/>
      <c r="AI2" s="134"/>
      <c r="AJ2" s="134"/>
      <c r="AK2" s="134"/>
      <c r="AL2" s="134"/>
      <c r="AM2" s="134"/>
      <c r="AN2" s="134"/>
      <c r="AO2" s="134"/>
      <c r="AP2" s="134"/>
      <c r="AQ2" s="134"/>
      <c r="AR2" s="134"/>
      <c r="AS2" s="134"/>
      <c r="AT2" s="134"/>
      <c r="AU2" s="134"/>
      <c r="AV2" s="134"/>
      <c r="AW2" s="144"/>
    </row>
    <row r="3" spans="1:49" ht="60" customHeight="1" x14ac:dyDescent="0.35">
      <c r="A3" s="142" t="s">
        <v>3167</v>
      </c>
      <c r="B3" s="128" t="s">
        <v>2433</v>
      </c>
      <c r="C3" s="129" t="s">
        <v>3169</v>
      </c>
      <c r="D3" s="131" t="s">
        <v>3170</v>
      </c>
      <c r="E3" s="131" t="s">
        <v>3171</v>
      </c>
      <c r="F3" s="131" t="s">
        <v>3172</v>
      </c>
      <c r="G3" s="131" t="s">
        <v>3173</v>
      </c>
      <c r="H3" s="131" t="s">
        <v>3174</v>
      </c>
      <c r="I3" s="133">
        <f>IF(COUNTIF(J3:AW3,"&lt;&gt;")=0,"",SUMPRODUCT(((Recommendations[ImplStatus]="Implemented")+(Recommendations[ImplStatus]="Compensated"))*ISNUMBER(MATCH(Recommendations[Id],J3:AW3,0)))/COUNTIF(J3:AW3,"&lt;&gt;"))</f>
        <v>0</v>
      </c>
      <c r="J3" s="135" t="s">
        <v>323</v>
      </c>
      <c r="K3" s="135" t="s">
        <v>850</v>
      </c>
      <c r="L3" s="135" t="s">
        <v>868</v>
      </c>
      <c r="M3" s="135"/>
      <c r="N3" s="135"/>
      <c r="O3" s="135"/>
      <c r="P3" s="135"/>
      <c r="Q3" s="135"/>
      <c r="R3" s="135"/>
      <c r="S3" s="135"/>
      <c r="T3" s="135"/>
      <c r="U3" s="135"/>
      <c r="V3" s="135"/>
      <c r="W3" s="135"/>
      <c r="X3" s="135"/>
      <c r="Y3" s="135"/>
      <c r="Z3" s="135"/>
      <c r="AA3" s="135"/>
      <c r="AB3" s="135"/>
      <c r="AC3" s="135"/>
      <c r="AD3" s="135"/>
      <c r="AE3" s="135"/>
      <c r="AF3" s="135"/>
      <c r="AG3" s="135"/>
      <c r="AH3" s="135"/>
      <c r="AI3" s="135"/>
      <c r="AJ3" s="135"/>
      <c r="AK3" s="135"/>
      <c r="AL3" s="135"/>
      <c r="AM3" s="135"/>
      <c r="AN3" s="135"/>
      <c r="AO3" s="135"/>
      <c r="AP3" s="135"/>
      <c r="AQ3" s="135"/>
      <c r="AR3" s="135"/>
      <c r="AS3" s="135"/>
      <c r="AT3" s="135"/>
      <c r="AU3" s="135"/>
      <c r="AV3" s="135"/>
      <c r="AW3" s="145"/>
    </row>
    <row r="4" spans="1:49" ht="60" customHeight="1" x14ac:dyDescent="0.35">
      <c r="A4" s="142" t="s">
        <v>3167</v>
      </c>
      <c r="B4" s="128" t="s">
        <v>3175</v>
      </c>
      <c r="C4" s="129" t="s">
        <v>3176</v>
      </c>
      <c r="D4" s="131" t="s">
        <v>3177</v>
      </c>
      <c r="E4" s="131" t="s">
        <v>3178</v>
      </c>
      <c r="F4" s="131" t="s">
        <v>3179</v>
      </c>
      <c r="G4" s="131" t="s">
        <v>3180</v>
      </c>
      <c r="H4" s="131" t="s">
        <v>3181</v>
      </c>
      <c r="I4" s="133">
        <f>IF(COUNTIF(J4:AW4,"&lt;&gt;")=0,"",SUMPRODUCT(((Recommendations[ImplStatus]="Implemented")+(Recommendations[ImplStatus]="Compensated"))*ISNUMBER(MATCH(Recommendations[Id],J4:AW4,0)))/COUNTIF(J4:AW4,"&lt;&gt;"))</f>
        <v>0</v>
      </c>
      <c r="J4" s="135" t="s">
        <v>127</v>
      </c>
      <c r="K4" s="135" t="s">
        <v>132</v>
      </c>
      <c r="L4" s="135" t="s">
        <v>177</v>
      </c>
      <c r="M4" s="135" t="s">
        <v>212</v>
      </c>
      <c r="N4" s="135"/>
      <c r="O4" s="135"/>
      <c r="P4" s="135"/>
      <c r="Q4" s="135"/>
      <c r="R4" s="135"/>
      <c r="S4" s="135"/>
      <c r="T4" s="135"/>
      <c r="U4" s="135"/>
      <c r="V4" s="135"/>
      <c r="W4" s="135"/>
      <c r="X4" s="135"/>
      <c r="Y4" s="135"/>
      <c r="Z4" s="135"/>
      <c r="AA4" s="135"/>
      <c r="AB4" s="135"/>
      <c r="AC4" s="135"/>
      <c r="AD4" s="135"/>
      <c r="AE4" s="135"/>
      <c r="AF4" s="135"/>
      <c r="AG4" s="135"/>
      <c r="AH4" s="135"/>
      <c r="AI4" s="135"/>
      <c r="AJ4" s="135"/>
      <c r="AK4" s="135"/>
      <c r="AL4" s="135"/>
      <c r="AM4" s="135"/>
      <c r="AN4" s="135"/>
      <c r="AO4" s="135"/>
      <c r="AP4" s="135"/>
      <c r="AQ4" s="135"/>
      <c r="AR4" s="135"/>
      <c r="AS4" s="135"/>
      <c r="AT4" s="135"/>
      <c r="AU4" s="135"/>
      <c r="AV4" s="135"/>
      <c r="AW4" s="145"/>
    </row>
    <row r="5" spans="1:49" ht="60" customHeight="1" x14ac:dyDescent="0.35">
      <c r="A5" s="142" t="s">
        <v>3167</v>
      </c>
      <c r="B5" s="128" t="s">
        <v>3182</v>
      </c>
      <c r="C5" s="129" t="s">
        <v>3183</v>
      </c>
      <c r="D5" s="131" t="s">
        <v>3184</v>
      </c>
      <c r="E5" s="131" t="s">
        <v>3185</v>
      </c>
      <c r="F5" s="131" t="s">
        <v>3186</v>
      </c>
      <c r="G5" s="131" t="s">
        <v>3187</v>
      </c>
      <c r="H5" s="131" t="s">
        <v>3188</v>
      </c>
      <c r="I5" s="133" t="str">
        <f>IF(COUNTIF(J5:AW5,"&lt;&gt;")=0,"",SUMPRODUCT(((Recommendations[ImplStatus]="Implemented")+(Recommendations[ImplStatus]="Compensated"))*ISNUMBER(MATCH(Recommendations[Id],J5:AW5,0)))/COUNTIF(J5:AW5,"&lt;&gt;"))</f>
        <v/>
      </c>
      <c r="J5" s="135"/>
      <c r="K5" s="135"/>
      <c r="L5" s="135"/>
      <c r="M5" s="135"/>
      <c r="N5" s="135"/>
      <c r="O5" s="135"/>
      <c r="P5" s="135"/>
      <c r="Q5" s="135"/>
      <c r="R5" s="135"/>
      <c r="S5" s="135"/>
      <c r="T5" s="135"/>
      <c r="U5" s="135"/>
      <c r="V5" s="135"/>
      <c r="W5" s="135"/>
      <c r="X5" s="135"/>
      <c r="Y5" s="135"/>
      <c r="Z5" s="135"/>
      <c r="AA5" s="135"/>
      <c r="AB5" s="135"/>
      <c r="AC5" s="135"/>
      <c r="AD5" s="135"/>
      <c r="AE5" s="135"/>
      <c r="AF5" s="135"/>
      <c r="AG5" s="135"/>
      <c r="AH5" s="135"/>
      <c r="AI5" s="135"/>
      <c r="AJ5" s="135"/>
      <c r="AK5" s="135"/>
      <c r="AL5" s="135"/>
      <c r="AM5" s="135"/>
      <c r="AN5" s="135"/>
      <c r="AO5" s="135"/>
      <c r="AP5" s="135"/>
      <c r="AQ5" s="135"/>
      <c r="AR5" s="135"/>
      <c r="AS5" s="135"/>
      <c r="AT5" s="135"/>
      <c r="AU5" s="135"/>
      <c r="AV5" s="135"/>
      <c r="AW5" s="145"/>
    </row>
    <row r="6" spans="1:49" ht="60" customHeight="1" x14ac:dyDescent="0.35">
      <c r="A6" s="142" t="s">
        <v>3167</v>
      </c>
      <c r="B6" s="128" t="s">
        <v>3189</v>
      </c>
      <c r="C6" s="129" t="s">
        <v>3190</v>
      </c>
      <c r="D6" s="131" t="s">
        <v>3191</v>
      </c>
      <c r="E6" s="131" t="s">
        <v>3192</v>
      </c>
      <c r="F6" s="131" t="s">
        <v>3193</v>
      </c>
      <c r="G6" s="131" t="s">
        <v>3194</v>
      </c>
      <c r="H6" s="131" t="s">
        <v>3195</v>
      </c>
      <c r="I6" s="133" t="str">
        <f>IF(COUNTIF(J6:AW6,"&lt;&gt;")=0,"",SUMPRODUCT(((Recommendations[ImplStatus]="Implemented")+(Recommendations[ImplStatus]="Compensated"))*ISNUMBER(MATCH(Recommendations[Id],J6:AW6,0)))/COUNTIF(J6:AW6,"&lt;&gt;"))</f>
        <v/>
      </c>
      <c r="J6" s="135"/>
      <c r="K6" s="135"/>
      <c r="L6" s="135"/>
      <c r="M6" s="135"/>
      <c r="N6" s="135"/>
      <c r="O6" s="135"/>
      <c r="P6" s="135"/>
      <c r="Q6" s="135"/>
      <c r="R6" s="135"/>
      <c r="S6" s="135"/>
      <c r="T6" s="135"/>
      <c r="U6" s="135"/>
      <c r="V6" s="135"/>
      <c r="W6" s="135"/>
      <c r="X6" s="135"/>
      <c r="Y6" s="135"/>
      <c r="Z6" s="135"/>
      <c r="AA6" s="135"/>
      <c r="AB6" s="135"/>
      <c r="AC6" s="135"/>
      <c r="AD6" s="135"/>
      <c r="AE6" s="135"/>
      <c r="AF6" s="135"/>
      <c r="AG6" s="135"/>
      <c r="AH6" s="135"/>
      <c r="AI6" s="135"/>
      <c r="AJ6" s="135"/>
      <c r="AK6" s="135"/>
      <c r="AL6" s="135"/>
      <c r="AM6" s="135"/>
      <c r="AN6" s="135"/>
      <c r="AO6" s="135"/>
      <c r="AP6" s="135"/>
      <c r="AQ6" s="135"/>
      <c r="AR6" s="135"/>
      <c r="AS6" s="135"/>
      <c r="AT6" s="135"/>
      <c r="AU6" s="135"/>
      <c r="AV6" s="135"/>
      <c r="AW6" s="145"/>
    </row>
    <row r="7" spans="1:49" ht="60" customHeight="1" x14ac:dyDescent="0.35">
      <c r="A7" s="142" t="s">
        <v>3167</v>
      </c>
      <c r="B7" s="128" t="s">
        <v>3196</v>
      </c>
      <c r="C7" s="129" t="s">
        <v>3197</v>
      </c>
      <c r="D7" s="131" t="s">
        <v>3198</v>
      </c>
      <c r="E7" s="131" t="s">
        <v>3199</v>
      </c>
      <c r="F7" s="131" t="s">
        <v>3200</v>
      </c>
      <c r="G7" s="131" t="s">
        <v>3201</v>
      </c>
      <c r="H7" s="131" t="s">
        <v>3202</v>
      </c>
      <c r="I7" s="133">
        <f>IF(COUNTIF(J7:AW7,"&lt;&gt;")=0,"",SUMPRODUCT(((Recommendations[ImplStatus]="Implemented")+(Recommendations[ImplStatus]="Compensated"))*ISNUMBER(MATCH(Recommendations[Id],J7:AW7,0)))/COUNTIF(J7:AW7,"&lt;&gt;"))</f>
        <v>0</v>
      </c>
      <c r="J7" s="135" t="s">
        <v>127</v>
      </c>
      <c r="K7" s="135" t="s">
        <v>132</v>
      </c>
      <c r="L7" s="135" t="s">
        <v>177</v>
      </c>
      <c r="M7" s="135" t="s">
        <v>212</v>
      </c>
      <c r="N7" s="135" t="s">
        <v>1600</v>
      </c>
      <c r="O7" s="135" t="s">
        <v>1605</v>
      </c>
      <c r="P7" s="135" t="s">
        <v>1618</v>
      </c>
      <c r="Q7" s="135" t="s">
        <v>1623</v>
      </c>
      <c r="R7" s="135" t="s">
        <v>1626</v>
      </c>
      <c r="S7" s="135" t="s">
        <v>1629</v>
      </c>
      <c r="T7" s="135" t="s">
        <v>1634</v>
      </c>
      <c r="U7" s="135" t="s">
        <v>1637</v>
      </c>
      <c r="V7" s="135"/>
      <c r="W7" s="135"/>
      <c r="X7" s="135"/>
      <c r="Y7" s="135"/>
      <c r="Z7" s="135"/>
      <c r="AA7" s="135"/>
      <c r="AB7" s="135"/>
      <c r="AC7" s="135"/>
      <c r="AD7" s="135"/>
      <c r="AE7" s="135"/>
      <c r="AF7" s="135"/>
      <c r="AG7" s="135"/>
      <c r="AH7" s="135"/>
      <c r="AI7" s="135"/>
      <c r="AJ7" s="135"/>
      <c r="AK7" s="135"/>
      <c r="AL7" s="135"/>
      <c r="AM7" s="135"/>
      <c r="AN7" s="135"/>
      <c r="AO7" s="135"/>
      <c r="AP7" s="135"/>
      <c r="AQ7" s="135"/>
      <c r="AR7" s="135"/>
      <c r="AS7" s="135"/>
      <c r="AT7" s="135"/>
      <c r="AU7" s="135"/>
      <c r="AV7" s="135"/>
      <c r="AW7" s="145"/>
    </row>
    <row r="8" spans="1:49" ht="60" customHeight="1" x14ac:dyDescent="0.35">
      <c r="A8" s="142" t="s">
        <v>3167</v>
      </c>
      <c r="B8" s="128" t="s">
        <v>3203</v>
      </c>
      <c r="C8" s="129" t="s">
        <v>3204</v>
      </c>
      <c r="D8" s="131" t="s">
        <v>3205</v>
      </c>
      <c r="E8" s="131" t="s">
        <v>3206</v>
      </c>
      <c r="F8" s="131" t="s">
        <v>3207</v>
      </c>
      <c r="G8" s="131" t="s">
        <v>3201</v>
      </c>
      <c r="H8" s="131" t="s">
        <v>3208</v>
      </c>
      <c r="I8" s="133">
        <f>IF(COUNTIF(J8:AW8,"&lt;&gt;")=0,"",SUMPRODUCT(((Recommendations[ImplStatus]="Implemented")+(Recommendations[ImplStatus]="Compensated"))*ISNUMBER(MATCH(Recommendations[Id],J8:AW8,0)))/COUNTIF(J8:AW8,"&lt;&gt;"))</f>
        <v>0</v>
      </c>
      <c r="J8" s="135" t="s">
        <v>835</v>
      </c>
      <c r="K8" s="135"/>
      <c r="L8" s="135"/>
      <c r="M8" s="135"/>
      <c r="N8" s="135"/>
      <c r="O8" s="135"/>
      <c r="P8" s="135"/>
      <c r="Q8" s="135"/>
      <c r="R8" s="135"/>
      <c r="S8" s="135"/>
      <c r="T8" s="135"/>
      <c r="U8" s="135"/>
      <c r="V8" s="135"/>
      <c r="W8" s="135"/>
      <c r="X8" s="135"/>
      <c r="Y8" s="135"/>
      <c r="Z8" s="135"/>
      <c r="AA8" s="135"/>
      <c r="AB8" s="135"/>
      <c r="AC8" s="135"/>
      <c r="AD8" s="135"/>
      <c r="AE8" s="135"/>
      <c r="AF8" s="135"/>
      <c r="AG8" s="135"/>
      <c r="AH8" s="135"/>
      <c r="AI8" s="135"/>
      <c r="AJ8" s="135"/>
      <c r="AK8" s="135"/>
      <c r="AL8" s="135"/>
      <c r="AM8" s="135"/>
      <c r="AN8" s="135"/>
      <c r="AO8" s="135"/>
      <c r="AP8" s="135"/>
      <c r="AQ8" s="135"/>
      <c r="AR8" s="135"/>
      <c r="AS8" s="135"/>
      <c r="AT8" s="135"/>
      <c r="AU8" s="135"/>
      <c r="AV8" s="135"/>
      <c r="AW8" s="145"/>
    </row>
    <row r="9" spans="1:49" ht="60" customHeight="1" x14ac:dyDescent="0.35">
      <c r="A9" s="142" t="s">
        <v>3167</v>
      </c>
      <c r="B9" s="128" t="s">
        <v>3209</v>
      </c>
      <c r="C9" s="129" t="s">
        <v>3210</v>
      </c>
      <c r="D9" s="131" t="s">
        <v>3211</v>
      </c>
      <c r="E9" s="131" t="s">
        <v>3212</v>
      </c>
      <c r="F9" s="131" t="s">
        <v>3213</v>
      </c>
      <c r="G9" s="131" t="s">
        <v>3214</v>
      </c>
      <c r="H9" s="131" t="s">
        <v>3215</v>
      </c>
      <c r="I9" s="133" t="str">
        <f>IF(COUNTIF(J9:AW9,"&lt;&gt;")=0,"",SUMPRODUCT(((Recommendations[ImplStatus]="Implemented")+(Recommendations[ImplStatus]="Compensated"))*ISNUMBER(MATCH(Recommendations[Id],J9:AW9,0)))/COUNTIF(J9:AW9,"&lt;&gt;"))</f>
        <v/>
      </c>
      <c r="J9" s="135"/>
      <c r="K9" s="135"/>
      <c r="L9" s="135"/>
      <c r="M9" s="135"/>
      <c r="N9" s="135"/>
      <c r="O9" s="135"/>
      <c r="P9" s="135"/>
      <c r="Q9" s="135"/>
      <c r="R9" s="135"/>
      <c r="S9" s="135"/>
      <c r="T9" s="135"/>
      <c r="U9" s="135"/>
      <c r="V9" s="135"/>
      <c r="W9" s="135"/>
      <c r="X9" s="135"/>
      <c r="Y9" s="135"/>
      <c r="Z9" s="135"/>
      <c r="AA9" s="135"/>
      <c r="AB9" s="135"/>
      <c r="AC9" s="135"/>
      <c r="AD9" s="135"/>
      <c r="AE9" s="135"/>
      <c r="AF9" s="135"/>
      <c r="AG9" s="135"/>
      <c r="AH9" s="135"/>
      <c r="AI9" s="135"/>
      <c r="AJ9" s="135"/>
      <c r="AK9" s="135"/>
      <c r="AL9" s="135"/>
      <c r="AM9" s="135"/>
      <c r="AN9" s="135"/>
      <c r="AO9" s="135"/>
      <c r="AP9" s="135"/>
      <c r="AQ9" s="135"/>
      <c r="AR9" s="135"/>
      <c r="AS9" s="135"/>
      <c r="AT9" s="135"/>
      <c r="AU9" s="135"/>
      <c r="AV9" s="135"/>
      <c r="AW9" s="145"/>
    </row>
    <row r="10" spans="1:49" ht="60" customHeight="1" x14ac:dyDescent="0.35">
      <c r="A10" s="142" t="s">
        <v>3167</v>
      </c>
      <c r="B10" s="128" t="s">
        <v>3216</v>
      </c>
      <c r="C10" s="129" t="s">
        <v>3217</v>
      </c>
      <c r="D10" s="131" t="s">
        <v>3218</v>
      </c>
      <c r="E10" s="131" t="s">
        <v>3219</v>
      </c>
      <c r="F10" s="131" t="s">
        <v>3220</v>
      </c>
      <c r="G10" s="131" t="s">
        <v>3221</v>
      </c>
      <c r="H10" s="131" t="s">
        <v>3222</v>
      </c>
      <c r="I10" s="133">
        <f>IF(COUNTIF(J10:AW10,"&lt;&gt;")=0,"",SUMPRODUCT(((Recommendations[ImplStatus]="Implemented")+(Recommendations[ImplStatus]="Compensated"))*ISNUMBER(MATCH(Recommendations[Id],J10:AW10,0)))/COUNTIF(J10:AW10,"&lt;&gt;"))</f>
        <v>0</v>
      </c>
      <c r="J10" s="135" t="s">
        <v>337</v>
      </c>
      <c r="K10" s="135" t="s">
        <v>1024</v>
      </c>
      <c r="L10" s="135" t="s">
        <v>1212</v>
      </c>
      <c r="M10" s="135" t="s">
        <v>1217</v>
      </c>
      <c r="N10" s="135" t="s">
        <v>1220</v>
      </c>
      <c r="O10" s="135"/>
      <c r="P10" s="135"/>
      <c r="Q10" s="135"/>
      <c r="R10" s="135"/>
      <c r="S10" s="135"/>
      <c r="T10" s="135"/>
      <c r="U10" s="135"/>
      <c r="V10" s="135"/>
      <c r="W10" s="135"/>
      <c r="X10" s="135"/>
      <c r="Y10" s="135"/>
      <c r="Z10" s="135"/>
      <c r="AA10" s="135"/>
      <c r="AB10" s="135"/>
      <c r="AC10" s="135"/>
      <c r="AD10" s="135"/>
      <c r="AE10" s="135"/>
      <c r="AF10" s="135"/>
      <c r="AG10" s="135"/>
      <c r="AH10" s="135"/>
      <c r="AI10" s="135"/>
      <c r="AJ10" s="135"/>
      <c r="AK10" s="135"/>
      <c r="AL10" s="135"/>
      <c r="AM10" s="135"/>
      <c r="AN10" s="135"/>
      <c r="AO10" s="135"/>
      <c r="AP10" s="135"/>
      <c r="AQ10" s="135"/>
      <c r="AR10" s="135"/>
      <c r="AS10" s="135"/>
      <c r="AT10" s="135"/>
      <c r="AU10" s="135"/>
      <c r="AV10" s="135"/>
      <c r="AW10" s="145"/>
    </row>
    <row r="11" spans="1:49" ht="60" customHeight="1" x14ac:dyDescent="0.35">
      <c r="A11" s="142" t="s">
        <v>3167</v>
      </c>
      <c r="B11" s="128" t="s">
        <v>3223</v>
      </c>
      <c r="C11" s="129" t="s">
        <v>3224</v>
      </c>
      <c r="D11" s="131" t="s">
        <v>3225</v>
      </c>
      <c r="E11" s="131" t="s">
        <v>3226</v>
      </c>
      <c r="F11" s="131" t="s">
        <v>3227</v>
      </c>
      <c r="G11" s="131" t="s">
        <v>3228</v>
      </c>
      <c r="H11" s="131" t="s">
        <v>3229</v>
      </c>
      <c r="I11" s="133">
        <f>IF(COUNTIF(J11:AW11,"&lt;&gt;")=0,"",SUMPRODUCT(((Recommendations[ImplStatus]="Implemented")+(Recommendations[ImplStatus]="Compensated"))*ISNUMBER(MATCH(Recommendations[Id],J11:AW11,0)))/COUNTIF(J11:AW11,"&lt;&gt;"))</f>
        <v>0</v>
      </c>
      <c r="J11" s="135" t="s">
        <v>342</v>
      </c>
      <c r="K11" s="135" t="s">
        <v>927</v>
      </c>
      <c r="L11" s="135"/>
      <c r="M11" s="135"/>
      <c r="N11" s="135"/>
      <c r="O11" s="135"/>
      <c r="P11" s="135"/>
      <c r="Q11" s="135"/>
      <c r="R11" s="135"/>
      <c r="S11" s="135"/>
      <c r="T11" s="135"/>
      <c r="U11" s="135"/>
      <c r="V11" s="135"/>
      <c r="W11" s="135"/>
      <c r="X11" s="135"/>
      <c r="Y11" s="135"/>
      <c r="Z11" s="135"/>
      <c r="AA11" s="135"/>
      <c r="AB11" s="135"/>
      <c r="AC11" s="135"/>
      <c r="AD11" s="135"/>
      <c r="AE11" s="135"/>
      <c r="AF11" s="135"/>
      <c r="AG11" s="135"/>
      <c r="AH11" s="135"/>
      <c r="AI11" s="135"/>
      <c r="AJ11" s="135"/>
      <c r="AK11" s="135"/>
      <c r="AL11" s="135"/>
      <c r="AM11" s="135"/>
      <c r="AN11" s="135"/>
      <c r="AO11" s="135"/>
      <c r="AP11" s="135"/>
      <c r="AQ11" s="135"/>
      <c r="AR11" s="135"/>
      <c r="AS11" s="135"/>
      <c r="AT11" s="135"/>
      <c r="AU11" s="135"/>
      <c r="AV11" s="135"/>
      <c r="AW11" s="145"/>
    </row>
    <row r="12" spans="1:49" ht="60" customHeight="1" x14ac:dyDescent="0.35">
      <c r="A12" s="142" t="s">
        <v>3167</v>
      </c>
      <c r="B12" s="128" t="s">
        <v>3230</v>
      </c>
      <c r="C12" s="129" t="s">
        <v>3231</v>
      </c>
      <c r="D12" s="131" t="s">
        <v>3232</v>
      </c>
      <c r="E12" s="131" t="s">
        <v>3233</v>
      </c>
      <c r="F12" s="131" t="s">
        <v>3234</v>
      </c>
      <c r="G12" s="131" t="s">
        <v>3221</v>
      </c>
      <c r="H12" s="131" t="s">
        <v>3235</v>
      </c>
      <c r="I12" s="133">
        <f>IF(COUNTIF(J12:AW12,"&lt;&gt;")=0,"",SUMPRODUCT(((Recommendations[ImplStatus]="Implemented")+(Recommendations[ImplStatus]="Compensated"))*ISNUMBER(MATCH(Recommendations[Id],J12:AW12,0)))/COUNTIF(J12:AW12,"&lt;&gt;"))</f>
        <v>0</v>
      </c>
      <c r="J12" s="135" t="s">
        <v>25</v>
      </c>
      <c r="K12" s="135" t="s">
        <v>347</v>
      </c>
      <c r="L12" s="135" t="s">
        <v>352</v>
      </c>
      <c r="M12" s="135" t="s">
        <v>357</v>
      </c>
      <c r="N12" s="135" t="s">
        <v>876</v>
      </c>
      <c r="O12" s="135" t="s">
        <v>889</v>
      </c>
      <c r="P12" s="135" t="s">
        <v>1248</v>
      </c>
      <c r="Q12" s="135" t="s">
        <v>1253</v>
      </c>
      <c r="R12" s="135" t="s">
        <v>1257</v>
      </c>
      <c r="S12" s="135" t="s">
        <v>1261</v>
      </c>
      <c r="T12" s="135" t="s">
        <v>1266</v>
      </c>
      <c r="U12" s="135" t="s">
        <v>1271</v>
      </c>
      <c r="V12" s="135" t="s">
        <v>1755</v>
      </c>
      <c r="W12" s="135" t="s">
        <v>1760</v>
      </c>
      <c r="X12" s="135" t="s">
        <v>1765</v>
      </c>
      <c r="Y12" s="135"/>
      <c r="Z12" s="135"/>
      <c r="AA12" s="135"/>
      <c r="AB12" s="135"/>
      <c r="AC12" s="135"/>
      <c r="AD12" s="135"/>
      <c r="AE12" s="135"/>
      <c r="AF12" s="135"/>
      <c r="AG12" s="135"/>
      <c r="AH12" s="135"/>
      <c r="AI12" s="135"/>
      <c r="AJ12" s="135"/>
      <c r="AK12" s="135"/>
      <c r="AL12" s="135"/>
      <c r="AM12" s="135"/>
      <c r="AN12" s="135"/>
      <c r="AO12" s="135"/>
      <c r="AP12" s="135"/>
      <c r="AQ12" s="135"/>
      <c r="AR12" s="135"/>
      <c r="AS12" s="135"/>
      <c r="AT12" s="135"/>
      <c r="AU12" s="135"/>
      <c r="AV12" s="135"/>
      <c r="AW12" s="145"/>
    </row>
    <row r="13" spans="1:49" ht="60" customHeight="1" x14ac:dyDescent="0.35">
      <c r="A13" s="142" t="s">
        <v>3167</v>
      </c>
      <c r="B13" s="128" t="s">
        <v>3236</v>
      </c>
      <c r="C13" s="129" t="s">
        <v>3237</v>
      </c>
      <c r="D13" s="131" t="s">
        <v>3238</v>
      </c>
      <c r="E13" s="131" t="s">
        <v>3239</v>
      </c>
      <c r="F13" s="131" t="s">
        <v>3240</v>
      </c>
      <c r="G13" s="131" t="s">
        <v>3221</v>
      </c>
      <c r="H13" s="131" t="s">
        <v>3241</v>
      </c>
      <c r="I13" s="133">
        <f>IF(COUNTIF(J13:AW13,"&lt;&gt;")=0,"",SUMPRODUCT(((Recommendations[ImplStatus]="Implemented")+(Recommendations[ImplStatus]="Compensated"))*ISNUMBER(MATCH(Recommendations[Id],J13:AW13,0)))/COUNTIF(J13:AW13,"&lt;&gt;"))</f>
        <v>0</v>
      </c>
      <c r="J13" s="135" t="s">
        <v>25</v>
      </c>
      <c r="K13" s="135" t="s">
        <v>347</v>
      </c>
      <c r="L13" s="135" t="s">
        <v>352</v>
      </c>
      <c r="M13" s="135" t="s">
        <v>357</v>
      </c>
      <c r="N13" s="135" t="s">
        <v>876</v>
      </c>
      <c r="O13" s="135" t="s">
        <v>889</v>
      </c>
      <c r="P13" s="135" t="s">
        <v>1002</v>
      </c>
      <c r="Q13" s="135" t="s">
        <v>1248</v>
      </c>
      <c r="R13" s="135" t="s">
        <v>1253</v>
      </c>
      <c r="S13" s="135" t="s">
        <v>1257</v>
      </c>
      <c r="T13" s="135" t="s">
        <v>1261</v>
      </c>
      <c r="U13" s="135" t="s">
        <v>1266</v>
      </c>
      <c r="V13" s="135" t="s">
        <v>1271</v>
      </c>
      <c r="W13" s="135" t="s">
        <v>1755</v>
      </c>
      <c r="X13" s="135" t="s">
        <v>1760</v>
      </c>
      <c r="Y13" s="135" t="s">
        <v>1765</v>
      </c>
      <c r="Z13" s="135"/>
      <c r="AA13" s="135"/>
      <c r="AB13" s="135"/>
      <c r="AC13" s="135"/>
      <c r="AD13" s="135"/>
      <c r="AE13" s="135"/>
      <c r="AF13" s="135"/>
      <c r="AG13" s="135"/>
      <c r="AH13" s="135"/>
      <c r="AI13" s="135"/>
      <c r="AJ13" s="135"/>
      <c r="AK13" s="135"/>
      <c r="AL13" s="135"/>
      <c r="AM13" s="135"/>
      <c r="AN13" s="135"/>
      <c r="AO13" s="135"/>
      <c r="AP13" s="135"/>
      <c r="AQ13" s="135"/>
      <c r="AR13" s="135"/>
      <c r="AS13" s="135"/>
      <c r="AT13" s="135"/>
      <c r="AU13" s="135"/>
      <c r="AV13" s="135"/>
      <c r="AW13" s="145"/>
    </row>
    <row r="14" spans="1:49" ht="60" customHeight="1" x14ac:dyDescent="0.35">
      <c r="A14" s="142" t="s">
        <v>3167</v>
      </c>
      <c r="B14" s="128" t="s">
        <v>3242</v>
      </c>
      <c r="C14" s="129" t="s">
        <v>3243</v>
      </c>
      <c r="D14" s="131" t="s">
        <v>3244</v>
      </c>
      <c r="E14" s="131" t="s">
        <v>3245</v>
      </c>
      <c r="F14" s="131" t="s">
        <v>3246</v>
      </c>
      <c r="G14" s="131" t="s">
        <v>3247</v>
      </c>
      <c r="H14" s="131" t="s">
        <v>3248</v>
      </c>
      <c r="I14" s="133" t="str">
        <f>IF(COUNTIF(J14:AW14,"&lt;&gt;")=0,"",SUMPRODUCT(((Recommendations[ImplStatus]="Implemented")+(Recommendations[ImplStatus]="Compensated"))*ISNUMBER(MATCH(Recommendations[Id],J14:AW14,0)))/COUNTIF(J14:AW14,"&lt;&gt;"))</f>
        <v/>
      </c>
      <c r="J14" s="135"/>
      <c r="K14" s="135"/>
      <c r="L14" s="135"/>
      <c r="M14" s="135"/>
      <c r="N14" s="135"/>
      <c r="O14" s="135"/>
      <c r="P14" s="135"/>
      <c r="Q14" s="135"/>
      <c r="R14" s="135"/>
      <c r="S14" s="135"/>
      <c r="T14" s="135"/>
      <c r="U14" s="135"/>
      <c r="V14" s="135"/>
      <c r="W14" s="135"/>
      <c r="X14" s="135"/>
      <c r="Y14" s="135"/>
      <c r="Z14" s="135"/>
      <c r="AA14" s="135"/>
      <c r="AB14" s="135"/>
      <c r="AC14" s="135"/>
      <c r="AD14" s="135"/>
      <c r="AE14" s="135"/>
      <c r="AF14" s="135"/>
      <c r="AG14" s="135"/>
      <c r="AH14" s="135"/>
      <c r="AI14" s="135"/>
      <c r="AJ14" s="135"/>
      <c r="AK14" s="135"/>
      <c r="AL14" s="135"/>
      <c r="AM14" s="135"/>
      <c r="AN14" s="135"/>
      <c r="AO14" s="135"/>
      <c r="AP14" s="135"/>
      <c r="AQ14" s="135"/>
      <c r="AR14" s="135"/>
      <c r="AS14" s="135"/>
      <c r="AT14" s="135"/>
      <c r="AU14" s="135"/>
      <c r="AV14" s="135"/>
      <c r="AW14" s="145"/>
    </row>
    <row r="15" spans="1:49" ht="60" customHeight="1" x14ac:dyDescent="0.35">
      <c r="A15" s="142" t="s">
        <v>3167</v>
      </c>
      <c r="B15" s="128" t="s">
        <v>3249</v>
      </c>
      <c r="C15" s="129" t="s">
        <v>3250</v>
      </c>
      <c r="D15" s="131" t="s">
        <v>3251</v>
      </c>
      <c r="E15" s="131" t="s">
        <v>3252</v>
      </c>
      <c r="F15" s="131" t="s">
        <v>3253</v>
      </c>
      <c r="G15" s="131" t="s">
        <v>3254</v>
      </c>
      <c r="H15" s="131" t="s">
        <v>3255</v>
      </c>
      <c r="I15" s="133" t="str">
        <f>IF(COUNTIF(J15:AW15,"&lt;&gt;")=0,"",SUMPRODUCT(((Recommendations[ImplStatus]="Implemented")+(Recommendations[ImplStatus]="Compensated"))*ISNUMBER(MATCH(Recommendations[Id],J15:AW15,0)))/COUNTIF(J15:AW15,"&lt;&gt;"))</f>
        <v/>
      </c>
      <c r="J15" s="135"/>
      <c r="K15" s="135"/>
      <c r="L15" s="135"/>
      <c r="M15" s="135"/>
      <c r="N15" s="135"/>
      <c r="O15" s="135"/>
      <c r="P15" s="135"/>
      <c r="Q15" s="135"/>
      <c r="R15" s="135"/>
      <c r="S15" s="135"/>
      <c r="T15" s="135"/>
      <c r="U15" s="135"/>
      <c r="V15" s="135"/>
      <c r="W15" s="135"/>
      <c r="X15" s="135"/>
      <c r="Y15" s="135"/>
      <c r="Z15" s="135"/>
      <c r="AA15" s="135"/>
      <c r="AB15" s="135"/>
      <c r="AC15" s="135"/>
      <c r="AD15" s="135"/>
      <c r="AE15" s="135"/>
      <c r="AF15" s="135"/>
      <c r="AG15" s="135"/>
      <c r="AH15" s="135"/>
      <c r="AI15" s="135"/>
      <c r="AJ15" s="135"/>
      <c r="AK15" s="135"/>
      <c r="AL15" s="135"/>
      <c r="AM15" s="135"/>
      <c r="AN15" s="135"/>
      <c r="AO15" s="135"/>
      <c r="AP15" s="135"/>
      <c r="AQ15" s="135"/>
      <c r="AR15" s="135"/>
      <c r="AS15" s="135"/>
      <c r="AT15" s="135"/>
      <c r="AU15" s="135"/>
      <c r="AV15" s="135"/>
      <c r="AW15" s="145"/>
    </row>
    <row r="16" spans="1:49" ht="60" customHeight="1" x14ac:dyDescent="0.35">
      <c r="A16" s="142" t="s">
        <v>3167</v>
      </c>
      <c r="B16" s="128" t="s">
        <v>3256</v>
      </c>
      <c r="C16" s="129" t="s">
        <v>3257</v>
      </c>
      <c r="D16" s="131" t="s">
        <v>3258</v>
      </c>
      <c r="E16" s="131" t="s">
        <v>3259</v>
      </c>
      <c r="F16" s="131" t="s">
        <v>3260</v>
      </c>
      <c r="G16" s="131" t="s">
        <v>3261</v>
      </c>
      <c r="H16" s="131" t="s">
        <v>3262</v>
      </c>
      <c r="I16" s="133" t="str">
        <f>IF(COUNTIF(J16:AW16,"&lt;&gt;")=0,"",SUMPRODUCT(((Recommendations[ImplStatus]="Implemented")+(Recommendations[ImplStatus]="Compensated"))*ISNUMBER(MATCH(Recommendations[Id],J16:AW16,0)))/COUNTIF(J16:AW16,"&lt;&gt;"))</f>
        <v/>
      </c>
      <c r="J16" s="135"/>
      <c r="K16" s="135"/>
      <c r="L16" s="135"/>
      <c r="M16" s="135"/>
      <c r="N16" s="135"/>
      <c r="O16" s="135"/>
      <c r="P16" s="135"/>
      <c r="Q16" s="135"/>
      <c r="R16" s="135"/>
      <c r="S16" s="135"/>
      <c r="T16" s="135"/>
      <c r="U16" s="135"/>
      <c r="V16" s="135"/>
      <c r="W16" s="135"/>
      <c r="X16" s="135"/>
      <c r="Y16" s="135"/>
      <c r="Z16" s="135"/>
      <c r="AA16" s="135"/>
      <c r="AB16" s="135"/>
      <c r="AC16" s="135"/>
      <c r="AD16" s="135"/>
      <c r="AE16" s="135"/>
      <c r="AF16" s="135"/>
      <c r="AG16" s="135"/>
      <c r="AH16" s="135"/>
      <c r="AI16" s="135"/>
      <c r="AJ16" s="135"/>
      <c r="AK16" s="135"/>
      <c r="AL16" s="135"/>
      <c r="AM16" s="135"/>
      <c r="AN16" s="135"/>
      <c r="AO16" s="135"/>
      <c r="AP16" s="135"/>
      <c r="AQ16" s="135"/>
      <c r="AR16" s="135"/>
      <c r="AS16" s="135"/>
      <c r="AT16" s="135"/>
      <c r="AU16" s="135"/>
      <c r="AV16" s="135"/>
      <c r="AW16" s="145"/>
    </row>
    <row r="17" spans="1:49" ht="60" customHeight="1" x14ac:dyDescent="0.35">
      <c r="A17" s="142" t="s">
        <v>3167</v>
      </c>
      <c r="B17" s="128" t="s">
        <v>3263</v>
      </c>
      <c r="C17" s="129" t="s">
        <v>3264</v>
      </c>
      <c r="D17" s="131" t="s">
        <v>3265</v>
      </c>
      <c r="E17" s="131" t="s">
        <v>3266</v>
      </c>
      <c r="F17" s="131" t="s">
        <v>3267</v>
      </c>
      <c r="G17" s="131" t="s">
        <v>3268</v>
      </c>
      <c r="H17" s="131" t="s">
        <v>3269</v>
      </c>
      <c r="I17" s="133" t="str">
        <f>IF(COUNTIF(J17:AW17,"&lt;&gt;")=0,"",SUMPRODUCT(((Recommendations[ImplStatus]="Implemented")+(Recommendations[ImplStatus]="Compensated"))*ISNUMBER(MATCH(Recommendations[Id],J17:AW17,0)))/COUNTIF(J17:AW17,"&lt;&gt;"))</f>
        <v/>
      </c>
      <c r="J17" s="135"/>
      <c r="K17" s="135"/>
      <c r="L17" s="135"/>
      <c r="M17" s="135"/>
      <c r="N17" s="135"/>
      <c r="O17" s="135"/>
      <c r="P17" s="135"/>
      <c r="Q17" s="135"/>
      <c r="R17" s="135"/>
      <c r="S17" s="135"/>
      <c r="T17" s="135"/>
      <c r="U17" s="135"/>
      <c r="V17" s="135"/>
      <c r="W17" s="135"/>
      <c r="X17" s="135"/>
      <c r="Y17" s="135"/>
      <c r="Z17" s="135"/>
      <c r="AA17" s="135"/>
      <c r="AB17" s="135"/>
      <c r="AC17" s="135"/>
      <c r="AD17" s="135"/>
      <c r="AE17" s="135"/>
      <c r="AF17" s="135"/>
      <c r="AG17" s="135"/>
      <c r="AH17" s="135"/>
      <c r="AI17" s="135"/>
      <c r="AJ17" s="135"/>
      <c r="AK17" s="135"/>
      <c r="AL17" s="135"/>
      <c r="AM17" s="135"/>
      <c r="AN17" s="135"/>
      <c r="AO17" s="135"/>
      <c r="AP17" s="135"/>
      <c r="AQ17" s="135"/>
      <c r="AR17" s="135"/>
      <c r="AS17" s="135"/>
      <c r="AT17" s="135"/>
      <c r="AU17" s="135"/>
      <c r="AV17" s="135"/>
      <c r="AW17" s="145"/>
    </row>
    <row r="18" spans="1:49" ht="60" customHeight="1" x14ac:dyDescent="0.35">
      <c r="A18" s="142" t="s">
        <v>3167</v>
      </c>
      <c r="B18" s="128" t="s">
        <v>3270</v>
      </c>
      <c r="C18" s="129" t="s">
        <v>3271</v>
      </c>
      <c r="D18" s="131" t="s">
        <v>3272</v>
      </c>
      <c r="E18" s="131" t="s">
        <v>3273</v>
      </c>
      <c r="F18" s="131" t="s">
        <v>21</v>
      </c>
      <c r="G18" s="131" t="s">
        <v>21</v>
      </c>
      <c r="H18" s="131" t="s">
        <v>21</v>
      </c>
      <c r="I18" s="133" t="str">
        <f>IF(COUNTIF(J18:AW18,"&lt;&gt;")=0,"",SUMPRODUCT(((Recommendations[ImplStatus]="Implemented")+(Recommendations[ImplStatus]="Compensated"))*ISNUMBER(MATCH(Recommendations[Id],J18:AW18,0)))/COUNTIF(J18:AW18,"&lt;&gt;"))</f>
        <v/>
      </c>
      <c r="J18" s="135"/>
      <c r="K18" s="135"/>
      <c r="L18" s="135"/>
      <c r="M18" s="135"/>
      <c r="N18" s="135"/>
      <c r="O18" s="135"/>
      <c r="P18" s="135"/>
      <c r="Q18" s="135"/>
      <c r="R18" s="135"/>
      <c r="S18" s="135"/>
      <c r="T18" s="135"/>
      <c r="U18" s="135"/>
      <c r="V18" s="135"/>
      <c r="W18" s="135"/>
      <c r="X18" s="135"/>
      <c r="Y18" s="135"/>
      <c r="Z18" s="135"/>
      <c r="AA18" s="135"/>
      <c r="AB18" s="135"/>
      <c r="AC18" s="135"/>
      <c r="AD18" s="135"/>
      <c r="AE18" s="135"/>
      <c r="AF18" s="135"/>
      <c r="AG18" s="135"/>
      <c r="AH18" s="135"/>
      <c r="AI18" s="135"/>
      <c r="AJ18" s="135"/>
      <c r="AK18" s="135"/>
      <c r="AL18" s="135"/>
      <c r="AM18" s="135"/>
      <c r="AN18" s="135"/>
      <c r="AO18" s="135"/>
      <c r="AP18" s="135"/>
      <c r="AQ18" s="135"/>
      <c r="AR18" s="135"/>
      <c r="AS18" s="135"/>
      <c r="AT18" s="135"/>
      <c r="AU18" s="135"/>
      <c r="AV18" s="135"/>
      <c r="AW18" s="145"/>
    </row>
    <row r="19" spans="1:49" ht="60" customHeight="1" outlineLevel="1" x14ac:dyDescent="0.35">
      <c r="A19" s="141" t="s">
        <v>3274</v>
      </c>
      <c r="B19" s="127"/>
      <c r="C19" s="126" t="s">
        <v>3275</v>
      </c>
      <c r="D19" s="130"/>
      <c r="E19" s="130"/>
      <c r="F19" s="130"/>
      <c r="G19" s="130"/>
      <c r="H19" s="130"/>
      <c r="I19" s="132" t="str">
        <f>IF(COUNTIF(J19:AW19,"&lt;&gt;")=0,"",SUMPRODUCT(((Recommendations[ImplStatus]="Implemented")+(Recommendations[ImplStatus]="Compensated"))*ISNUMBER(MATCH(Recommendations[Id],J19:AW19,0)))/COUNTIF(J19:AW19,"&lt;&gt;"))</f>
        <v/>
      </c>
      <c r="J19" s="134"/>
      <c r="K19" s="134"/>
      <c r="L19" s="134"/>
      <c r="M19" s="134"/>
      <c r="N19" s="134"/>
      <c r="O19" s="134"/>
      <c r="P19" s="134"/>
      <c r="Q19" s="134"/>
      <c r="R19" s="134"/>
      <c r="S19" s="134"/>
      <c r="T19" s="134"/>
      <c r="U19" s="134"/>
      <c r="V19" s="134"/>
      <c r="W19" s="134"/>
      <c r="X19" s="134"/>
      <c r="Y19" s="134"/>
      <c r="Z19" s="134"/>
      <c r="AA19" s="134"/>
      <c r="AB19" s="134"/>
      <c r="AC19" s="134"/>
      <c r="AD19" s="134"/>
      <c r="AE19" s="134"/>
      <c r="AF19" s="134"/>
      <c r="AG19" s="134"/>
      <c r="AH19" s="134"/>
      <c r="AI19" s="134"/>
      <c r="AJ19" s="134"/>
      <c r="AK19" s="134"/>
      <c r="AL19" s="134"/>
      <c r="AM19" s="134"/>
      <c r="AN19" s="134"/>
      <c r="AO19" s="134"/>
      <c r="AP19" s="134"/>
      <c r="AQ19" s="134"/>
      <c r="AR19" s="134"/>
      <c r="AS19" s="134"/>
      <c r="AT19" s="134"/>
      <c r="AU19" s="134"/>
      <c r="AV19" s="134"/>
      <c r="AW19" s="144"/>
    </row>
    <row r="20" spans="1:49" ht="60" customHeight="1" x14ac:dyDescent="0.35">
      <c r="A20" s="142" t="s">
        <v>3274</v>
      </c>
      <c r="B20" s="128" t="s">
        <v>3276</v>
      </c>
      <c r="C20" s="129" t="s">
        <v>3277</v>
      </c>
      <c r="D20" s="131" t="s">
        <v>3278</v>
      </c>
      <c r="E20" s="131" t="s">
        <v>3279</v>
      </c>
      <c r="F20" s="131" t="s">
        <v>3280</v>
      </c>
      <c r="G20" s="131" t="s">
        <v>3281</v>
      </c>
      <c r="H20" s="131" t="s">
        <v>3282</v>
      </c>
      <c r="I20" s="133" t="str">
        <f>IF(COUNTIF(J20:AW20,"&lt;&gt;")=0,"",SUMPRODUCT(((Recommendations[ImplStatus]="Implemented")+(Recommendations[ImplStatus]="Compensated"))*ISNUMBER(MATCH(Recommendations[Id],J20:AW20,0)))/COUNTIF(J20:AW20,"&lt;&gt;"))</f>
        <v/>
      </c>
      <c r="J20" s="135"/>
      <c r="K20" s="135"/>
      <c r="L20" s="135"/>
      <c r="M20" s="135"/>
      <c r="N20" s="135"/>
      <c r="O20" s="135"/>
      <c r="P20" s="135"/>
      <c r="Q20" s="135"/>
      <c r="R20" s="135"/>
      <c r="S20" s="135"/>
      <c r="T20" s="135"/>
      <c r="U20" s="135"/>
      <c r="V20" s="135"/>
      <c r="W20" s="135"/>
      <c r="X20" s="135"/>
      <c r="Y20" s="135"/>
      <c r="Z20" s="135"/>
      <c r="AA20" s="135"/>
      <c r="AB20" s="135"/>
      <c r="AC20" s="135"/>
      <c r="AD20" s="135"/>
      <c r="AE20" s="135"/>
      <c r="AF20" s="135"/>
      <c r="AG20" s="135"/>
      <c r="AH20" s="135"/>
      <c r="AI20" s="135"/>
      <c r="AJ20" s="135"/>
      <c r="AK20" s="135"/>
      <c r="AL20" s="135"/>
      <c r="AM20" s="135"/>
      <c r="AN20" s="135"/>
      <c r="AO20" s="135"/>
      <c r="AP20" s="135"/>
      <c r="AQ20" s="135"/>
      <c r="AR20" s="135"/>
      <c r="AS20" s="135"/>
      <c r="AT20" s="135"/>
      <c r="AU20" s="135"/>
      <c r="AV20" s="135"/>
      <c r="AW20" s="145"/>
    </row>
    <row r="21" spans="1:49" ht="60" customHeight="1" x14ac:dyDescent="0.35">
      <c r="A21" s="142" t="s">
        <v>3274</v>
      </c>
      <c r="B21" s="128" t="s">
        <v>3283</v>
      </c>
      <c r="C21" s="129" t="s">
        <v>3284</v>
      </c>
      <c r="D21" s="131" t="s">
        <v>3285</v>
      </c>
      <c r="E21" s="131" t="s">
        <v>3286</v>
      </c>
      <c r="F21" s="131" t="s">
        <v>3287</v>
      </c>
      <c r="G21" s="131" t="s">
        <v>3288</v>
      </c>
      <c r="H21" s="131" t="s">
        <v>3289</v>
      </c>
      <c r="I21" s="133" t="str">
        <f>IF(COUNTIF(J21:AW21,"&lt;&gt;")=0,"",SUMPRODUCT(((Recommendations[ImplStatus]="Implemented")+(Recommendations[ImplStatus]="Compensated"))*ISNUMBER(MATCH(Recommendations[Id],J21:AW21,0)))/COUNTIF(J21:AW21,"&lt;&gt;"))</f>
        <v/>
      </c>
      <c r="J21" s="135"/>
      <c r="K21" s="135"/>
      <c r="L21" s="135"/>
      <c r="M21" s="135"/>
      <c r="N21" s="135"/>
      <c r="O21" s="135"/>
      <c r="P21" s="135"/>
      <c r="Q21" s="135"/>
      <c r="R21" s="135"/>
      <c r="S21" s="135"/>
      <c r="T21" s="135"/>
      <c r="U21" s="135"/>
      <c r="V21" s="135"/>
      <c r="W21" s="135"/>
      <c r="X21" s="135"/>
      <c r="Y21" s="135"/>
      <c r="Z21" s="135"/>
      <c r="AA21" s="135"/>
      <c r="AB21" s="135"/>
      <c r="AC21" s="135"/>
      <c r="AD21" s="135"/>
      <c r="AE21" s="135"/>
      <c r="AF21" s="135"/>
      <c r="AG21" s="135"/>
      <c r="AH21" s="135"/>
      <c r="AI21" s="135"/>
      <c r="AJ21" s="135"/>
      <c r="AK21" s="135"/>
      <c r="AL21" s="135"/>
      <c r="AM21" s="135"/>
      <c r="AN21" s="135"/>
      <c r="AO21" s="135"/>
      <c r="AP21" s="135"/>
      <c r="AQ21" s="135"/>
      <c r="AR21" s="135"/>
      <c r="AS21" s="135"/>
      <c r="AT21" s="135"/>
      <c r="AU21" s="135"/>
      <c r="AV21" s="135"/>
      <c r="AW21" s="145"/>
    </row>
    <row r="22" spans="1:49" ht="60" customHeight="1" outlineLevel="1" x14ac:dyDescent="0.35">
      <c r="A22" s="141" t="s">
        <v>3290</v>
      </c>
      <c r="B22" s="127"/>
      <c r="C22" s="126" t="s">
        <v>3291</v>
      </c>
      <c r="D22" s="130"/>
      <c r="E22" s="130"/>
      <c r="F22" s="130"/>
      <c r="G22" s="130"/>
      <c r="H22" s="130"/>
      <c r="I22" s="132" t="str">
        <f>IF(COUNTIF(J22:AW22,"&lt;&gt;")=0,"",SUMPRODUCT(((Recommendations[ImplStatus]="Implemented")+(Recommendations[ImplStatus]="Compensated"))*ISNUMBER(MATCH(Recommendations[Id],J22:AW22,0)))/COUNTIF(J22:AW22,"&lt;&gt;"))</f>
        <v/>
      </c>
      <c r="J22" s="134"/>
      <c r="K22" s="134"/>
      <c r="L22" s="134"/>
      <c r="M22" s="134"/>
      <c r="N22" s="134"/>
      <c r="O22" s="134"/>
      <c r="P22" s="134"/>
      <c r="Q22" s="134"/>
      <c r="R22" s="134"/>
      <c r="S22" s="134"/>
      <c r="T22" s="134"/>
      <c r="U22" s="134"/>
      <c r="V22" s="134"/>
      <c r="W22" s="134"/>
      <c r="X22" s="134"/>
      <c r="Y22" s="134"/>
      <c r="Z22" s="134"/>
      <c r="AA22" s="134"/>
      <c r="AB22" s="134"/>
      <c r="AC22" s="134"/>
      <c r="AD22" s="134"/>
      <c r="AE22" s="134"/>
      <c r="AF22" s="134"/>
      <c r="AG22" s="134"/>
      <c r="AH22" s="134"/>
      <c r="AI22" s="134"/>
      <c r="AJ22" s="134"/>
      <c r="AK22" s="134"/>
      <c r="AL22" s="134"/>
      <c r="AM22" s="134"/>
      <c r="AN22" s="134"/>
      <c r="AO22" s="134"/>
      <c r="AP22" s="134"/>
      <c r="AQ22" s="134"/>
      <c r="AR22" s="134"/>
      <c r="AS22" s="134"/>
      <c r="AT22" s="134"/>
      <c r="AU22" s="134"/>
      <c r="AV22" s="134"/>
      <c r="AW22" s="144"/>
    </row>
    <row r="23" spans="1:49" ht="60" customHeight="1" x14ac:dyDescent="0.35">
      <c r="A23" s="142" t="s">
        <v>3290</v>
      </c>
      <c r="B23" s="128" t="s">
        <v>3292</v>
      </c>
      <c r="C23" s="129" t="s">
        <v>3293</v>
      </c>
      <c r="D23" s="131" t="s">
        <v>3294</v>
      </c>
      <c r="E23" s="131" t="s">
        <v>3295</v>
      </c>
      <c r="F23" s="131" t="s">
        <v>3296</v>
      </c>
      <c r="G23" s="131" t="s">
        <v>3297</v>
      </c>
      <c r="H23" s="131" t="s">
        <v>3298</v>
      </c>
      <c r="I23" s="133">
        <f>IF(COUNTIF(J23:AW23,"&lt;&gt;")=0,"",SUMPRODUCT(((Recommendations[ImplStatus]="Implemented")+(Recommendations[ImplStatus]="Compensated"))*ISNUMBER(MATCH(Recommendations[Id],J23:AW23,0)))/COUNTIF(J23:AW23,"&lt;&gt;"))</f>
        <v>0</v>
      </c>
      <c r="J23" s="135" t="s">
        <v>51</v>
      </c>
      <c r="K23" s="135" t="s">
        <v>61</v>
      </c>
      <c r="L23" s="135" t="s">
        <v>66</v>
      </c>
      <c r="M23" s="135" t="s">
        <v>69</v>
      </c>
      <c r="N23" s="135" t="s">
        <v>72</v>
      </c>
      <c r="O23" s="135" t="s">
        <v>79</v>
      </c>
      <c r="P23" s="135" t="s">
        <v>82</v>
      </c>
      <c r="Q23" s="135" t="s">
        <v>85</v>
      </c>
      <c r="R23" s="135" t="s">
        <v>88</v>
      </c>
      <c r="S23" s="135" t="s">
        <v>91</v>
      </c>
      <c r="T23" s="135" t="s">
        <v>94</v>
      </c>
      <c r="U23" s="135" t="s">
        <v>110</v>
      </c>
      <c r="V23" s="135" t="s">
        <v>142</v>
      </c>
      <c r="W23" s="135" t="s">
        <v>152</v>
      </c>
      <c r="X23" s="135" t="s">
        <v>187</v>
      </c>
      <c r="Y23" s="135" t="s">
        <v>192</v>
      </c>
      <c r="Z23" s="135" t="s">
        <v>228</v>
      </c>
      <c r="AA23" s="135" t="s">
        <v>232</v>
      </c>
      <c r="AB23" s="135" t="s">
        <v>235</v>
      </c>
      <c r="AC23" s="135" t="s">
        <v>238</v>
      </c>
      <c r="AD23" s="135" t="s">
        <v>241</v>
      </c>
      <c r="AE23" s="135" t="s">
        <v>244</v>
      </c>
      <c r="AF23" s="135" t="s">
        <v>247</v>
      </c>
      <c r="AG23" s="135" t="s">
        <v>250</v>
      </c>
      <c r="AH23" s="135" t="s">
        <v>253</v>
      </c>
      <c r="AI23" s="135" t="s">
        <v>256</v>
      </c>
      <c r="AJ23" s="135" t="s">
        <v>259</v>
      </c>
      <c r="AK23" s="135" t="s">
        <v>262</v>
      </c>
      <c r="AL23" s="135" t="s">
        <v>265</v>
      </c>
      <c r="AM23" s="135" t="s">
        <v>268</v>
      </c>
      <c r="AN23" s="135" t="s">
        <v>273</v>
      </c>
      <c r="AO23" s="135" t="s">
        <v>278</v>
      </c>
      <c r="AP23" s="135" t="s">
        <v>281</v>
      </c>
      <c r="AQ23" s="135" t="s">
        <v>284</v>
      </c>
      <c r="AR23" s="135" t="s">
        <v>287</v>
      </c>
      <c r="AS23" s="135" t="s">
        <v>290</v>
      </c>
      <c r="AT23" s="135" t="s">
        <v>293</v>
      </c>
      <c r="AU23" s="135" t="s">
        <v>296</v>
      </c>
      <c r="AV23" s="135" t="s">
        <v>309</v>
      </c>
      <c r="AW23" s="145" t="s">
        <v>328</v>
      </c>
    </row>
    <row r="24" spans="1:49" ht="60" customHeight="1" x14ac:dyDescent="0.35">
      <c r="A24" s="142" t="s">
        <v>3290</v>
      </c>
      <c r="B24" s="128" t="s">
        <v>3299</v>
      </c>
      <c r="C24" s="129" t="s">
        <v>3300</v>
      </c>
      <c r="D24" s="131" t="s">
        <v>3301</v>
      </c>
      <c r="E24" s="131" t="s">
        <v>3302</v>
      </c>
      <c r="F24" s="131" t="s">
        <v>3303</v>
      </c>
      <c r="G24" s="131" t="s">
        <v>3304</v>
      </c>
      <c r="H24" s="131" t="s">
        <v>3305</v>
      </c>
      <c r="I24" s="133">
        <f>IF(COUNTIF(J24:AW24,"&lt;&gt;")=0,"",SUMPRODUCT(((Recommendations[ImplStatus]="Implemented")+(Recommendations[ImplStatus]="Compensated"))*ISNUMBER(MATCH(Recommendations[Id],J24:AW24,0)))/COUNTIF(J24:AW24,"&lt;&gt;"))</f>
        <v>0</v>
      </c>
      <c r="J24" s="135" t="s">
        <v>51</v>
      </c>
      <c r="K24" s="135" t="s">
        <v>66</v>
      </c>
      <c r="L24" s="135" t="s">
        <v>69</v>
      </c>
      <c r="M24" s="135" t="s">
        <v>72</v>
      </c>
      <c r="N24" s="135" t="s">
        <v>79</v>
      </c>
      <c r="O24" s="135" t="s">
        <v>82</v>
      </c>
      <c r="P24" s="135" t="s">
        <v>85</v>
      </c>
      <c r="Q24" s="135" t="s">
        <v>88</v>
      </c>
      <c r="R24" s="135" t="s">
        <v>91</v>
      </c>
      <c r="S24" s="135" t="s">
        <v>94</v>
      </c>
      <c r="T24" s="135" t="s">
        <v>110</v>
      </c>
      <c r="U24" s="135" t="s">
        <v>142</v>
      </c>
      <c r="V24" s="135" t="s">
        <v>152</v>
      </c>
      <c r="W24" s="135" t="s">
        <v>228</v>
      </c>
      <c r="X24" s="135" t="s">
        <v>238</v>
      </c>
      <c r="Y24" s="135" t="s">
        <v>265</v>
      </c>
      <c r="Z24" s="135" t="s">
        <v>268</v>
      </c>
      <c r="AA24" s="135" t="s">
        <v>273</v>
      </c>
      <c r="AB24" s="135" t="s">
        <v>284</v>
      </c>
      <c r="AC24" s="135" t="s">
        <v>287</v>
      </c>
      <c r="AD24" s="135" t="s">
        <v>290</v>
      </c>
      <c r="AE24" s="135" t="s">
        <v>293</v>
      </c>
      <c r="AF24" s="135" t="s">
        <v>296</v>
      </c>
      <c r="AG24" s="135" t="s">
        <v>1316</v>
      </c>
      <c r="AH24" s="135" t="s">
        <v>1321</v>
      </c>
      <c r="AI24" s="135" t="s">
        <v>1325</v>
      </c>
      <c r="AJ24" s="135" t="s">
        <v>1334</v>
      </c>
      <c r="AK24" s="135" t="s">
        <v>1338</v>
      </c>
      <c r="AL24" s="135" t="s">
        <v>1341</v>
      </c>
      <c r="AM24" s="135" t="s">
        <v>1348</v>
      </c>
      <c r="AN24" s="135" t="s">
        <v>1352</v>
      </c>
      <c r="AO24" s="135" t="s">
        <v>1356</v>
      </c>
      <c r="AP24" s="135" t="s">
        <v>1359</v>
      </c>
      <c r="AQ24" s="135" t="s">
        <v>1363</v>
      </c>
      <c r="AR24" s="135" t="s">
        <v>1366</v>
      </c>
      <c r="AS24" s="135" t="s">
        <v>1370</v>
      </c>
      <c r="AT24" s="135" t="s">
        <v>1374</v>
      </c>
      <c r="AU24" s="135" t="s">
        <v>1378</v>
      </c>
      <c r="AV24" s="135" t="s">
        <v>1382</v>
      </c>
      <c r="AW24" s="145" t="s">
        <v>1386</v>
      </c>
    </row>
    <row r="25" spans="1:49" ht="60" customHeight="1" x14ac:dyDescent="0.35">
      <c r="A25" s="142" t="s">
        <v>3290</v>
      </c>
      <c r="B25" s="128" t="s">
        <v>3306</v>
      </c>
      <c r="C25" s="129" t="s">
        <v>3307</v>
      </c>
      <c r="D25" s="131" t="s">
        <v>3308</v>
      </c>
      <c r="E25" s="131" t="s">
        <v>3309</v>
      </c>
      <c r="F25" s="131" t="s">
        <v>3310</v>
      </c>
      <c r="G25" s="131" t="s">
        <v>3311</v>
      </c>
      <c r="H25" s="131" t="s">
        <v>3312</v>
      </c>
      <c r="I25" s="133" t="str">
        <f>IF(COUNTIF(J25:AW25,"&lt;&gt;")=0,"",SUMPRODUCT(((Recommendations[ImplStatus]="Implemented")+(Recommendations[ImplStatus]="Compensated"))*ISNUMBER(MATCH(Recommendations[Id],J25:AW25,0)))/COUNTIF(J25:AW25,"&lt;&gt;"))</f>
        <v/>
      </c>
      <c r="J25" s="135"/>
      <c r="K25" s="135"/>
      <c r="L25" s="135"/>
      <c r="M25" s="135"/>
      <c r="N25" s="135"/>
      <c r="O25" s="135"/>
      <c r="P25" s="135"/>
      <c r="Q25" s="135"/>
      <c r="R25" s="135"/>
      <c r="S25" s="135"/>
      <c r="T25" s="135"/>
      <c r="U25" s="135"/>
      <c r="V25" s="135"/>
      <c r="W25" s="135"/>
      <c r="X25" s="135"/>
      <c r="Y25" s="135"/>
      <c r="Z25" s="135"/>
      <c r="AA25" s="135"/>
      <c r="AB25" s="135"/>
      <c r="AC25" s="135"/>
      <c r="AD25" s="135"/>
      <c r="AE25" s="135"/>
      <c r="AF25" s="135"/>
      <c r="AG25" s="135"/>
      <c r="AH25" s="135"/>
      <c r="AI25" s="135"/>
      <c r="AJ25" s="135"/>
      <c r="AK25" s="135"/>
      <c r="AL25" s="135"/>
      <c r="AM25" s="135"/>
      <c r="AN25" s="135"/>
      <c r="AO25" s="135"/>
      <c r="AP25" s="135"/>
      <c r="AQ25" s="135"/>
      <c r="AR25" s="135"/>
      <c r="AS25" s="135"/>
      <c r="AT25" s="135"/>
      <c r="AU25" s="135"/>
      <c r="AV25" s="135"/>
      <c r="AW25" s="145"/>
    </row>
    <row r="26" spans="1:49" ht="60" customHeight="1" x14ac:dyDescent="0.35">
      <c r="A26" s="142" t="s">
        <v>3290</v>
      </c>
      <c r="B26" s="128" t="s">
        <v>3313</v>
      </c>
      <c r="C26" s="129" t="s">
        <v>3314</v>
      </c>
      <c r="D26" s="131" t="s">
        <v>3315</v>
      </c>
      <c r="E26" s="131" t="s">
        <v>3316</v>
      </c>
      <c r="F26" s="131" t="s">
        <v>3317</v>
      </c>
      <c r="G26" s="131" t="s">
        <v>3304</v>
      </c>
      <c r="H26" s="131" t="s">
        <v>3318</v>
      </c>
      <c r="I26" s="133">
        <f>IF(COUNTIF(J26:AW26,"&lt;&gt;")=0,"",SUMPRODUCT(((Recommendations[ImplStatus]="Implemented")+(Recommendations[ImplStatus]="Compensated"))*ISNUMBER(MATCH(Recommendations[Id],J26:AW26,0)))/COUNTIF(J26:AW26,"&lt;&gt;"))</f>
        <v>0</v>
      </c>
      <c r="J26" s="135" t="s">
        <v>195</v>
      </c>
      <c r="K26" s="135" t="s">
        <v>200</v>
      </c>
      <c r="L26" s="135" t="s">
        <v>380</v>
      </c>
      <c r="M26" s="135" t="s">
        <v>385</v>
      </c>
      <c r="N26" s="135" t="s">
        <v>983</v>
      </c>
      <c r="O26" s="135" t="s">
        <v>988</v>
      </c>
      <c r="P26" s="135" t="s">
        <v>991</v>
      </c>
      <c r="Q26" s="135" t="s">
        <v>994</v>
      </c>
      <c r="R26" s="135" t="s">
        <v>1015</v>
      </c>
      <c r="S26" s="135" t="s">
        <v>1032</v>
      </c>
      <c r="T26" s="135" t="s">
        <v>1037</v>
      </c>
      <c r="U26" s="135" t="s">
        <v>1065</v>
      </c>
      <c r="V26" s="135" t="s">
        <v>1109</v>
      </c>
      <c r="W26" s="135" t="s">
        <v>1437</v>
      </c>
      <c r="X26" s="135" t="s">
        <v>1797</v>
      </c>
      <c r="Y26" s="135"/>
      <c r="Z26" s="135"/>
      <c r="AA26" s="135"/>
      <c r="AB26" s="135"/>
      <c r="AC26" s="135"/>
      <c r="AD26" s="135"/>
      <c r="AE26" s="135"/>
      <c r="AF26" s="135"/>
      <c r="AG26" s="135"/>
      <c r="AH26" s="135"/>
      <c r="AI26" s="135"/>
      <c r="AJ26" s="135"/>
      <c r="AK26" s="135"/>
      <c r="AL26" s="135"/>
      <c r="AM26" s="135"/>
      <c r="AN26" s="135"/>
      <c r="AO26" s="135"/>
      <c r="AP26" s="135"/>
      <c r="AQ26" s="135"/>
      <c r="AR26" s="135"/>
      <c r="AS26" s="135"/>
      <c r="AT26" s="135"/>
      <c r="AU26" s="135"/>
      <c r="AV26" s="135"/>
      <c r="AW26" s="145"/>
    </row>
    <row r="27" spans="1:49" ht="60" customHeight="1" x14ac:dyDescent="0.35">
      <c r="A27" s="142" t="s">
        <v>3290</v>
      </c>
      <c r="B27" s="128" t="s">
        <v>3319</v>
      </c>
      <c r="C27" s="129" t="s">
        <v>3320</v>
      </c>
      <c r="D27" s="131" t="s">
        <v>3321</v>
      </c>
      <c r="E27" s="131" t="s">
        <v>3322</v>
      </c>
      <c r="F27" s="131" t="s">
        <v>3323</v>
      </c>
      <c r="G27" s="131" t="s">
        <v>3324</v>
      </c>
      <c r="H27" s="131" t="s">
        <v>3325</v>
      </c>
      <c r="I27" s="133" t="str">
        <f>IF(COUNTIF(J27:AW27,"&lt;&gt;")=0,"",SUMPRODUCT(((Recommendations[ImplStatus]="Implemented")+(Recommendations[ImplStatus]="Compensated"))*ISNUMBER(MATCH(Recommendations[Id],J27:AW27,0)))/COUNTIF(J27:AW27,"&lt;&gt;"))</f>
        <v/>
      </c>
      <c r="J27" s="135"/>
      <c r="K27" s="135"/>
      <c r="L27" s="135"/>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45"/>
    </row>
    <row r="28" spans="1:49" ht="60" customHeight="1" x14ac:dyDescent="0.35">
      <c r="A28" s="142" t="s">
        <v>3290</v>
      </c>
      <c r="B28" s="128" t="s">
        <v>3326</v>
      </c>
      <c r="C28" s="129" t="s">
        <v>3327</v>
      </c>
      <c r="D28" s="131" t="s">
        <v>3328</v>
      </c>
      <c r="E28" s="131" t="s">
        <v>3329</v>
      </c>
      <c r="F28" s="131" t="s">
        <v>3330</v>
      </c>
      <c r="G28" s="131" t="s">
        <v>3331</v>
      </c>
      <c r="H28" s="131" t="s">
        <v>3332</v>
      </c>
      <c r="I28" s="133" t="str">
        <f>IF(COUNTIF(J28:AW28,"&lt;&gt;")=0,"",SUMPRODUCT(((Recommendations[ImplStatus]="Implemented")+(Recommendations[ImplStatus]="Compensated"))*ISNUMBER(MATCH(Recommendations[Id],J28:AW28,0)))/COUNTIF(J28:AW28,"&lt;&gt;"))</f>
        <v/>
      </c>
      <c r="J28" s="135"/>
      <c r="K28" s="135"/>
      <c r="L28" s="135"/>
      <c r="M28" s="135"/>
      <c r="N28" s="135"/>
      <c r="O28" s="135"/>
      <c r="P28" s="135"/>
      <c r="Q28" s="135"/>
      <c r="R28" s="135"/>
      <c r="S28" s="135"/>
      <c r="T28" s="135"/>
      <c r="U28" s="135"/>
      <c r="V28" s="135"/>
      <c r="W28" s="135"/>
      <c r="X28" s="135"/>
      <c r="Y28" s="135"/>
      <c r="Z28" s="135"/>
      <c r="AA28" s="135"/>
      <c r="AB28" s="135"/>
      <c r="AC28" s="135"/>
      <c r="AD28" s="135"/>
      <c r="AE28" s="135"/>
      <c r="AF28" s="135"/>
      <c r="AG28" s="135"/>
      <c r="AH28" s="135"/>
      <c r="AI28" s="135"/>
      <c r="AJ28" s="135"/>
      <c r="AK28" s="135"/>
      <c r="AL28" s="135"/>
      <c r="AM28" s="135"/>
      <c r="AN28" s="135"/>
      <c r="AO28" s="135"/>
      <c r="AP28" s="135"/>
      <c r="AQ28" s="135"/>
      <c r="AR28" s="135"/>
      <c r="AS28" s="135"/>
      <c r="AT28" s="135"/>
      <c r="AU28" s="135"/>
      <c r="AV28" s="135"/>
      <c r="AW28" s="145"/>
    </row>
    <row r="29" spans="1:49" ht="60" customHeight="1" x14ac:dyDescent="0.35">
      <c r="A29" s="142" t="s">
        <v>3290</v>
      </c>
      <c r="B29" s="128" t="s">
        <v>3333</v>
      </c>
      <c r="C29" s="129" t="s">
        <v>3334</v>
      </c>
      <c r="D29" s="131" t="s">
        <v>3335</v>
      </c>
      <c r="E29" s="131" t="s">
        <v>3336</v>
      </c>
      <c r="F29" s="131" t="s">
        <v>3337</v>
      </c>
      <c r="G29" s="131" t="s">
        <v>3221</v>
      </c>
      <c r="H29" s="131" t="s">
        <v>3338</v>
      </c>
      <c r="I29" s="133">
        <f>IF(COUNTIF(J29:AW29,"&lt;&gt;")=0,"",SUMPRODUCT(((Recommendations[ImplStatus]="Implemented")+(Recommendations[ImplStatus]="Compensated"))*ISNUMBER(MATCH(Recommendations[Id],J29:AW29,0)))/COUNTIF(J29:AW29,"&lt;&gt;"))</f>
        <v>0</v>
      </c>
      <c r="J29" s="135" t="s">
        <v>76</v>
      </c>
      <c r="K29" s="135" t="s">
        <v>203</v>
      </c>
      <c r="L29" s="135" t="s">
        <v>208</v>
      </c>
      <c r="M29" s="135" t="s">
        <v>1040</v>
      </c>
      <c r="N29" s="135" t="s">
        <v>1060</v>
      </c>
      <c r="O29" s="135" t="s">
        <v>1802</v>
      </c>
      <c r="P29" s="135" t="s">
        <v>1807</v>
      </c>
      <c r="Q29" s="135" t="s">
        <v>1811</v>
      </c>
      <c r="R29" s="135" t="s">
        <v>1815</v>
      </c>
      <c r="S29" s="135" t="s">
        <v>1819</v>
      </c>
      <c r="T29" s="135" t="s">
        <v>1822</v>
      </c>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45"/>
    </row>
    <row r="30" spans="1:49" ht="60" customHeight="1" x14ac:dyDescent="0.35">
      <c r="A30" s="142" t="s">
        <v>3290</v>
      </c>
      <c r="B30" s="128" t="s">
        <v>3339</v>
      </c>
      <c r="C30" s="129" t="s">
        <v>3340</v>
      </c>
      <c r="D30" s="131" t="s">
        <v>3341</v>
      </c>
      <c r="E30" s="131" t="s">
        <v>3342</v>
      </c>
      <c r="F30" s="131" t="s">
        <v>3343</v>
      </c>
      <c r="G30" s="131" t="s">
        <v>3304</v>
      </c>
      <c r="H30" s="131" t="s">
        <v>3344</v>
      </c>
      <c r="I30" s="133">
        <f>IF(COUNTIF(J30:AW30,"&lt;&gt;")=0,"",SUMPRODUCT(((Recommendations[ImplStatus]="Implemented")+(Recommendations[ImplStatus]="Compensated"))*ISNUMBER(MATCH(Recommendations[Id],J30:AW30,0)))/COUNTIF(J30:AW30,"&lt;&gt;"))</f>
        <v>0</v>
      </c>
      <c r="J30" s="135" t="s">
        <v>56</v>
      </c>
      <c r="K30" s="135" t="s">
        <v>100</v>
      </c>
      <c r="L30" s="135" t="s">
        <v>105</v>
      </c>
      <c r="M30" s="135" t="s">
        <v>114</v>
      </c>
      <c r="N30" s="135" t="s">
        <v>118</v>
      </c>
      <c r="O30" s="135" t="s">
        <v>123</v>
      </c>
      <c r="P30" s="135" t="s">
        <v>390</v>
      </c>
      <c r="Q30" s="135" t="s">
        <v>395</v>
      </c>
      <c r="R30" s="135" t="s">
        <v>399</v>
      </c>
      <c r="S30" s="135" t="s">
        <v>404</v>
      </c>
      <c r="T30" s="135" t="s">
        <v>407</v>
      </c>
      <c r="U30" s="135" t="s">
        <v>467</v>
      </c>
      <c r="V30" s="135" t="s">
        <v>472</v>
      </c>
      <c r="W30" s="135" t="s">
        <v>476</v>
      </c>
      <c r="X30" s="135" t="s">
        <v>892</v>
      </c>
      <c r="Y30" s="135" t="s">
        <v>897</v>
      </c>
      <c r="Z30" s="135" t="s">
        <v>901</v>
      </c>
      <c r="AA30" s="135" t="s">
        <v>905</v>
      </c>
      <c r="AB30" s="135" t="s">
        <v>909</v>
      </c>
      <c r="AC30" s="135" t="s">
        <v>913</v>
      </c>
      <c r="AD30" s="135" t="s">
        <v>963</v>
      </c>
      <c r="AE30" s="135" t="s">
        <v>968</v>
      </c>
      <c r="AF30" s="135" t="s">
        <v>973</v>
      </c>
      <c r="AG30" s="135" t="s">
        <v>1442</v>
      </c>
      <c r="AH30" s="135" t="s">
        <v>1447</v>
      </c>
      <c r="AI30" s="135" t="s">
        <v>1451</v>
      </c>
      <c r="AJ30" s="135" t="s">
        <v>1455</v>
      </c>
      <c r="AK30" s="135" t="s">
        <v>1460</v>
      </c>
      <c r="AL30" s="135" t="s">
        <v>1463</v>
      </c>
      <c r="AM30" s="135" t="s">
        <v>1466</v>
      </c>
      <c r="AN30" s="135" t="s">
        <v>1470</v>
      </c>
      <c r="AO30" s="135" t="s">
        <v>1472</v>
      </c>
      <c r="AP30" s="135"/>
      <c r="AQ30" s="135"/>
      <c r="AR30" s="135"/>
      <c r="AS30" s="135"/>
      <c r="AT30" s="135"/>
      <c r="AU30" s="135"/>
      <c r="AV30" s="135"/>
      <c r="AW30" s="145"/>
    </row>
    <row r="31" spans="1:49" ht="60" customHeight="1" outlineLevel="1" x14ac:dyDescent="0.35">
      <c r="A31" s="141" t="s">
        <v>3345</v>
      </c>
      <c r="B31" s="127"/>
      <c r="C31" s="126" t="s">
        <v>3346</v>
      </c>
      <c r="D31" s="130"/>
      <c r="E31" s="130"/>
      <c r="F31" s="130"/>
      <c r="G31" s="130"/>
      <c r="H31" s="130"/>
      <c r="I31" s="132" t="str">
        <f>IF(COUNTIF(J31:AW31,"&lt;&gt;")=0,"",SUMPRODUCT(((Recommendations[ImplStatus]="Implemented")+(Recommendations[ImplStatus]="Compensated"))*ISNUMBER(MATCH(Recommendations[Id],J31:AW31,0)))/COUNTIF(J31:AW31,"&lt;&gt;"))</f>
        <v/>
      </c>
      <c r="J31" s="134"/>
      <c r="K31" s="134"/>
      <c r="L31" s="134"/>
      <c r="M31" s="134"/>
      <c r="N31" s="134"/>
      <c r="O31" s="134"/>
      <c r="P31" s="134"/>
      <c r="Q31" s="134"/>
      <c r="R31" s="134"/>
      <c r="S31" s="134"/>
      <c r="T31" s="134"/>
      <c r="U31" s="134"/>
      <c r="V31" s="134"/>
      <c r="W31" s="134"/>
      <c r="X31" s="134"/>
      <c r="Y31" s="134"/>
      <c r="Z31" s="134"/>
      <c r="AA31" s="134"/>
      <c r="AB31" s="134"/>
      <c r="AC31" s="134"/>
      <c r="AD31" s="134"/>
      <c r="AE31" s="134"/>
      <c r="AF31" s="134"/>
      <c r="AG31" s="134"/>
      <c r="AH31" s="134"/>
      <c r="AI31" s="134"/>
      <c r="AJ31" s="134"/>
      <c r="AK31" s="134"/>
      <c r="AL31" s="134"/>
      <c r="AM31" s="134"/>
      <c r="AN31" s="134"/>
      <c r="AO31" s="134"/>
      <c r="AP31" s="134"/>
      <c r="AQ31" s="134"/>
      <c r="AR31" s="134"/>
      <c r="AS31" s="134"/>
      <c r="AT31" s="134"/>
      <c r="AU31" s="134"/>
      <c r="AV31" s="134"/>
      <c r="AW31" s="144"/>
    </row>
    <row r="32" spans="1:49" ht="60" customHeight="1" x14ac:dyDescent="0.35">
      <c r="A32" s="142" t="s">
        <v>3345</v>
      </c>
      <c r="B32" s="128" t="s">
        <v>3347</v>
      </c>
      <c r="C32" s="129" t="s">
        <v>3348</v>
      </c>
      <c r="D32" s="131" t="s">
        <v>3349</v>
      </c>
      <c r="E32" s="131" t="s">
        <v>3350</v>
      </c>
      <c r="F32" s="131" t="s">
        <v>3351</v>
      </c>
      <c r="G32" s="131" t="s">
        <v>3352</v>
      </c>
      <c r="H32" s="131" t="s">
        <v>3353</v>
      </c>
      <c r="I32" s="133" t="str">
        <f>IF(COUNTIF(J32:AW32,"&lt;&gt;")=0,"",SUMPRODUCT(((Recommendations[ImplStatus]="Implemented")+(Recommendations[ImplStatus]="Compensated"))*ISNUMBER(MATCH(Recommendations[Id],J32:AW32,0)))/COUNTIF(J32:AW32,"&lt;&gt;"))</f>
        <v/>
      </c>
      <c r="J32" s="135"/>
      <c r="K32" s="135"/>
      <c r="L32" s="135"/>
      <c r="M32" s="135"/>
      <c r="N32" s="135"/>
      <c r="O32" s="135"/>
      <c r="P32" s="135"/>
      <c r="Q32" s="135"/>
      <c r="R32" s="135"/>
      <c r="S32" s="135"/>
      <c r="T32" s="135"/>
      <c r="U32" s="135"/>
      <c r="V32" s="135"/>
      <c r="W32" s="135"/>
      <c r="X32" s="135"/>
      <c r="Y32" s="135"/>
      <c r="Z32" s="135"/>
      <c r="AA32" s="135"/>
      <c r="AB32" s="135"/>
      <c r="AC32" s="135"/>
      <c r="AD32" s="135"/>
      <c r="AE32" s="135"/>
      <c r="AF32" s="135"/>
      <c r="AG32" s="135"/>
      <c r="AH32" s="135"/>
      <c r="AI32" s="135"/>
      <c r="AJ32" s="135"/>
      <c r="AK32" s="135"/>
      <c r="AL32" s="135"/>
      <c r="AM32" s="135"/>
      <c r="AN32" s="135"/>
      <c r="AO32" s="135"/>
      <c r="AP32" s="135"/>
      <c r="AQ32" s="135"/>
      <c r="AR32" s="135"/>
      <c r="AS32" s="135"/>
      <c r="AT32" s="135"/>
      <c r="AU32" s="135"/>
      <c r="AV32" s="135"/>
      <c r="AW32" s="145"/>
    </row>
    <row r="33" spans="1:49" ht="60" customHeight="1" x14ac:dyDescent="0.35">
      <c r="A33" s="142" t="s">
        <v>3345</v>
      </c>
      <c r="B33" s="128" t="s">
        <v>3354</v>
      </c>
      <c r="C33" s="129" t="s">
        <v>3355</v>
      </c>
      <c r="D33" s="131" t="s">
        <v>3356</v>
      </c>
      <c r="E33" s="131" t="s">
        <v>3357</v>
      </c>
      <c r="F33" s="131" t="s">
        <v>3358</v>
      </c>
      <c r="G33" s="131" t="s">
        <v>3359</v>
      </c>
      <c r="H33" s="131" t="s">
        <v>3360</v>
      </c>
      <c r="I33" s="133">
        <f>IF(COUNTIF(J33:AW33,"&lt;&gt;")=0,"",SUMPRODUCT(((Recommendations[ImplStatus]="Implemented")+(Recommendations[ImplStatus]="Compensated"))*ISNUMBER(MATCH(Recommendations[Id],J33:AW33,0)))/COUNTIF(J33:AW33,"&lt;&gt;"))</f>
        <v>0</v>
      </c>
      <c r="J33" s="135" t="s">
        <v>30</v>
      </c>
      <c r="K33" s="135" t="s">
        <v>40</v>
      </c>
      <c r="L33" s="135" t="s">
        <v>167</v>
      </c>
      <c r="M33" s="135" t="s">
        <v>172</v>
      </c>
      <c r="N33" s="135" t="s">
        <v>182</v>
      </c>
      <c r="O33" s="135" t="s">
        <v>218</v>
      </c>
      <c r="P33" s="135" t="s">
        <v>312</v>
      </c>
      <c r="Q33" s="135" t="s">
        <v>542</v>
      </c>
      <c r="R33" s="135" t="s">
        <v>597</v>
      </c>
      <c r="S33" s="135" t="s">
        <v>602</v>
      </c>
      <c r="T33" s="135" t="s">
        <v>606</v>
      </c>
      <c r="U33" s="135" t="s">
        <v>611</v>
      </c>
      <c r="V33" s="135" t="s">
        <v>616</v>
      </c>
      <c r="W33" s="135" t="s">
        <v>685</v>
      </c>
      <c r="X33" s="135" t="s">
        <v>690</v>
      </c>
      <c r="Y33" s="135" t="s">
        <v>695</v>
      </c>
      <c r="Z33" s="135" t="s">
        <v>700</v>
      </c>
      <c r="AA33" s="135" t="s">
        <v>710</v>
      </c>
      <c r="AB33" s="135" t="s">
        <v>715</v>
      </c>
      <c r="AC33" s="135" t="s">
        <v>720</v>
      </c>
      <c r="AD33" s="135" t="s">
        <v>725</v>
      </c>
      <c r="AE33" s="135" t="s">
        <v>730</v>
      </c>
      <c r="AF33" s="135" t="s">
        <v>735</v>
      </c>
      <c r="AG33" s="135" t="s">
        <v>750</v>
      </c>
      <c r="AH33" s="135" t="s">
        <v>755</v>
      </c>
      <c r="AI33" s="135" t="s">
        <v>805</v>
      </c>
      <c r="AJ33" s="135" t="s">
        <v>810</v>
      </c>
      <c r="AK33" s="135" t="s">
        <v>815</v>
      </c>
      <c r="AL33" s="135" t="s">
        <v>840</v>
      </c>
      <c r="AM33" s="135" t="s">
        <v>845</v>
      </c>
      <c r="AN33" s="135" t="s">
        <v>917</v>
      </c>
      <c r="AO33" s="135" t="s">
        <v>921</v>
      </c>
      <c r="AP33" s="135" t="s">
        <v>924</v>
      </c>
      <c r="AQ33" s="135" t="s">
        <v>1005</v>
      </c>
      <c r="AR33" s="135" t="s">
        <v>1045</v>
      </c>
      <c r="AS33" s="135" t="s">
        <v>1050</v>
      </c>
      <c r="AT33" s="135" t="s">
        <v>1055</v>
      </c>
      <c r="AU33" s="135" t="s">
        <v>1100</v>
      </c>
      <c r="AV33" s="135" t="s">
        <v>1105</v>
      </c>
      <c r="AW33" s="145" t="s">
        <v>1223</v>
      </c>
    </row>
    <row r="34" spans="1:49" ht="60" customHeight="1" x14ac:dyDescent="0.35">
      <c r="A34" s="142" t="s">
        <v>3345</v>
      </c>
      <c r="B34" s="128" t="s">
        <v>3361</v>
      </c>
      <c r="C34" s="129" t="s">
        <v>3362</v>
      </c>
      <c r="D34" s="131" t="s">
        <v>3363</v>
      </c>
      <c r="E34" s="131" t="s">
        <v>3364</v>
      </c>
      <c r="F34" s="131" t="s">
        <v>3365</v>
      </c>
      <c r="G34" s="131" t="s">
        <v>3366</v>
      </c>
      <c r="H34" s="131" t="s">
        <v>3367</v>
      </c>
      <c r="I34" s="133" t="str">
        <f>IF(COUNTIF(J34:AW34,"&lt;&gt;")=0,"",SUMPRODUCT(((Recommendations[ImplStatus]="Implemented")+(Recommendations[ImplStatus]="Compensated"))*ISNUMBER(MATCH(Recommendations[Id],J34:AW34,0)))/COUNTIF(J34:AW34,"&lt;&gt;"))</f>
        <v/>
      </c>
      <c r="J34" s="135"/>
      <c r="K34" s="135"/>
      <c r="L34" s="135"/>
      <c r="M34" s="135"/>
      <c r="N34" s="135"/>
      <c r="O34" s="135"/>
      <c r="P34" s="135"/>
      <c r="Q34" s="135"/>
      <c r="R34" s="135"/>
      <c r="S34" s="135"/>
      <c r="T34" s="135"/>
      <c r="U34" s="135"/>
      <c r="V34" s="135"/>
      <c r="W34" s="135"/>
      <c r="X34" s="135"/>
      <c r="Y34" s="135"/>
      <c r="Z34" s="135"/>
      <c r="AA34" s="135"/>
      <c r="AB34" s="135"/>
      <c r="AC34" s="135"/>
      <c r="AD34" s="135"/>
      <c r="AE34" s="135"/>
      <c r="AF34" s="135"/>
      <c r="AG34" s="135"/>
      <c r="AH34" s="135"/>
      <c r="AI34" s="135"/>
      <c r="AJ34" s="135"/>
      <c r="AK34" s="135"/>
      <c r="AL34" s="135"/>
      <c r="AM34" s="135"/>
      <c r="AN34" s="135"/>
      <c r="AO34" s="135"/>
      <c r="AP34" s="135"/>
      <c r="AQ34" s="135"/>
      <c r="AR34" s="135"/>
      <c r="AS34" s="135"/>
      <c r="AT34" s="135"/>
      <c r="AU34" s="135"/>
      <c r="AV34" s="135"/>
      <c r="AW34" s="145"/>
    </row>
    <row r="35" spans="1:49" ht="60" customHeight="1" x14ac:dyDescent="0.35">
      <c r="A35" s="142" t="s">
        <v>3345</v>
      </c>
      <c r="B35" s="128" t="s">
        <v>3368</v>
      </c>
      <c r="C35" s="129" t="s">
        <v>3369</v>
      </c>
      <c r="D35" s="131" t="s">
        <v>3370</v>
      </c>
      <c r="E35" s="131" t="s">
        <v>3371</v>
      </c>
      <c r="F35" s="131" t="s">
        <v>3372</v>
      </c>
      <c r="G35" s="131" t="s">
        <v>3373</v>
      </c>
      <c r="H35" s="131" t="s">
        <v>3374</v>
      </c>
      <c r="I35" s="133" t="str">
        <f>IF(COUNTIF(J35:AW35,"&lt;&gt;")=0,"",SUMPRODUCT(((Recommendations[ImplStatus]="Implemented")+(Recommendations[ImplStatus]="Compensated"))*ISNUMBER(MATCH(Recommendations[Id],J35:AW35,0)))/COUNTIF(J35:AW35,"&lt;&gt;"))</f>
        <v/>
      </c>
      <c r="J35" s="135"/>
      <c r="K35" s="135"/>
      <c r="L35" s="135"/>
      <c r="M35" s="135"/>
      <c r="N35" s="135"/>
      <c r="O35" s="135"/>
      <c r="P35" s="135"/>
      <c r="Q35" s="135"/>
      <c r="R35" s="135"/>
      <c r="S35" s="135"/>
      <c r="T35" s="135"/>
      <c r="U35" s="135"/>
      <c r="V35" s="135"/>
      <c r="W35" s="135"/>
      <c r="X35" s="135"/>
      <c r="Y35" s="135"/>
      <c r="Z35" s="135"/>
      <c r="AA35" s="135"/>
      <c r="AB35" s="135"/>
      <c r="AC35" s="135"/>
      <c r="AD35" s="135"/>
      <c r="AE35" s="135"/>
      <c r="AF35" s="135"/>
      <c r="AG35" s="135"/>
      <c r="AH35" s="135"/>
      <c r="AI35" s="135"/>
      <c r="AJ35" s="135"/>
      <c r="AK35" s="135"/>
      <c r="AL35" s="135"/>
      <c r="AM35" s="135"/>
      <c r="AN35" s="135"/>
      <c r="AO35" s="135"/>
      <c r="AP35" s="135"/>
      <c r="AQ35" s="135"/>
      <c r="AR35" s="135"/>
      <c r="AS35" s="135"/>
      <c r="AT35" s="135"/>
      <c r="AU35" s="135"/>
      <c r="AV35" s="135"/>
      <c r="AW35" s="145"/>
    </row>
    <row r="36" spans="1:49" ht="60" customHeight="1" x14ac:dyDescent="0.35">
      <c r="A36" s="142" t="s">
        <v>3345</v>
      </c>
      <c r="B36" s="128" t="s">
        <v>3375</v>
      </c>
      <c r="C36" s="129" t="s">
        <v>3376</v>
      </c>
      <c r="D36" s="131" t="s">
        <v>3377</v>
      </c>
      <c r="E36" s="131" t="s">
        <v>3378</v>
      </c>
      <c r="F36" s="131" t="s">
        <v>3379</v>
      </c>
      <c r="G36" s="131" t="s">
        <v>3380</v>
      </c>
      <c r="H36" s="131" t="s">
        <v>3381</v>
      </c>
      <c r="I36" s="133" t="str">
        <f>IF(COUNTIF(J36:AW36,"&lt;&gt;")=0,"",SUMPRODUCT(((Recommendations[ImplStatus]="Implemented")+(Recommendations[ImplStatus]="Compensated"))*ISNUMBER(MATCH(Recommendations[Id],J36:AW36,0)))/COUNTIF(J36:AW36,"&lt;&gt;"))</f>
        <v/>
      </c>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5"/>
      <c r="AL36" s="135"/>
      <c r="AM36" s="135"/>
      <c r="AN36" s="135"/>
      <c r="AO36" s="135"/>
      <c r="AP36" s="135"/>
      <c r="AQ36" s="135"/>
      <c r="AR36" s="135"/>
      <c r="AS36" s="135"/>
      <c r="AT36" s="135"/>
      <c r="AU36" s="135"/>
      <c r="AV36" s="135"/>
      <c r="AW36" s="145"/>
    </row>
    <row r="37" spans="1:49" ht="60" customHeight="1" x14ac:dyDescent="0.35">
      <c r="A37" s="142" t="s">
        <v>3345</v>
      </c>
      <c r="B37" s="128" t="s">
        <v>3382</v>
      </c>
      <c r="C37" s="129" t="s">
        <v>3383</v>
      </c>
      <c r="D37" s="131" t="s">
        <v>3384</v>
      </c>
      <c r="E37" s="131" t="s">
        <v>3385</v>
      </c>
      <c r="F37" s="131" t="s">
        <v>3386</v>
      </c>
      <c r="G37" s="131" t="s">
        <v>3387</v>
      </c>
      <c r="H37" s="131" t="s">
        <v>3388</v>
      </c>
      <c r="I37" s="133">
        <f>IF(COUNTIF(J37:AW37,"&lt;&gt;")=0,"",SUMPRODUCT(((Recommendations[ImplStatus]="Implemented")+(Recommendations[ImplStatus]="Compensated"))*ISNUMBER(MATCH(Recommendations[Id],J37:AW37,0)))/COUNTIF(J37:AW37,"&lt;&gt;"))</f>
        <v>0</v>
      </c>
      <c r="J37" s="135" t="s">
        <v>137</v>
      </c>
      <c r="K37" s="135" t="s">
        <v>215</v>
      </c>
      <c r="L37" s="135" t="s">
        <v>621</v>
      </c>
      <c r="M37" s="135" t="s">
        <v>626</v>
      </c>
      <c r="N37" s="135" t="s">
        <v>631</v>
      </c>
      <c r="O37" s="135" t="s">
        <v>635</v>
      </c>
      <c r="P37" s="135" t="s">
        <v>640</v>
      </c>
      <c r="Q37" s="135" t="s">
        <v>645</v>
      </c>
      <c r="R37" s="135" t="s">
        <v>650</v>
      </c>
      <c r="S37" s="135" t="s">
        <v>665</v>
      </c>
      <c r="T37" s="135" t="s">
        <v>670</v>
      </c>
      <c r="U37" s="135" t="s">
        <v>675</v>
      </c>
      <c r="V37" s="135" t="s">
        <v>680</v>
      </c>
      <c r="W37" s="135" t="s">
        <v>705</v>
      </c>
      <c r="X37" s="135" t="s">
        <v>760</v>
      </c>
      <c r="Y37" s="135" t="s">
        <v>765</v>
      </c>
      <c r="Z37" s="135" t="s">
        <v>770</v>
      </c>
      <c r="AA37" s="135" t="s">
        <v>775</v>
      </c>
      <c r="AB37" s="135" t="s">
        <v>780</v>
      </c>
      <c r="AC37" s="135" t="s">
        <v>785</v>
      </c>
      <c r="AD37" s="135" t="s">
        <v>790</v>
      </c>
      <c r="AE37" s="135" t="s">
        <v>795</v>
      </c>
      <c r="AF37" s="135" t="s">
        <v>800</v>
      </c>
      <c r="AG37" s="135" t="s">
        <v>820</v>
      </c>
      <c r="AH37" s="135" t="s">
        <v>825</v>
      </c>
      <c r="AI37" s="135" t="s">
        <v>1502</v>
      </c>
      <c r="AJ37" s="135" t="s">
        <v>1507</v>
      </c>
      <c r="AK37" s="135" t="s">
        <v>1512</v>
      </c>
      <c r="AL37" s="135" t="s">
        <v>1517</v>
      </c>
      <c r="AM37" s="135" t="s">
        <v>1522</v>
      </c>
      <c r="AN37" s="135" t="s">
        <v>1541</v>
      </c>
      <c r="AO37" s="135" t="s">
        <v>1729</v>
      </c>
      <c r="AP37" s="135" t="s">
        <v>1734</v>
      </c>
      <c r="AQ37" s="135" t="s">
        <v>1738</v>
      </c>
      <c r="AR37" s="135" t="s">
        <v>1742</v>
      </c>
      <c r="AS37" s="135" t="s">
        <v>1747</v>
      </c>
      <c r="AT37" s="135" t="s">
        <v>1751</v>
      </c>
      <c r="AU37" s="135" t="s">
        <v>1865</v>
      </c>
      <c r="AV37" s="135" t="s">
        <v>1870</v>
      </c>
      <c r="AW37" s="145" t="s">
        <v>1874</v>
      </c>
    </row>
    <row r="38" spans="1:49" ht="60" customHeight="1" x14ac:dyDescent="0.35">
      <c r="A38" s="142" t="s">
        <v>3345</v>
      </c>
      <c r="B38" s="128" t="s">
        <v>3389</v>
      </c>
      <c r="C38" s="129" t="s">
        <v>3390</v>
      </c>
      <c r="D38" s="131" t="s">
        <v>3391</v>
      </c>
      <c r="E38" s="131" t="s">
        <v>3392</v>
      </c>
      <c r="F38" s="131" t="s">
        <v>3393</v>
      </c>
      <c r="G38" s="131" t="s">
        <v>3394</v>
      </c>
      <c r="H38" s="131" t="s">
        <v>3395</v>
      </c>
      <c r="I38" s="133">
        <f>IF(COUNTIF(J38:AW38,"&lt;&gt;")=0,"",SUMPRODUCT(((Recommendations[ImplStatus]="Implemented")+(Recommendations[ImplStatus]="Compensated"))*ISNUMBER(MATCH(Recommendations[Id],J38:AW38,0)))/COUNTIF(J38:AW38,"&lt;&gt;"))</f>
        <v>0</v>
      </c>
      <c r="J38" s="135" t="s">
        <v>1480</v>
      </c>
      <c r="K38" s="135" t="s">
        <v>1485</v>
      </c>
      <c r="L38" s="135"/>
      <c r="M38" s="135"/>
      <c r="N38" s="135"/>
      <c r="O38" s="135"/>
      <c r="P38" s="135"/>
      <c r="Q38" s="135"/>
      <c r="R38" s="135"/>
      <c r="S38" s="135"/>
      <c r="T38" s="135"/>
      <c r="U38" s="135"/>
      <c r="V38" s="135"/>
      <c r="W38" s="135"/>
      <c r="X38" s="135"/>
      <c r="Y38" s="135"/>
      <c r="Z38" s="135"/>
      <c r="AA38" s="135"/>
      <c r="AB38" s="135"/>
      <c r="AC38" s="135"/>
      <c r="AD38" s="135"/>
      <c r="AE38" s="135"/>
      <c r="AF38" s="135"/>
      <c r="AG38" s="135"/>
      <c r="AH38" s="135"/>
      <c r="AI38" s="135"/>
      <c r="AJ38" s="135"/>
      <c r="AK38" s="135"/>
      <c r="AL38" s="135"/>
      <c r="AM38" s="135"/>
      <c r="AN38" s="135"/>
      <c r="AO38" s="135"/>
      <c r="AP38" s="135"/>
      <c r="AQ38" s="135"/>
      <c r="AR38" s="135"/>
      <c r="AS38" s="135"/>
      <c r="AT38" s="135"/>
      <c r="AU38" s="135"/>
      <c r="AV38" s="135"/>
      <c r="AW38" s="145"/>
    </row>
    <row r="39" spans="1:49" ht="60" customHeight="1" x14ac:dyDescent="0.35">
      <c r="A39" s="142" t="s">
        <v>3345</v>
      </c>
      <c r="B39" s="128" t="s">
        <v>3396</v>
      </c>
      <c r="C39" s="129" t="s">
        <v>3397</v>
      </c>
      <c r="D39" s="131" t="s">
        <v>3398</v>
      </c>
      <c r="E39" s="131" t="s">
        <v>3399</v>
      </c>
      <c r="F39" s="131" t="s">
        <v>3400</v>
      </c>
      <c r="G39" s="131" t="s">
        <v>3401</v>
      </c>
      <c r="H39" s="131" t="s">
        <v>3402</v>
      </c>
      <c r="I39" s="133" t="str">
        <f>IF(COUNTIF(J39:AW39,"&lt;&gt;")=0,"",SUMPRODUCT(((Recommendations[ImplStatus]="Implemented")+(Recommendations[ImplStatus]="Compensated"))*ISNUMBER(MATCH(Recommendations[Id],J39:AW39,0)))/COUNTIF(J39:AW39,"&lt;&gt;"))</f>
        <v/>
      </c>
      <c r="J39" s="135"/>
      <c r="K39" s="135"/>
      <c r="L39" s="135"/>
      <c r="M39" s="135"/>
      <c r="N39" s="135"/>
      <c r="O39" s="135"/>
      <c r="P39" s="135"/>
      <c r="Q39" s="135"/>
      <c r="R39" s="135"/>
      <c r="S39" s="135"/>
      <c r="T39" s="135"/>
      <c r="U39" s="135"/>
      <c r="V39" s="135"/>
      <c r="W39" s="135"/>
      <c r="X39" s="135"/>
      <c r="Y39" s="135"/>
      <c r="Z39" s="135"/>
      <c r="AA39" s="135"/>
      <c r="AB39" s="135"/>
      <c r="AC39" s="135"/>
      <c r="AD39" s="135"/>
      <c r="AE39" s="135"/>
      <c r="AF39" s="135"/>
      <c r="AG39" s="135"/>
      <c r="AH39" s="135"/>
      <c r="AI39" s="135"/>
      <c r="AJ39" s="135"/>
      <c r="AK39" s="135"/>
      <c r="AL39" s="135"/>
      <c r="AM39" s="135"/>
      <c r="AN39" s="135"/>
      <c r="AO39" s="135"/>
      <c r="AP39" s="135"/>
      <c r="AQ39" s="135"/>
      <c r="AR39" s="135"/>
      <c r="AS39" s="135"/>
      <c r="AT39" s="135"/>
      <c r="AU39" s="135"/>
      <c r="AV39" s="135"/>
      <c r="AW39" s="145"/>
    </row>
    <row r="40" spans="1:49" ht="60" customHeight="1" x14ac:dyDescent="0.35">
      <c r="A40" s="142" t="s">
        <v>3345</v>
      </c>
      <c r="B40" s="128" t="s">
        <v>3403</v>
      </c>
      <c r="C40" s="129" t="s">
        <v>3404</v>
      </c>
      <c r="D40" s="131" t="s">
        <v>3405</v>
      </c>
      <c r="E40" s="131" t="s">
        <v>3406</v>
      </c>
      <c r="F40" s="131" t="s">
        <v>3407</v>
      </c>
      <c r="G40" s="131" t="s">
        <v>3408</v>
      </c>
      <c r="H40" s="131" t="s">
        <v>3409</v>
      </c>
      <c r="I40" s="133" t="str">
        <f>IF(COUNTIF(J40:AW40,"&lt;&gt;")=0,"",SUMPRODUCT(((Recommendations[ImplStatus]="Implemented")+(Recommendations[ImplStatus]="Compensated"))*ISNUMBER(MATCH(Recommendations[Id],J40:AW40,0)))/COUNTIF(J40:AW40,"&lt;&gt;"))</f>
        <v/>
      </c>
      <c r="J40" s="135"/>
      <c r="K40" s="135"/>
      <c r="L40" s="135"/>
      <c r="M40" s="135"/>
      <c r="N40" s="135"/>
      <c r="O40" s="135"/>
      <c r="P40" s="135"/>
      <c r="Q40" s="135"/>
      <c r="R40" s="135"/>
      <c r="S40" s="135"/>
      <c r="T40" s="135"/>
      <c r="U40" s="135"/>
      <c r="V40" s="135"/>
      <c r="W40" s="135"/>
      <c r="X40" s="135"/>
      <c r="Y40" s="135"/>
      <c r="Z40" s="135"/>
      <c r="AA40" s="135"/>
      <c r="AB40" s="135"/>
      <c r="AC40" s="135"/>
      <c r="AD40" s="135"/>
      <c r="AE40" s="135"/>
      <c r="AF40" s="135"/>
      <c r="AG40" s="135"/>
      <c r="AH40" s="135"/>
      <c r="AI40" s="135"/>
      <c r="AJ40" s="135"/>
      <c r="AK40" s="135"/>
      <c r="AL40" s="135"/>
      <c r="AM40" s="135"/>
      <c r="AN40" s="135"/>
      <c r="AO40" s="135"/>
      <c r="AP40" s="135"/>
      <c r="AQ40" s="135"/>
      <c r="AR40" s="135"/>
      <c r="AS40" s="135"/>
      <c r="AT40" s="135"/>
      <c r="AU40" s="135"/>
      <c r="AV40" s="135"/>
      <c r="AW40" s="145"/>
    </row>
    <row r="41" spans="1:49" ht="60" customHeight="1" x14ac:dyDescent="0.35">
      <c r="A41" s="142" t="s">
        <v>3345</v>
      </c>
      <c r="B41" s="128" t="s">
        <v>3410</v>
      </c>
      <c r="C41" s="129" t="s">
        <v>3411</v>
      </c>
      <c r="D41" s="131" t="s">
        <v>3412</v>
      </c>
      <c r="E41" s="131" t="s">
        <v>3413</v>
      </c>
      <c r="F41" s="131" t="s">
        <v>3414</v>
      </c>
      <c r="G41" s="131" t="s">
        <v>3352</v>
      </c>
      <c r="H41" s="131" t="s">
        <v>3415</v>
      </c>
      <c r="I41" s="133" t="str">
        <f>IF(COUNTIF(J41:AW41,"&lt;&gt;")=0,"",SUMPRODUCT(((Recommendations[ImplStatus]="Implemented")+(Recommendations[ImplStatus]="Compensated"))*ISNUMBER(MATCH(Recommendations[Id],J41:AW41,0)))/COUNTIF(J41:AW41,"&lt;&gt;"))</f>
        <v/>
      </c>
      <c r="J41" s="135"/>
      <c r="K41" s="135"/>
      <c r="L41" s="135"/>
      <c r="M41" s="135"/>
      <c r="N41" s="135"/>
      <c r="O41" s="135"/>
      <c r="P41" s="135"/>
      <c r="Q41" s="135"/>
      <c r="R41" s="135"/>
      <c r="S41" s="135"/>
      <c r="T41" s="135"/>
      <c r="U41" s="135"/>
      <c r="V41" s="135"/>
      <c r="W41" s="135"/>
      <c r="X41" s="135"/>
      <c r="Y41" s="135"/>
      <c r="Z41" s="135"/>
      <c r="AA41" s="135"/>
      <c r="AB41" s="135"/>
      <c r="AC41" s="135"/>
      <c r="AD41" s="135"/>
      <c r="AE41" s="135"/>
      <c r="AF41" s="135"/>
      <c r="AG41" s="135"/>
      <c r="AH41" s="135"/>
      <c r="AI41" s="135"/>
      <c r="AJ41" s="135"/>
      <c r="AK41" s="135"/>
      <c r="AL41" s="135"/>
      <c r="AM41" s="135"/>
      <c r="AN41" s="135"/>
      <c r="AO41" s="135"/>
      <c r="AP41" s="135"/>
      <c r="AQ41" s="135"/>
      <c r="AR41" s="135"/>
      <c r="AS41" s="135"/>
      <c r="AT41" s="135"/>
      <c r="AU41" s="135"/>
      <c r="AV41" s="135"/>
      <c r="AW41" s="145"/>
    </row>
    <row r="42" spans="1:49" ht="60" customHeight="1" outlineLevel="1" x14ac:dyDescent="0.35">
      <c r="A42" s="141" t="s">
        <v>3416</v>
      </c>
      <c r="B42" s="127"/>
      <c r="C42" s="126" t="s">
        <v>3417</v>
      </c>
      <c r="D42" s="130"/>
      <c r="E42" s="130"/>
      <c r="F42" s="130"/>
      <c r="G42" s="130"/>
      <c r="H42" s="130"/>
      <c r="I42" s="132" t="str">
        <f>IF(COUNTIF(J42:AW42,"&lt;&gt;")=0,"",SUMPRODUCT(((Recommendations[ImplStatus]="Implemented")+(Recommendations[ImplStatus]="Compensated"))*ISNUMBER(MATCH(Recommendations[Id],J42:AW42,0)))/COUNTIF(J42:AW42,"&lt;&gt;"))</f>
        <v/>
      </c>
      <c r="J42" s="134"/>
      <c r="K42" s="134"/>
      <c r="L42" s="134"/>
      <c r="M42" s="134"/>
      <c r="N42" s="134"/>
      <c r="O42" s="134"/>
      <c r="P42" s="134"/>
      <c r="Q42" s="134"/>
      <c r="R42" s="134"/>
      <c r="S42" s="134"/>
      <c r="T42" s="134"/>
      <c r="U42" s="134"/>
      <c r="V42" s="134"/>
      <c r="W42" s="134"/>
      <c r="X42" s="134"/>
      <c r="Y42" s="134"/>
      <c r="Z42" s="134"/>
      <c r="AA42" s="134"/>
      <c r="AB42" s="134"/>
      <c r="AC42" s="134"/>
      <c r="AD42" s="134"/>
      <c r="AE42" s="134"/>
      <c r="AF42" s="134"/>
      <c r="AG42" s="134"/>
      <c r="AH42" s="134"/>
      <c r="AI42" s="134"/>
      <c r="AJ42" s="134"/>
      <c r="AK42" s="134"/>
      <c r="AL42" s="134"/>
      <c r="AM42" s="134"/>
      <c r="AN42" s="134"/>
      <c r="AO42" s="134"/>
      <c r="AP42" s="134"/>
      <c r="AQ42" s="134"/>
      <c r="AR42" s="134"/>
      <c r="AS42" s="134"/>
      <c r="AT42" s="134"/>
      <c r="AU42" s="134"/>
      <c r="AV42" s="134"/>
      <c r="AW42" s="144"/>
    </row>
    <row r="43" spans="1:49" ht="60" customHeight="1" x14ac:dyDescent="0.35">
      <c r="A43" s="142" t="s">
        <v>3416</v>
      </c>
      <c r="B43" s="128" t="s">
        <v>3418</v>
      </c>
      <c r="C43" s="129" t="s">
        <v>3419</v>
      </c>
      <c r="D43" s="131" t="s">
        <v>3420</v>
      </c>
      <c r="E43" s="131" t="s">
        <v>3421</v>
      </c>
      <c r="F43" s="131" t="s">
        <v>3422</v>
      </c>
      <c r="G43" s="131" t="s">
        <v>3423</v>
      </c>
      <c r="H43" s="131" t="s">
        <v>3424</v>
      </c>
      <c r="I43" s="133">
        <f>IF(COUNTIF(J43:AW43,"&lt;&gt;")=0,"",SUMPRODUCT(((Recommendations[ImplStatus]="Implemented")+(Recommendations[ImplStatus]="Compensated"))*ISNUMBER(MATCH(Recommendations[Id],J43:AW43,0)))/COUNTIF(J43:AW43,"&lt;&gt;"))</f>
        <v>0</v>
      </c>
      <c r="J43" s="135" t="s">
        <v>14</v>
      </c>
      <c r="K43" s="135" t="s">
        <v>147</v>
      </c>
      <c r="L43" s="135" t="s">
        <v>317</v>
      </c>
      <c r="M43" s="135" t="s">
        <v>830</v>
      </c>
      <c r="N43" s="135" t="s">
        <v>855</v>
      </c>
      <c r="O43" s="135" t="s">
        <v>860</v>
      </c>
      <c r="P43" s="135" t="s">
        <v>865</v>
      </c>
      <c r="Q43" s="135" t="s">
        <v>1490</v>
      </c>
      <c r="R43" s="135" t="s">
        <v>1495</v>
      </c>
      <c r="S43" s="135" t="s">
        <v>1499</v>
      </c>
      <c r="T43" s="135" t="s">
        <v>1769</v>
      </c>
      <c r="U43" s="135"/>
      <c r="V43" s="135"/>
      <c r="W43" s="135"/>
      <c r="X43" s="135"/>
      <c r="Y43" s="135"/>
      <c r="Z43" s="135"/>
      <c r="AA43" s="135"/>
      <c r="AB43" s="135"/>
      <c r="AC43" s="135"/>
      <c r="AD43" s="135"/>
      <c r="AE43" s="135"/>
      <c r="AF43" s="135"/>
      <c r="AG43" s="135"/>
      <c r="AH43" s="135"/>
      <c r="AI43" s="135"/>
      <c r="AJ43" s="135"/>
      <c r="AK43" s="135"/>
      <c r="AL43" s="135"/>
      <c r="AM43" s="135"/>
      <c r="AN43" s="135"/>
      <c r="AO43" s="135"/>
      <c r="AP43" s="135"/>
      <c r="AQ43" s="135"/>
      <c r="AR43" s="135"/>
      <c r="AS43" s="135"/>
      <c r="AT43" s="135"/>
      <c r="AU43" s="135"/>
      <c r="AV43" s="135"/>
      <c r="AW43" s="145"/>
    </row>
    <row r="44" spans="1:49" ht="60" customHeight="1" x14ac:dyDescent="0.35">
      <c r="A44" s="142" t="s">
        <v>3416</v>
      </c>
      <c r="B44" s="128" t="s">
        <v>3425</v>
      </c>
      <c r="C44" s="129" t="s">
        <v>3426</v>
      </c>
      <c r="D44" s="131" t="s">
        <v>3427</v>
      </c>
      <c r="E44" s="131" t="s">
        <v>3428</v>
      </c>
      <c r="F44" s="131" t="s">
        <v>3429</v>
      </c>
      <c r="G44" s="131" t="s">
        <v>3430</v>
      </c>
      <c r="H44" s="131" t="s">
        <v>3431</v>
      </c>
      <c r="I44" s="133" t="str">
        <f>IF(COUNTIF(J44:AW44,"&lt;&gt;")=0,"",SUMPRODUCT(((Recommendations[ImplStatus]="Implemented")+(Recommendations[ImplStatus]="Compensated"))*ISNUMBER(MATCH(Recommendations[Id],J44:AW44,0)))/COUNTIF(J44:AW44,"&lt;&gt;"))</f>
        <v/>
      </c>
      <c r="J44" s="135"/>
      <c r="K44" s="135"/>
      <c r="L44" s="135"/>
      <c r="M44" s="135"/>
      <c r="N44" s="135"/>
      <c r="O44" s="135"/>
      <c r="P44" s="135"/>
      <c r="Q44" s="135"/>
      <c r="R44" s="135"/>
      <c r="S44" s="135"/>
      <c r="T44" s="135"/>
      <c r="U44" s="135"/>
      <c r="V44" s="135"/>
      <c r="W44" s="135"/>
      <c r="X44" s="135"/>
      <c r="Y44" s="135"/>
      <c r="Z44" s="135"/>
      <c r="AA44" s="135"/>
      <c r="AB44" s="135"/>
      <c r="AC44" s="135"/>
      <c r="AD44" s="135"/>
      <c r="AE44" s="135"/>
      <c r="AF44" s="135"/>
      <c r="AG44" s="135"/>
      <c r="AH44" s="135"/>
      <c r="AI44" s="135"/>
      <c r="AJ44" s="135"/>
      <c r="AK44" s="135"/>
      <c r="AL44" s="135"/>
      <c r="AM44" s="135"/>
      <c r="AN44" s="135"/>
      <c r="AO44" s="135"/>
      <c r="AP44" s="135"/>
      <c r="AQ44" s="135"/>
      <c r="AR44" s="135"/>
      <c r="AS44" s="135"/>
      <c r="AT44" s="135"/>
      <c r="AU44" s="135"/>
      <c r="AV44" s="135"/>
      <c r="AW44" s="145"/>
    </row>
    <row r="45" spans="1:49" ht="60" customHeight="1" x14ac:dyDescent="0.35">
      <c r="A45" s="142" t="s">
        <v>3416</v>
      </c>
      <c r="B45" s="128" t="s">
        <v>3432</v>
      </c>
      <c r="C45" s="129" t="s">
        <v>3433</v>
      </c>
      <c r="D45" s="131" t="s">
        <v>3434</v>
      </c>
      <c r="E45" s="131" t="s">
        <v>3435</v>
      </c>
      <c r="F45" s="131" t="s">
        <v>3436</v>
      </c>
      <c r="G45" s="131" t="s">
        <v>3437</v>
      </c>
      <c r="H45" s="131" t="s">
        <v>3438</v>
      </c>
      <c r="I45" s="133">
        <f>IF(COUNTIF(J45:AW45,"&lt;&gt;")=0,"",SUMPRODUCT(((Recommendations[ImplStatus]="Implemented")+(Recommendations[ImplStatus]="Compensated"))*ISNUMBER(MATCH(Recommendations[Id],J45:AW45,0)))/COUNTIF(J45:AW45,"&lt;&gt;"))</f>
        <v>0</v>
      </c>
      <c r="J45" s="135" t="s">
        <v>873</v>
      </c>
      <c r="K45" s="135"/>
      <c r="L45" s="135"/>
      <c r="M45" s="135"/>
      <c r="N45" s="135"/>
      <c r="O45" s="135"/>
      <c r="P45" s="135"/>
      <c r="Q45" s="135"/>
      <c r="R45" s="135"/>
      <c r="S45" s="135"/>
      <c r="T45" s="135"/>
      <c r="U45" s="135"/>
      <c r="V45" s="135"/>
      <c r="W45" s="135"/>
      <c r="X45" s="135"/>
      <c r="Y45" s="135"/>
      <c r="Z45" s="135"/>
      <c r="AA45" s="135"/>
      <c r="AB45" s="135"/>
      <c r="AC45" s="135"/>
      <c r="AD45" s="135"/>
      <c r="AE45" s="135"/>
      <c r="AF45" s="135"/>
      <c r="AG45" s="135"/>
      <c r="AH45" s="135"/>
      <c r="AI45" s="135"/>
      <c r="AJ45" s="135"/>
      <c r="AK45" s="135"/>
      <c r="AL45" s="135"/>
      <c r="AM45" s="135"/>
      <c r="AN45" s="135"/>
      <c r="AO45" s="135"/>
      <c r="AP45" s="135"/>
      <c r="AQ45" s="135"/>
      <c r="AR45" s="135"/>
      <c r="AS45" s="135"/>
      <c r="AT45" s="135"/>
      <c r="AU45" s="135"/>
      <c r="AV45" s="135"/>
      <c r="AW45" s="145"/>
    </row>
    <row r="46" spans="1:49" ht="60" customHeight="1" x14ac:dyDescent="0.35">
      <c r="A46" s="142" t="s">
        <v>3416</v>
      </c>
      <c r="B46" s="128" t="s">
        <v>3439</v>
      </c>
      <c r="C46" s="129" t="s">
        <v>3440</v>
      </c>
      <c r="D46" s="131" t="s">
        <v>3441</v>
      </c>
      <c r="E46" s="131" t="s">
        <v>3442</v>
      </c>
      <c r="F46" s="131" t="s">
        <v>3443</v>
      </c>
      <c r="G46" s="131" t="s">
        <v>3437</v>
      </c>
      <c r="H46" s="131" t="s">
        <v>3444</v>
      </c>
      <c r="I46" s="133" t="str">
        <f>IF(COUNTIF(J46:AW46,"&lt;&gt;")=0,"",SUMPRODUCT(((Recommendations[ImplStatus]="Implemented")+(Recommendations[ImplStatus]="Compensated"))*ISNUMBER(MATCH(Recommendations[Id],J46:AW46,0)))/COUNTIF(J46:AW46,"&lt;&gt;"))</f>
        <v/>
      </c>
      <c r="J46" s="135"/>
      <c r="K46" s="135"/>
      <c r="L46" s="135"/>
      <c r="M46" s="135"/>
      <c r="N46" s="135"/>
      <c r="O46" s="135"/>
      <c r="P46" s="135"/>
      <c r="Q46" s="135"/>
      <c r="R46" s="135"/>
      <c r="S46" s="135"/>
      <c r="T46" s="135"/>
      <c r="U46" s="135"/>
      <c r="V46" s="135"/>
      <c r="W46" s="135"/>
      <c r="X46" s="135"/>
      <c r="Y46" s="135"/>
      <c r="Z46" s="135"/>
      <c r="AA46" s="135"/>
      <c r="AB46" s="135"/>
      <c r="AC46" s="135"/>
      <c r="AD46" s="135"/>
      <c r="AE46" s="135"/>
      <c r="AF46" s="135"/>
      <c r="AG46" s="135"/>
      <c r="AH46" s="135"/>
      <c r="AI46" s="135"/>
      <c r="AJ46" s="135"/>
      <c r="AK46" s="135"/>
      <c r="AL46" s="135"/>
      <c r="AM46" s="135"/>
      <c r="AN46" s="135"/>
      <c r="AO46" s="135"/>
      <c r="AP46" s="135"/>
      <c r="AQ46" s="135"/>
      <c r="AR46" s="135"/>
      <c r="AS46" s="135"/>
      <c r="AT46" s="135"/>
      <c r="AU46" s="135"/>
      <c r="AV46" s="135"/>
      <c r="AW46" s="145"/>
    </row>
    <row r="47" spans="1:49" ht="60" customHeight="1" x14ac:dyDescent="0.35">
      <c r="A47" s="142" t="s">
        <v>3416</v>
      </c>
      <c r="B47" s="128" t="s">
        <v>3445</v>
      </c>
      <c r="C47" s="129" t="s">
        <v>3446</v>
      </c>
      <c r="D47" s="131" t="s">
        <v>3447</v>
      </c>
      <c r="E47" s="131" t="s">
        <v>3448</v>
      </c>
      <c r="F47" s="131" t="s">
        <v>3449</v>
      </c>
      <c r="G47" s="131" t="s">
        <v>3450</v>
      </c>
      <c r="H47" s="131" t="s">
        <v>3451</v>
      </c>
      <c r="I47" s="133" t="str">
        <f>IF(COUNTIF(J47:AW47,"&lt;&gt;")=0,"",SUMPRODUCT(((Recommendations[ImplStatus]="Implemented")+(Recommendations[ImplStatus]="Compensated"))*ISNUMBER(MATCH(Recommendations[Id],J47:AW47,0)))/COUNTIF(J47:AW47,"&lt;&gt;"))</f>
        <v/>
      </c>
      <c r="J47" s="135"/>
      <c r="K47" s="135"/>
      <c r="L47" s="135"/>
      <c r="M47" s="135"/>
      <c r="N47" s="135"/>
      <c r="O47" s="135"/>
      <c r="P47" s="135"/>
      <c r="Q47" s="135"/>
      <c r="R47" s="135"/>
      <c r="S47" s="135"/>
      <c r="T47" s="135"/>
      <c r="U47" s="135"/>
      <c r="V47" s="135"/>
      <c r="W47" s="135"/>
      <c r="X47" s="135"/>
      <c r="Y47" s="135"/>
      <c r="Z47" s="135"/>
      <c r="AA47" s="135"/>
      <c r="AB47" s="135"/>
      <c r="AC47" s="135"/>
      <c r="AD47" s="135"/>
      <c r="AE47" s="135"/>
      <c r="AF47" s="135"/>
      <c r="AG47" s="135"/>
      <c r="AH47" s="135"/>
      <c r="AI47" s="135"/>
      <c r="AJ47" s="135"/>
      <c r="AK47" s="135"/>
      <c r="AL47" s="135"/>
      <c r="AM47" s="135"/>
      <c r="AN47" s="135"/>
      <c r="AO47" s="135"/>
      <c r="AP47" s="135"/>
      <c r="AQ47" s="135"/>
      <c r="AR47" s="135"/>
      <c r="AS47" s="135"/>
      <c r="AT47" s="135"/>
      <c r="AU47" s="135"/>
      <c r="AV47" s="135"/>
      <c r="AW47" s="145"/>
    </row>
    <row r="48" spans="1:49" ht="60" customHeight="1" x14ac:dyDescent="0.35">
      <c r="A48" s="142" t="s">
        <v>3416</v>
      </c>
      <c r="B48" s="128" t="s">
        <v>3452</v>
      </c>
      <c r="C48" s="129" t="s">
        <v>3453</v>
      </c>
      <c r="D48" s="131" t="s">
        <v>3454</v>
      </c>
      <c r="E48" s="131" t="s">
        <v>3455</v>
      </c>
      <c r="F48" s="131" t="s">
        <v>3456</v>
      </c>
      <c r="G48" s="131" t="s">
        <v>3457</v>
      </c>
      <c r="H48" s="131" t="s">
        <v>3458</v>
      </c>
      <c r="I48" s="133">
        <f>IF(COUNTIF(J48:AW48,"&lt;&gt;")=0,"",SUMPRODUCT(((Recommendations[ImplStatus]="Implemented")+(Recommendations[ImplStatus]="Compensated"))*ISNUMBER(MATCH(Recommendations[Id],J48:AW48,0)))/COUNTIF(J48:AW48,"&lt;&gt;"))</f>
        <v>0</v>
      </c>
      <c r="J48" s="135" t="s">
        <v>537</v>
      </c>
      <c r="K48" s="135" t="s">
        <v>547</v>
      </c>
      <c r="L48" s="135" t="s">
        <v>551</v>
      </c>
      <c r="M48" s="135" t="s">
        <v>555</v>
      </c>
      <c r="N48" s="135" t="s">
        <v>565</v>
      </c>
      <c r="O48" s="135" t="s">
        <v>570</v>
      </c>
      <c r="P48" s="135" t="s">
        <v>574</v>
      </c>
      <c r="Q48" s="135" t="s">
        <v>579</v>
      </c>
      <c r="R48" s="135" t="s">
        <v>583</v>
      </c>
      <c r="S48" s="135" t="s">
        <v>588</v>
      </c>
      <c r="T48" s="135" t="s">
        <v>592</v>
      </c>
      <c r="U48" s="135" t="s">
        <v>978</v>
      </c>
      <c r="V48" s="135" t="s">
        <v>1200</v>
      </c>
      <c r="W48" s="135" t="s">
        <v>1205</v>
      </c>
      <c r="X48" s="135" t="s">
        <v>1209</v>
      </c>
      <c r="Y48" s="135"/>
      <c r="Z48" s="135"/>
      <c r="AA48" s="135"/>
      <c r="AB48" s="135"/>
      <c r="AC48" s="135"/>
      <c r="AD48" s="135"/>
      <c r="AE48" s="135"/>
      <c r="AF48" s="135"/>
      <c r="AG48" s="135"/>
      <c r="AH48" s="135"/>
      <c r="AI48" s="135"/>
      <c r="AJ48" s="135"/>
      <c r="AK48" s="135"/>
      <c r="AL48" s="135"/>
      <c r="AM48" s="135"/>
      <c r="AN48" s="135"/>
      <c r="AO48" s="135"/>
      <c r="AP48" s="135"/>
      <c r="AQ48" s="135"/>
      <c r="AR48" s="135"/>
      <c r="AS48" s="135"/>
      <c r="AT48" s="135"/>
      <c r="AU48" s="135"/>
      <c r="AV48" s="135"/>
      <c r="AW48" s="145"/>
    </row>
    <row r="49" spans="1:49" ht="60" customHeight="1" x14ac:dyDescent="0.35">
      <c r="A49" s="142" t="s">
        <v>3416</v>
      </c>
      <c r="B49" s="128" t="s">
        <v>3459</v>
      </c>
      <c r="C49" s="129" t="s">
        <v>3460</v>
      </c>
      <c r="D49" s="131" t="s">
        <v>3461</v>
      </c>
      <c r="E49" s="131" t="s">
        <v>3462</v>
      </c>
      <c r="F49" s="131" t="s">
        <v>3463</v>
      </c>
      <c r="G49" s="131" t="s">
        <v>3221</v>
      </c>
      <c r="H49" s="131" t="s">
        <v>3464</v>
      </c>
      <c r="I49" s="133" t="str">
        <f>IF(COUNTIF(J49:AW49,"&lt;&gt;")=0,"",SUMPRODUCT(((Recommendations[ImplStatus]="Implemented")+(Recommendations[ImplStatus]="Compensated"))*ISNUMBER(MATCH(Recommendations[Id],J49:AW49,0)))/COUNTIF(J49:AW49,"&lt;&gt;"))</f>
        <v/>
      </c>
      <c r="J49" s="135"/>
      <c r="K49" s="135"/>
      <c r="L49" s="135"/>
      <c r="M49" s="135"/>
      <c r="N49" s="135"/>
      <c r="O49" s="135"/>
      <c r="P49" s="135"/>
      <c r="Q49" s="135"/>
      <c r="R49" s="135"/>
      <c r="S49" s="135"/>
      <c r="T49" s="135"/>
      <c r="U49" s="135"/>
      <c r="V49" s="135"/>
      <c r="W49" s="135"/>
      <c r="X49" s="135"/>
      <c r="Y49" s="135"/>
      <c r="Z49" s="135"/>
      <c r="AA49" s="135"/>
      <c r="AB49" s="135"/>
      <c r="AC49" s="135"/>
      <c r="AD49" s="135"/>
      <c r="AE49" s="135"/>
      <c r="AF49" s="135"/>
      <c r="AG49" s="135"/>
      <c r="AH49" s="135"/>
      <c r="AI49" s="135"/>
      <c r="AJ49" s="135"/>
      <c r="AK49" s="135"/>
      <c r="AL49" s="135"/>
      <c r="AM49" s="135"/>
      <c r="AN49" s="135"/>
      <c r="AO49" s="135"/>
      <c r="AP49" s="135"/>
      <c r="AQ49" s="135"/>
      <c r="AR49" s="135"/>
      <c r="AS49" s="135"/>
      <c r="AT49" s="135"/>
      <c r="AU49" s="135"/>
      <c r="AV49" s="135"/>
      <c r="AW49" s="145"/>
    </row>
    <row r="50" spans="1:49" ht="60" customHeight="1" x14ac:dyDescent="0.35">
      <c r="A50" s="142" t="s">
        <v>3416</v>
      </c>
      <c r="B50" s="128" t="s">
        <v>3465</v>
      </c>
      <c r="C50" s="129" t="s">
        <v>3466</v>
      </c>
      <c r="D50" s="131" t="s">
        <v>3467</v>
      </c>
      <c r="E50" s="131" t="s">
        <v>3468</v>
      </c>
      <c r="F50" s="131" t="s">
        <v>3469</v>
      </c>
      <c r="G50" s="131" t="s">
        <v>3470</v>
      </c>
      <c r="H50" s="131" t="s">
        <v>3471</v>
      </c>
      <c r="I50" s="133" t="str">
        <f>IF(COUNTIF(J50:AW50,"&lt;&gt;")=0,"",SUMPRODUCT(((Recommendations[ImplStatus]="Implemented")+(Recommendations[ImplStatus]="Compensated"))*ISNUMBER(MATCH(Recommendations[Id],J50:AW50,0)))/COUNTIF(J50:AW50,"&lt;&gt;"))</f>
        <v/>
      </c>
      <c r="J50" s="135"/>
      <c r="K50" s="135"/>
      <c r="L50" s="135"/>
      <c r="M50" s="135"/>
      <c r="N50" s="135"/>
      <c r="O50" s="135"/>
      <c r="P50" s="135"/>
      <c r="Q50" s="135"/>
      <c r="R50" s="135"/>
      <c r="S50" s="135"/>
      <c r="T50" s="135"/>
      <c r="U50" s="135"/>
      <c r="V50" s="135"/>
      <c r="W50" s="135"/>
      <c r="X50" s="135"/>
      <c r="Y50" s="135"/>
      <c r="Z50" s="135"/>
      <c r="AA50" s="135"/>
      <c r="AB50" s="135"/>
      <c r="AC50" s="135"/>
      <c r="AD50" s="135"/>
      <c r="AE50" s="135"/>
      <c r="AF50" s="135"/>
      <c r="AG50" s="135"/>
      <c r="AH50" s="135"/>
      <c r="AI50" s="135"/>
      <c r="AJ50" s="135"/>
      <c r="AK50" s="135"/>
      <c r="AL50" s="135"/>
      <c r="AM50" s="135"/>
      <c r="AN50" s="135"/>
      <c r="AO50" s="135"/>
      <c r="AP50" s="135"/>
      <c r="AQ50" s="135"/>
      <c r="AR50" s="135"/>
      <c r="AS50" s="135"/>
      <c r="AT50" s="135"/>
      <c r="AU50" s="135"/>
      <c r="AV50" s="135"/>
      <c r="AW50" s="145"/>
    </row>
    <row r="51" spans="1:49" ht="60" customHeight="1" outlineLevel="1" x14ac:dyDescent="0.35">
      <c r="A51" s="141" t="s">
        <v>3472</v>
      </c>
      <c r="B51" s="127"/>
      <c r="C51" s="126" t="s">
        <v>3473</v>
      </c>
      <c r="D51" s="130"/>
      <c r="E51" s="130"/>
      <c r="F51" s="130"/>
      <c r="G51" s="130"/>
      <c r="H51" s="130"/>
      <c r="I51" s="132" t="str">
        <f>IF(COUNTIF(J51:AW51,"&lt;&gt;")=0,"",SUMPRODUCT(((Recommendations[ImplStatus]="Implemented")+(Recommendations[ImplStatus]="Compensated"))*ISNUMBER(MATCH(Recommendations[Id],J51:AW51,0)))/COUNTIF(J51:AW51,"&lt;&gt;"))</f>
        <v/>
      </c>
      <c r="J51" s="134"/>
      <c r="K51" s="134"/>
      <c r="L51" s="134"/>
      <c r="M51" s="134"/>
      <c r="N51" s="134"/>
      <c r="O51" s="134"/>
      <c r="P51" s="134"/>
      <c r="Q51" s="134"/>
      <c r="R51" s="134"/>
      <c r="S51" s="134"/>
      <c r="T51" s="134"/>
      <c r="U51" s="134"/>
      <c r="V51" s="134"/>
      <c r="W51" s="134"/>
      <c r="X51" s="134"/>
      <c r="Y51" s="134"/>
      <c r="Z51" s="134"/>
      <c r="AA51" s="134"/>
      <c r="AB51" s="134"/>
      <c r="AC51" s="134"/>
      <c r="AD51" s="134"/>
      <c r="AE51" s="134"/>
      <c r="AF51" s="134"/>
      <c r="AG51" s="134"/>
      <c r="AH51" s="134"/>
      <c r="AI51" s="134"/>
      <c r="AJ51" s="134"/>
      <c r="AK51" s="134"/>
      <c r="AL51" s="134"/>
      <c r="AM51" s="134"/>
      <c r="AN51" s="134"/>
      <c r="AO51" s="134"/>
      <c r="AP51" s="134"/>
      <c r="AQ51" s="134"/>
      <c r="AR51" s="134"/>
      <c r="AS51" s="134"/>
      <c r="AT51" s="134"/>
      <c r="AU51" s="134"/>
      <c r="AV51" s="134"/>
      <c r="AW51" s="144"/>
    </row>
    <row r="52" spans="1:49" ht="60" customHeight="1" x14ac:dyDescent="0.35">
      <c r="A52" s="142" t="s">
        <v>3472</v>
      </c>
      <c r="B52" s="128" t="s">
        <v>3474</v>
      </c>
      <c r="C52" s="129" t="s">
        <v>3475</v>
      </c>
      <c r="D52" s="131" t="s">
        <v>3476</v>
      </c>
      <c r="E52" s="131" t="s">
        <v>3477</v>
      </c>
      <c r="F52" s="131" t="s">
        <v>3478</v>
      </c>
      <c r="G52" s="131" t="s">
        <v>3479</v>
      </c>
      <c r="H52" s="131" t="s">
        <v>3480</v>
      </c>
      <c r="I52" s="133" t="str">
        <f>IF(COUNTIF(J52:AW52,"&lt;&gt;")=0,"",SUMPRODUCT(((Recommendations[ImplStatus]="Implemented")+(Recommendations[ImplStatus]="Compensated"))*ISNUMBER(MATCH(Recommendations[Id],J52:AW52,0)))/COUNTIF(J52:AW52,"&lt;&gt;"))</f>
        <v/>
      </c>
      <c r="J52" s="135"/>
      <c r="K52" s="135"/>
      <c r="L52" s="135"/>
      <c r="M52" s="135"/>
      <c r="N52" s="135"/>
      <c r="O52" s="135"/>
      <c r="P52" s="135"/>
      <c r="Q52" s="135"/>
      <c r="R52" s="135"/>
      <c r="S52" s="135"/>
      <c r="T52" s="135"/>
      <c r="U52" s="135"/>
      <c r="V52" s="135"/>
      <c r="W52" s="135"/>
      <c r="X52" s="135"/>
      <c r="Y52" s="135"/>
      <c r="Z52" s="135"/>
      <c r="AA52" s="135"/>
      <c r="AB52" s="135"/>
      <c r="AC52" s="135"/>
      <c r="AD52" s="135"/>
      <c r="AE52" s="135"/>
      <c r="AF52" s="135"/>
      <c r="AG52" s="135"/>
      <c r="AH52" s="135"/>
      <c r="AI52" s="135"/>
      <c r="AJ52" s="135"/>
      <c r="AK52" s="135"/>
      <c r="AL52" s="135"/>
      <c r="AM52" s="135"/>
      <c r="AN52" s="135"/>
      <c r="AO52" s="135"/>
      <c r="AP52" s="135"/>
      <c r="AQ52" s="135"/>
      <c r="AR52" s="135"/>
      <c r="AS52" s="135"/>
      <c r="AT52" s="135"/>
      <c r="AU52" s="135"/>
      <c r="AV52" s="135"/>
      <c r="AW52" s="145"/>
    </row>
    <row r="53" spans="1:49" ht="60" customHeight="1" x14ac:dyDescent="0.35">
      <c r="A53" s="142" t="s">
        <v>3472</v>
      </c>
      <c r="B53" s="128" t="s">
        <v>3481</v>
      </c>
      <c r="C53" s="129" t="s">
        <v>3482</v>
      </c>
      <c r="D53" s="131" t="s">
        <v>3483</v>
      </c>
      <c r="E53" s="131" t="s">
        <v>3484</v>
      </c>
      <c r="F53" s="131" t="s">
        <v>3485</v>
      </c>
      <c r="G53" s="131" t="s">
        <v>3486</v>
      </c>
      <c r="H53" s="131" t="s">
        <v>3487</v>
      </c>
      <c r="I53" s="133" t="str">
        <f>IF(COUNTIF(J53:AW53,"&lt;&gt;")=0,"",SUMPRODUCT(((Recommendations[ImplStatus]="Implemented")+(Recommendations[ImplStatus]="Compensated"))*ISNUMBER(MATCH(Recommendations[Id],J53:AW53,0)))/COUNTIF(J53:AW53,"&lt;&gt;"))</f>
        <v/>
      </c>
      <c r="J53" s="135"/>
      <c r="K53" s="135"/>
      <c r="L53" s="135"/>
      <c r="M53" s="135"/>
      <c r="N53" s="135"/>
      <c r="O53" s="135"/>
      <c r="P53" s="135"/>
      <c r="Q53" s="135"/>
      <c r="R53" s="135"/>
      <c r="S53" s="135"/>
      <c r="T53" s="135"/>
      <c r="U53" s="135"/>
      <c r="V53" s="135"/>
      <c r="W53" s="135"/>
      <c r="X53" s="135"/>
      <c r="Y53" s="135"/>
      <c r="Z53" s="135"/>
      <c r="AA53" s="135"/>
      <c r="AB53" s="135"/>
      <c r="AC53" s="135"/>
      <c r="AD53" s="135"/>
      <c r="AE53" s="135"/>
      <c r="AF53" s="135"/>
      <c r="AG53" s="135"/>
      <c r="AH53" s="135"/>
      <c r="AI53" s="135"/>
      <c r="AJ53" s="135"/>
      <c r="AK53" s="135"/>
      <c r="AL53" s="135"/>
      <c r="AM53" s="135"/>
      <c r="AN53" s="135"/>
      <c r="AO53" s="135"/>
      <c r="AP53" s="135"/>
      <c r="AQ53" s="135"/>
      <c r="AR53" s="135"/>
      <c r="AS53" s="135"/>
      <c r="AT53" s="135"/>
      <c r="AU53" s="135"/>
      <c r="AV53" s="135"/>
      <c r="AW53" s="145"/>
    </row>
    <row r="54" spans="1:49" ht="60" customHeight="1" x14ac:dyDescent="0.35">
      <c r="A54" s="142" t="s">
        <v>3472</v>
      </c>
      <c r="B54" s="128" t="s">
        <v>3488</v>
      </c>
      <c r="C54" s="129" t="s">
        <v>3489</v>
      </c>
      <c r="D54" s="131" t="s">
        <v>3490</v>
      </c>
      <c r="E54" s="131" t="s">
        <v>3491</v>
      </c>
      <c r="F54" s="131" t="s">
        <v>3492</v>
      </c>
      <c r="G54" s="131" t="s">
        <v>3493</v>
      </c>
      <c r="H54" s="131" t="s">
        <v>21</v>
      </c>
      <c r="I54" s="133" t="str">
        <f>IF(COUNTIF(J54:AW54,"&lt;&gt;")=0,"",SUMPRODUCT(((Recommendations[ImplStatus]="Implemented")+(Recommendations[ImplStatus]="Compensated"))*ISNUMBER(MATCH(Recommendations[Id],J54:AW54,0)))/COUNTIF(J54:AW54,"&lt;&gt;"))</f>
        <v/>
      </c>
      <c r="J54" s="135"/>
      <c r="K54" s="135"/>
      <c r="L54" s="135"/>
      <c r="M54" s="135"/>
      <c r="N54" s="135"/>
      <c r="O54" s="135"/>
      <c r="P54" s="135"/>
      <c r="Q54" s="135"/>
      <c r="R54" s="135"/>
      <c r="S54" s="135"/>
      <c r="T54" s="135"/>
      <c r="U54" s="135"/>
      <c r="V54" s="135"/>
      <c r="W54" s="135"/>
      <c r="X54" s="135"/>
      <c r="Y54" s="135"/>
      <c r="Z54" s="135"/>
      <c r="AA54" s="135"/>
      <c r="AB54" s="135"/>
      <c r="AC54" s="135"/>
      <c r="AD54" s="135"/>
      <c r="AE54" s="135"/>
      <c r="AF54" s="135"/>
      <c r="AG54" s="135"/>
      <c r="AH54" s="135"/>
      <c r="AI54" s="135"/>
      <c r="AJ54" s="135"/>
      <c r="AK54" s="135"/>
      <c r="AL54" s="135"/>
      <c r="AM54" s="135"/>
      <c r="AN54" s="135"/>
      <c r="AO54" s="135"/>
      <c r="AP54" s="135"/>
      <c r="AQ54" s="135"/>
      <c r="AR54" s="135"/>
      <c r="AS54" s="135"/>
      <c r="AT54" s="135"/>
      <c r="AU54" s="135"/>
      <c r="AV54" s="135"/>
      <c r="AW54" s="145"/>
    </row>
    <row r="55" spans="1:49" ht="60" customHeight="1" x14ac:dyDescent="0.35">
      <c r="A55" s="142" t="s">
        <v>3472</v>
      </c>
      <c r="B55" s="128" t="s">
        <v>3494</v>
      </c>
      <c r="C55" s="129" t="s">
        <v>3495</v>
      </c>
      <c r="D55" s="131" t="s">
        <v>3496</v>
      </c>
      <c r="E55" s="131" t="s">
        <v>3497</v>
      </c>
      <c r="F55" s="131" t="s">
        <v>3498</v>
      </c>
      <c r="G55" s="131" t="s">
        <v>3499</v>
      </c>
      <c r="H55" s="131" t="s">
        <v>21</v>
      </c>
      <c r="I55" s="133" t="str">
        <f>IF(COUNTIF(J55:AW55,"&lt;&gt;")=0,"",SUMPRODUCT(((Recommendations[ImplStatus]="Implemented")+(Recommendations[ImplStatus]="Compensated"))*ISNUMBER(MATCH(Recommendations[Id],J55:AW55,0)))/COUNTIF(J55:AW55,"&lt;&gt;"))</f>
        <v/>
      </c>
      <c r="J55" s="135"/>
      <c r="K55" s="135"/>
      <c r="L55" s="135"/>
      <c r="M55" s="135"/>
      <c r="N55" s="135"/>
      <c r="O55" s="135"/>
      <c r="P55" s="135"/>
      <c r="Q55" s="135"/>
      <c r="R55" s="135"/>
      <c r="S55" s="135"/>
      <c r="T55" s="135"/>
      <c r="U55" s="135"/>
      <c r="V55" s="135"/>
      <c r="W55" s="135"/>
      <c r="X55" s="135"/>
      <c r="Y55" s="135"/>
      <c r="Z55" s="135"/>
      <c r="AA55" s="135"/>
      <c r="AB55" s="135"/>
      <c r="AC55" s="135"/>
      <c r="AD55" s="135"/>
      <c r="AE55" s="135"/>
      <c r="AF55" s="135"/>
      <c r="AG55" s="135"/>
      <c r="AH55" s="135"/>
      <c r="AI55" s="135"/>
      <c r="AJ55" s="135"/>
      <c r="AK55" s="135"/>
      <c r="AL55" s="135"/>
      <c r="AM55" s="135"/>
      <c r="AN55" s="135"/>
      <c r="AO55" s="135"/>
      <c r="AP55" s="135"/>
      <c r="AQ55" s="135"/>
      <c r="AR55" s="135"/>
      <c r="AS55" s="135"/>
      <c r="AT55" s="135"/>
      <c r="AU55" s="135"/>
      <c r="AV55" s="135"/>
      <c r="AW55" s="145"/>
    </row>
    <row r="56" spans="1:49" ht="60" customHeight="1" x14ac:dyDescent="0.35">
      <c r="A56" s="142" t="s">
        <v>3472</v>
      </c>
      <c r="B56" s="128" t="s">
        <v>3500</v>
      </c>
      <c r="C56" s="129" t="s">
        <v>3501</v>
      </c>
      <c r="D56" s="131" t="s">
        <v>3502</v>
      </c>
      <c r="E56" s="131" t="s">
        <v>3503</v>
      </c>
      <c r="F56" s="131" t="s">
        <v>3504</v>
      </c>
      <c r="G56" s="131" t="s">
        <v>3505</v>
      </c>
      <c r="H56" s="131" t="s">
        <v>3506</v>
      </c>
      <c r="I56" s="133" t="str">
        <f>IF(COUNTIF(J56:AW56,"&lt;&gt;")=0,"",SUMPRODUCT(((Recommendations[ImplStatus]="Implemented")+(Recommendations[ImplStatus]="Compensated"))*ISNUMBER(MATCH(Recommendations[Id],J56:AW56,0)))/COUNTIF(J56:AW56,"&lt;&gt;"))</f>
        <v/>
      </c>
      <c r="J56" s="135"/>
      <c r="K56" s="135"/>
      <c r="L56" s="135"/>
      <c r="M56" s="135"/>
      <c r="N56" s="135"/>
      <c r="O56" s="135"/>
      <c r="P56" s="135"/>
      <c r="Q56" s="135"/>
      <c r="R56" s="135"/>
      <c r="S56" s="135"/>
      <c r="T56" s="135"/>
      <c r="U56" s="135"/>
      <c r="V56" s="135"/>
      <c r="W56" s="135"/>
      <c r="X56" s="135"/>
      <c r="Y56" s="135"/>
      <c r="Z56" s="135"/>
      <c r="AA56" s="135"/>
      <c r="AB56" s="135"/>
      <c r="AC56" s="135"/>
      <c r="AD56" s="135"/>
      <c r="AE56" s="135"/>
      <c r="AF56" s="135"/>
      <c r="AG56" s="135"/>
      <c r="AH56" s="135"/>
      <c r="AI56" s="135"/>
      <c r="AJ56" s="135"/>
      <c r="AK56" s="135"/>
      <c r="AL56" s="135"/>
      <c r="AM56" s="135"/>
      <c r="AN56" s="135"/>
      <c r="AO56" s="135"/>
      <c r="AP56" s="135"/>
      <c r="AQ56" s="135"/>
      <c r="AR56" s="135"/>
      <c r="AS56" s="135"/>
      <c r="AT56" s="135"/>
      <c r="AU56" s="135"/>
      <c r="AV56" s="135"/>
      <c r="AW56" s="145"/>
    </row>
    <row r="57" spans="1:49" ht="60" customHeight="1" outlineLevel="1" x14ac:dyDescent="0.35">
      <c r="A57" s="141" t="s">
        <v>3507</v>
      </c>
      <c r="B57" s="127"/>
      <c r="C57" s="126" t="s">
        <v>3508</v>
      </c>
      <c r="D57" s="130"/>
      <c r="E57" s="130"/>
      <c r="F57" s="130"/>
      <c r="G57" s="130"/>
      <c r="H57" s="130"/>
      <c r="I57" s="132" t="str">
        <f>IF(COUNTIF(J57:AW57,"&lt;&gt;")=0,"",SUMPRODUCT(((Recommendations[ImplStatus]="Implemented")+(Recommendations[ImplStatus]="Compensated"))*ISNUMBER(MATCH(Recommendations[Id],J57:AW57,0)))/COUNTIF(J57:AW57,"&lt;&gt;"))</f>
        <v/>
      </c>
      <c r="J57" s="134"/>
      <c r="K57" s="134"/>
      <c r="L57" s="134"/>
      <c r="M57" s="134"/>
      <c r="N57" s="134"/>
      <c r="O57" s="134"/>
      <c r="P57" s="134"/>
      <c r="Q57" s="134"/>
      <c r="R57" s="134"/>
      <c r="S57" s="134"/>
      <c r="T57" s="134"/>
      <c r="U57" s="134"/>
      <c r="V57" s="134"/>
      <c r="W57" s="134"/>
      <c r="X57" s="134"/>
      <c r="Y57" s="134"/>
      <c r="Z57" s="134"/>
      <c r="AA57" s="134"/>
      <c r="AB57" s="134"/>
      <c r="AC57" s="134"/>
      <c r="AD57" s="134"/>
      <c r="AE57" s="134"/>
      <c r="AF57" s="134"/>
      <c r="AG57" s="134"/>
      <c r="AH57" s="134"/>
      <c r="AI57" s="134"/>
      <c r="AJ57" s="134"/>
      <c r="AK57" s="134"/>
      <c r="AL57" s="134"/>
      <c r="AM57" s="134"/>
      <c r="AN57" s="134"/>
      <c r="AO57" s="134"/>
      <c r="AP57" s="134"/>
      <c r="AQ57" s="134"/>
      <c r="AR57" s="134"/>
      <c r="AS57" s="134"/>
      <c r="AT57" s="134"/>
      <c r="AU57" s="134"/>
      <c r="AV57" s="134"/>
      <c r="AW57" s="144"/>
    </row>
    <row r="58" spans="1:49" ht="60" customHeight="1" x14ac:dyDescent="0.35">
      <c r="A58" s="142" t="s">
        <v>3507</v>
      </c>
      <c r="B58" s="128" t="s">
        <v>3509</v>
      </c>
      <c r="C58" s="129" t="s">
        <v>3510</v>
      </c>
      <c r="D58" s="131" t="s">
        <v>3511</v>
      </c>
      <c r="E58" s="131" t="s">
        <v>3512</v>
      </c>
      <c r="F58" s="131" t="s">
        <v>3513</v>
      </c>
      <c r="G58" s="131" t="s">
        <v>3514</v>
      </c>
      <c r="H58" s="131" t="s">
        <v>3515</v>
      </c>
      <c r="I58" s="133" t="str">
        <f>IF(COUNTIF(J58:AW58,"&lt;&gt;")=0,"",SUMPRODUCT(((Recommendations[ImplStatus]="Implemented")+(Recommendations[ImplStatus]="Compensated"))*ISNUMBER(MATCH(Recommendations[Id],J58:AW58,0)))/COUNTIF(J58:AW58,"&lt;&gt;"))</f>
        <v/>
      </c>
      <c r="J58" s="135"/>
      <c r="K58" s="135"/>
      <c r="L58" s="135"/>
      <c r="M58" s="135"/>
      <c r="N58" s="135"/>
      <c r="O58" s="135"/>
      <c r="P58" s="135"/>
      <c r="Q58" s="135"/>
      <c r="R58" s="135"/>
      <c r="S58" s="135"/>
      <c r="T58" s="135"/>
      <c r="U58" s="135"/>
      <c r="V58" s="135"/>
      <c r="W58" s="135"/>
      <c r="X58" s="135"/>
      <c r="Y58" s="135"/>
      <c r="Z58" s="135"/>
      <c r="AA58" s="135"/>
      <c r="AB58" s="135"/>
      <c r="AC58" s="135"/>
      <c r="AD58" s="135"/>
      <c r="AE58" s="135"/>
      <c r="AF58" s="135"/>
      <c r="AG58" s="135"/>
      <c r="AH58" s="135"/>
      <c r="AI58" s="135"/>
      <c r="AJ58" s="135"/>
      <c r="AK58" s="135"/>
      <c r="AL58" s="135"/>
      <c r="AM58" s="135"/>
      <c r="AN58" s="135"/>
      <c r="AO58" s="135"/>
      <c r="AP58" s="135"/>
      <c r="AQ58" s="135"/>
      <c r="AR58" s="135"/>
      <c r="AS58" s="135"/>
      <c r="AT58" s="135"/>
      <c r="AU58" s="135"/>
      <c r="AV58" s="135"/>
      <c r="AW58" s="145"/>
    </row>
    <row r="59" spans="1:49" ht="60" customHeight="1" x14ac:dyDescent="0.35">
      <c r="A59" s="142" t="s">
        <v>3507</v>
      </c>
      <c r="B59" s="128" t="s">
        <v>3516</v>
      </c>
      <c r="C59" s="129" t="s">
        <v>3517</v>
      </c>
      <c r="D59" s="131" t="s">
        <v>3518</v>
      </c>
      <c r="E59" s="131" t="s">
        <v>3519</v>
      </c>
      <c r="F59" s="131" t="s">
        <v>3520</v>
      </c>
      <c r="G59" s="131" t="s">
        <v>3521</v>
      </c>
      <c r="H59" s="131" t="s">
        <v>3522</v>
      </c>
      <c r="I59" s="133" t="str">
        <f>IF(COUNTIF(J59:AW59,"&lt;&gt;")=0,"",SUMPRODUCT(((Recommendations[ImplStatus]="Implemented")+(Recommendations[ImplStatus]="Compensated"))*ISNUMBER(MATCH(Recommendations[Id],J59:AW59,0)))/COUNTIF(J59:AW59,"&lt;&gt;"))</f>
        <v/>
      </c>
      <c r="J59" s="135"/>
      <c r="K59" s="135"/>
      <c r="L59" s="135"/>
      <c r="M59" s="135"/>
      <c r="N59" s="135"/>
      <c r="O59" s="135"/>
      <c r="P59" s="135"/>
      <c r="Q59" s="135"/>
      <c r="R59" s="135"/>
      <c r="S59" s="135"/>
      <c r="T59" s="135"/>
      <c r="U59" s="135"/>
      <c r="V59" s="135"/>
      <c r="W59" s="135"/>
      <c r="X59" s="135"/>
      <c r="Y59" s="135"/>
      <c r="Z59" s="135"/>
      <c r="AA59" s="135"/>
      <c r="AB59" s="135"/>
      <c r="AC59" s="135"/>
      <c r="AD59" s="135"/>
      <c r="AE59" s="135"/>
      <c r="AF59" s="135"/>
      <c r="AG59" s="135"/>
      <c r="AH59" s="135"/>
      <c r="AI59" s="135"/>
      <c r="AJ59" s="135"/>
      <c r="AK59" s="135"/>
      <c r="AL59" s="135"/>
      <c r="AM59" s="135"/>
      <c r="AN59" s="135"/>
      <c r="AO59" s="135"/>
      <c r="AP59" s="135"/>
      <c r="AQ59" s="135"/>
      <c r="AR59" s="135"/>
      <c r="AS59" s="135"/>
      <c r="AT59" s="135"/>
      <c r="AU59" s="135"/>
      <c r="AV59" s="135"/>
      <c r="AW59" s="145"/>
    </row>
    <row r="60" spans="1:49" ht="60" customHeight="1" x14ac:dyDescent="0.35">
      <c r="A60" s="142" t="s">
        <v>3507</v>
      </c>
      <c r="B60" s="128" t="s">
        <v>3523</v>
      </c>
      <c r="C60" s="129" t="s">
        <v>3524</v>
      </c>
      <c r="D60" s="131" t="s">
        <v>3525</v>
      </c>
      <c r="E60" s="131" t="s">
        <v>3526</v>
      </c>
      <c r="F60" s="131" t="s">
        <v>3527</v>
      </c>
      <c r="G60" s="131" t="s">
        <v>3528</v>
      </c>
      <c r="H60" s="131" t="s">
        <v>3529</v>
      </c>
      <c r="I60" s="133" t="str">
        <f>IF(COUNTIF(J60:AW60,"&lt;&gt;")=0,"",SUMPRODUCT(((Recommendations[ImplStatus]="Implemented")+(Recommendations[ImplStatus]="Compensated"))*ISNUMBER(MATCH(Recommendations[Id],J60:AW60,0)))/COUNTIF(J60:AW60,"&lt;&gt;"))</f>
        <v/>
      </c>
      <c r="J60" s="135"/>
      <c r="K60" s="135"/>
      <c r="L60" s="135"/>
      <c r="M60" s="135"/>
      <c r="N60" s="135"/>
      <c r="O60" s="135"/>
      <c r="P60" s="135"/>
      <c r="Q60" s="135"/>
      <c r="R60" s="135"/>
      <c r="S60" s="135"/>
      <c r="T60" s="135"/>
      <c r="U60" s="135"/>
      <c r="V60" s="135"/>
      <c r="W60" s="135"/>
      <c r="X60" s="135"/>
      <c r="Y60" s="135"/>
      <c r="Z60" s="135"/>
      <c r="AA60" s="135"/>
      <c r="AB60" s="135"/>
      <c r="AC60" s="135"/>
      <c r="AD60" s="135"/>
      <c r="AE60" s="135"/>
      <c r="AF60" s="135"/>
      <c r="AG60" s="135"/>
      <c r="AH60" s="135"/>
      <c r="AI60" s="135"/>
      <c r="AJ60" s="135"/>
      <c r="AK60" s="135"/>
      <c r="AL60" s="135"/>
      <c r="AM60" s="135"/>
      <c r="AN60" s="135"/>
      <c r="AO60" s="135"/>
      <c r="AP60" s="135"/>
      <c r="AQ60" s="135"/>
      <c r="AR60" s="135"/>
      <c r="AS60" s="135"/>
      <c r="AT60" s="135"/>
      <c r="AU60" s="135"/>
      <c r="AV60" s="135"/>
      <c r="AW60" s="145"/>
    </row>
    <row r="61" spans="1:49" ht="60" customHeight="1" outlineLevel="1" x14ac:dyDescent="0.35">
      <c r="A61" s="141" t="s">
        <v>3530</v>
      </c>
      <c r="B61" s="127"/>
      <c r="C61" s="126" t="s">
        <v>3531</v>
      </c>
      <c r="D61" s="130"/>
      <c r="E61" s="130"/>
      <c r="F61" s="130"/>
      <c r="G61" s="130"/>
      <c r="H61" s="130"/>
      <c r="I61" s="132" t="str">
        <f>IF(COUNTIF(J61:AW61,"&lt;&gt;")=0,"",SUMPRODUCT(((Recommendations[ImplStatus]="Implemented")+(Recommendations[ImplStatus]="Compensated"))*ISNUMBER(MATCH(Recommendations[Id],J61:AW61,0)))/COUNTIF(J61:AW61,"&lt;&gt;"))</f>
        <v/>
      </c>
      <c r="J61" s="134"/>
      <c r="K61" s="134"/>
      <c r="L61" s="134"/>
      <c r="M61" s="134"/>
      <c r="N61" s="134"/>
      <c r="O61" s="134"/>
      <c r="P61" s="134"/>
      <c r="Q61" s="134"/>
      <c r="R61" s="134"/>
      <c r="S61" s="134"/>
      <c r="T61" s="134"/>
      <c r="U61" s="134"/>
      <c r="V61" s="134"/>
      <c r="W61" s="134"/>
      <c r="X61" s="134"/>
      <c r="Y61" s="134"/>
      <c r="Z61" s="134"/>
      <c r="AA61" s="134"/>
      <c r="AB61" s="134"/>
      <c r="AC61" s="134"/>
      <c r="AD61" s="134"/>
      <c r="AE61" s="134"/>
      <c r="AF61" s="134"/>
      <c r="AG61" s="134"/>
      <c r="AH61" s="134"/>
      <c r="AI61" s="134"/>
      <c r="AJ61" s="134"/>
      <c r="AK61" s="134"/>
      <c r="AL61" s="134"/>
      <c r="AM61" s="134"/>
      <c r="AN61" s="134"/>
      <c r="AO61" s="134"/>
      <c r="AP61" s="134"/>
      <c r="AQ61" s="134"/>
      <c r="AR61" s="134"/>
      <c r="AS61" s="134"/>
      <c r="AT61" s="134"/>
      <c r="AU61" s="134"/>
      <c r="AV61" s="134"/>
      <c r="AW61" s="144"/>
    </row>
    <row r="62" spans="1:49" ht="60" customHeight="1" x14ac:dyDescent="0.35">
      <c r="A62" s="142" t="s">
        <v>3530</v>
      </c>
      <c r="B62" s="128" t="s">
        <v>3532</v>
      </c>
      <c r="C62" s="129" t="s">
        <v>3533</v>
      </c>
      <c r="D62" s="131" t="s">
        <v>3534</v>
      </c>
      <c r="E62" s="131" t="s">
        <v>3535</v>
      </c>
      <c r="F62" s="131" t="s">
        <v>3536</v>
      </c>
      <c r="G62" s="131" t="s">
        <v>3537</v>
      </c>
      <c r="H62" s="131" t="s">
        <v>3538</v>
      </c>
      <c r="I62" s="133" t="str">
        <f>IF(COUNTIF(J62:AW62,"&lt;&gt;")=0,"",SUMPRODUCT(((Recommendations[ImplStatus]="Implemented")+(Recommendations[ImplStatus]="Compensated"))*ISNUMBER(MATCH(Recommendations[Id],J62:AW62,0)))/COUNTIF(J62:AW62,"&lt;&gt;"))</f>
        <v/>
      </c>
      <c r="J62" s="135"/>
      <c r="K62" s="135"/>
      <c r="L62" s="135"/>
      <c r="M62" s="135"/>
      <c r="N62" s="135"/>
      <c r="O62" s="135"/>
      <c r="P62" s="135"/>
      <c r="Q62" s="135"/>
      <c r="R62" s="135"/>
      <c r="S62" s="135"/>
      <c r="T62" s="135"/>
      <c r="U62" s="135"/>
      <c r="V62" s="135"/>
      <c r="W62" s="135"/>
      <c r="X62" s="135"/>
      <c r="Y62" s="135"/>
      <c r="Z62" s="135"/>
      <c r="AA62" s="135"/>
      <c r="AB62" s="135"/>
      <c r="AC62" s="135"/>
      <c r="AD62" s="135"/>
      <c r="AE62" s="135"/>
      <c r="AF62" s="135"/>
      <c r="AG62" s="135"/>
      <c r="AH62" s="135"/>
      <c r="AI62" s="135"/>
      <c r="AJ62" s="135"/>
      <c r="AK62" s="135"/>
      <c r="AL62" s="135"/>
      <c r="AM62" s="135"/>
      <c r="AN62" s="135"/>
      <c r="AO62" s="135"/>
      <c r="AP62" s="135"/>
      <c r="AQ62" s="135"/>
      <c r="AR62" s="135"/>
      <c r="AS62" s="135"/>
      <c r="AT62" s="135"/>
      <c r="AU62" s="135"/>
      <c r="AV62" s="135"/>
      <c r="AW62" s="145"/>
    </row>
    <row r="63" spans="1:49" ht="60" customHeight="1" x14ac:dyDescent="0.35">
      <c r="A63" s="142" t="s">
        <v>3530</v>
      </c>
      <c r="B63" s="128" t="s">
        <v>3539</v>
      </c>
      <c r="C63" s="129" t="s">
        <v>3540</v>
      </c>
      <c r="D63" s="131" t="s">
        <v>3541</v>
      </c>
      <c r="E63" s="131" t="s">
        <v>3542</v>
      </c>
      <c r="F63" s="131" t="s">
        <v>3543</v>
      </c>
      <c r="G63" s="131" t="s">
        <v>3544</v>
      </c>
      <c r="H63" s="131" t="s">
        <v>3545</v>
      </c>
      <c r="I63" s="133" t="str">
        <f>IF(COUNTIF(J63:AW63,"&lt;&gt;")=0,"",SUMPRODUCT(((Recommendations[ImplStatus]="Implemented")+(Recommendations[ImplStatus]="Compensated"))*ISNUMBER(MATCH(Recommendations[Id],J63:AW63,0)))/COUNTIF(J63:AW63,"&lt;&gt;"))</f>
        <v/>
      </c>
      <c r="J63" s="135"/>
      <c r="K63" s="135"/>
      <c r="L63" s="135"/>
      <c r="M63" s="135"/>
      <c r="N63" s="135"/>
      <c r="O63" s="135"/>
      <c r="P63" s="135"/>
      <c r="Q63" s="135"/>
      <c r="R63" s="135"/>
      <c r="S63" s="135"/>
      <c r="T63" s="135"/>
      <c r="U63" s="135"/>
      <c r="V63" s="135"/>
      <c r="W63" s="135"/>
      <c r="X63" s="135"/>
      <c r="Y63" s="135"/>
      <c r="Z63" s="135"/>
      <c r="AA63" s="135"/>
      <c r="AB63" s="135"/>
      <c r="AC63" s="135"/>
      <c r="AD63" s="135"/>
      <c r="AE63" s="135"/>
      <c r="AF63" s="135"/>
      <c r="AG63" s="135"/>
      <c r="AH63" s="135"/>
      <c r="AI63" s="135"/>
      <c r="AJ63" s="135"/>
      <c r="AK63" s="135"/>
      <c r="AL63" s="135"/>
      <c r="AM63" s="135"/>
      <c r="AN63" s="135"/>
      <c r="AO63" s="135"/>
      <c r="AP63" s="135"/>
      <c r="AQ63" s="135"/>
      <c r="AR63" s="135"/>
      <c r="AS63" s="135"/>
      <c r="AT63" s="135"/>
      <c r="AU63" s="135"/>
      <c r="AV63" s="135"/>
      <c r="AW63" s="145"/>
    </row>
    <row r="64" spans="1:49" ht="60" customHeight="1" x14ac:dyDescent="0.35">
      <c r="A64" s="142" t="s">
        <v>3530</v>
      </c>
      <c r="B64" s="128" t="s">
        <v>3546</v>
      </c>
      <c r="C64" s="129" t="s">
        <v>3547</v>
      </c>
      <c r="D64" s="131" t="s">
        <v>3548</v>
      </c>
      <c r="E64" s="131" t="s">
        <v>3549</v>
      </c>
      <c r="F64" s="131" t="s">
        <v>3550</v>
      </c>
      <c r="G64" s="131" t="s">
        <v>3551</v>
      </c>
      <c r="H64" s="131" t="s">
        <v>3552</v>
      </c>
      <c r="I64" s="133" t="str">
        <f>IF(COUNTIF(J64:AW64,"&lt;&gt;")=0,"",SUMPRODUCT(((Recommendations[ImplStatus]="Implemented")+(Recommendations[ImplStatus]="Compensated"))*ISNUMBER(MATCH(Recommendations[Id],J64:AW64,0)))/COUNTIF(J64:AW64,"&lt;&gt;"))</f>
        <v/>
      </c>
      <c r="J64" s="135"/>
      <c r="K64" s="135"/>
      <c r="L64" s="135"/>
      <c r="M64" s="135"/>
      <c r="N64" s="135"/>
      <c r="O64" s="135"/>
      <c r="P64" s="135"/>
      <c r="Q64" s="135"/>
      <c r="R64" s="135"/>
      <c r="S64" s="135"/>
      <c r="T64" s="135"/>
      <c r="U64" s="135"/>
      <c r="V64" s="135"/>
      <c r="W64" s="135"/>
      <c r="X64" s="135"/>
      <c r="Y64" s="135"/>
      <c r="Z64" s="135"/>
      <c r="AA64" s="135"/>
      <c r="AB64" s="135"/>
      <c r="AC64" s="135"/>
      <c r="AD64" s="135"/>
      <c r="AE64" s="135"/>
      <c r="AF64" s="135"/>
      <c r="AG64" s="135"/>
      <c r="AH64" s="135"/>
      <c r="AI64" s="135"/>
      <c r="AJ64" s="135"/>
      <c r="AK64" s="135"/>
      <c r="AL64" s="135"/>
      <c r="AM64" s="135"/>
      <c r="AN64" s="135"/>
      <c r="AO64" s="135"/>
      <c r="AP64" s="135"/>
      <c r="AQ64" s="135"/>
      <c r="AR64" s="135"/>
      <c r="AS64" s="135"/>
      <c r="AT64" s="135"/>
      <c r="AU64" s="135"/>
      <c r="AV64" s="135"/>
      <c r="AW64" s="145"/>
    </row>
    <row r="65" spans="1:49" ht="60" customHeight="1" x14ac:dyDescent="0.35">
      <c r="A65" s="142" t="s">
        <v>3530</v>
      </c>
      <c r="B65" s="128" t="s">
        <v>3553</v>
      </c>
      <c r="C65" s="129" t="s">
        <v>3554</v>
      </c>
      <c r="D65" s="131" t="s">
        <v>3555</v>
      </c>
      <c r="E65" s="131" t="s">
        <v>3556</v>
      </c>
      <c r="F65" s="131" t="s">
        <v>3557</v>
      </c>
      <c r="G65" s="131" t="s">
        <v>3558</v>
      </c>
      <c r="H65" s="131" t="s">
        <v>3559</v>
      </c>
      <c r="I65" s="133" t="str">
        <f>IF(COUNTIF(J65:AW65,"&lt;&gt;")=0,"",SUMPRODUCT(((Recommendations[ImplStatus]="Implemented")+(Recommendations[ImplStatus]="Compensated"))*ISNUMBER(MATCH(Recommendations[Id],J65:AW65,0)))/COUNTIF(J65:AW65,"&lt;&gt;"))</f>
        <v/>
      </c>
      <c r="J65" s="135"/>
      <c r="K65" s="135"/>
      <c r="L65" s="135"/>
      <c r="M65" s="135"/>
      <c r="N65" s="135"/>
      <c r="O65" s="135"/>
      <c r="P65" s="135"/>
      <c r="Q65" s="135"/>
      <c r="R65" s="135"/>
      <c r="S65" s="135"/>
      <c r="T65" s="135"/>
      <c r="U65" s="135"/>
      <c r="V65" s="135"/>
      <c r="W65" s="135"/>
      <c r="X65" s="135"/>
      <c r="Y65" s="135"/>
      <c r="Z65" s="135"/>
      <c r="AA65" s="135"/>
      <c r="AB65" s="135"/>
      <c r="AC65" s="135"/>
      <c r="AD65" s="135"/>
      <c r="AE65" s="135"/>
      <c r="AF65" s="135"/>
      <c r="AG65" s="135"/>
      <c r="AH65" s="135"/>
      <c r="AI65" s="135"/>
      <c r="AJ65" s="135"/>
      <c r="AK65" s="135"/>
      <c r="AL65" s="135"/>
      <c r="AM65" s="135"/>
      <c r="AN65" s="135"/>
      <c r="AO65" s="135"/>
      <c r="AP65" s="135"/>
      <c r="AQ65" s="135"/>
      <c r="AR65" s="135"/>
      <c r="AS65" s="135"/>
      <c r="AT65" s="135"/>
      <c r="AU65" s="135"/>
      <c r="AV65" s="135"/>
      <c r="AW65" s="145"/>
    </row>
    <row r="66" spans="1:49" ht="60" customHeight="1" x14ac:dyDescent="0.35">
      <c r="A66" s="142" t="s">
        <v>3530</v>
      </c>
      <c r="B66" s="128" t="s">
        <v>3560</v>
      </c>
      <c r="C66" s="129" t="s">
        <v>3561</v>
      </c>
      <c r="D66" s="131" t="s">
        <v>3562</v>
      </c>
      <c r="E66" s="131" t="s">
        <v>3563</v>
      </c>
      <c r="F66" s="131" t="s">
        <v>3564</v>
      </c>
      <c r="G66" s="131" t="s">
        <v>3565</v>
      </c>
      <c r="H66" s="131" t="s">
        <v>3566</v>
      </c>
      <c r="I66" s="133" t="str">
        <f>IF(COUNTIF(J66:AW66,"&lt;&gt;")=0,"",SUMPRODUCT(((Recommendations[ImplStatus]="Implemented")+(Recommendations[ImplStatus]="Compensated"))*ISNUMBER(MATCH(Recommendations[Id],J66:AW66,0)))/COUNTIF(J66:AW66,"&lt;&gt;"))</f>
        <v/>
      </c>
      <c r="J66" s="135"/>
      <c r="K66" s="135"/>
      <c r="L66" s="135"/>
      <c r="M66" s="135"/>
      <c r="N66" s="135"/>
      <c r="O66" s="135"/>
      <c r="P66" s="135"/>
      <c r="Q66" s="135"/>
      <c r="R66" s="135"/>
      <c r="S66" s="135"/>
      <c r="T66" s="135"/>
      <c r="U66" s="135"/>
      <c r="V66" s="135"/>
      <c r="W66" s="135"/>
      <c r="X66" s="135"/>
      <c r="Y66" s="135"/>
      <c r="Z66" s="135"/>
      <c r="AA66" s="135"/>
      <c r="AB66" s="135"/>
      <c r="AC66" s="135"/>
      <c r="AD66" s="135"/>
      <c r="AE66" s="135"/>
      <c r="AF66" s="135"/>
      <c r="AG66" s="135"/>
      <c r="AH66" s="135"/>
      <c r="AI66" s="135"/>
      <c r="AJ66" s="135"/>
      <c r="AK66" s="135"/>
      <c r="AL66" s="135"/>
      <c r="AM66" s="135"/>
      <c r="AN66" s="135"/>
      <c r="AO66" s="135"/>
      <c r="AP66" s="135"/>
      <c r="AQ66" s="135"/>
      <c r="AR66" s="135"/>
      <c r="AS66" s="135"/>
      <c r="AT66" s="135"/>
      <c r="AU66" s="135"/>
      <c r="AV66" s="135"/>
      <c r="AW66" s="145"/>
    </row>
    <row r="67" spans="1:49" ht="60" customHeight="1" x14ac:dyDescent="0.35">
      <c r="A67" s="142" t="s">
        <v>3530</v>
      </c>
      <c r="B67" s="128" t="s">
        <v>3567</v>
      </c>
      <c r="C67" s="129" t="s">
        <v>3568</v>
      </c>
      <c r="D67" s="131" t="s">
        <v>3569</v>
      </c>
      <c r="E67" s="131" t="s">
        <v>3570</v>
      </c>
      <c r="F67" s="131" t="s">
        <v>3571</v>
      </c>
      <c r="G67" s="131" t="s">
        <v>3572</v>
      </c>
      <c r="H67" s="131" t="s">
        <v>3573</v>
      </c>
      <c r="I67" s="133" t="str">
        <f>IF(COUNTIF(J67:AW67,"&lt;&gt;")=0,"",SUMPRODUCT(((Recommendations[ImplStatus]="Implemented")+(Recommendations[ImplStatus]="Compensated"))*ISNUMBER(MATCH(Recommendations[Id],J67:AW67,0)))/COUNTIF(J67:AW67,"&lt;&gt;"))</f>
        <v/>
      </c>
      <c r="J67" s="135"/>
      <c r="K67" s="135"/>
      <c r="L67" s="135"/>
      <c r="M67" s="135"/>
      <c r="N67" s="135"/>
      <c r="O67" s="135"/>
      <c r="P67" s="135"/>
      <c r="Q67" s="135"/>
      <c r="R67" s="135"/>
      <c r="S67" s="135"/>
      <c r="T67" s="135"/>
      <c r="U67" s="135"/>
      <c r="V67" s="135"/>
      <c r="W67" s="135"/>
      <c r="X67" s="135"/>
      <c r="Y67" s="135"/>
      <c r="Z67" s="135"/>
      <c r="AA67" s="135"/>
      <c r="AB67" s="135"/>
      <c r="AC67" s="135"/>
      <c r="AD67" s="135"/>
      <c r="AE67" s="135"/>
      <c r="AF67" s="135"/>
      <c r="AG67" s="135"/>
      <c r="AH67" s="135"/>
      <c r="AI67" s="135"/>
      <c r="AJ67" s="135"/>
      <c r="AK67" s="135"/>
      <c r="AL67" s="135"/>
      <c r="AM67" s="135"/>
      <c r="AN67" s="135"/>
      <c r="AO67" s="135"/>
      <c r="AP67" s="135"/>
      <c r="AQ67" s="135"/>
      <c r="AR67" s="135"/>
      <c r="AS67" s="135"/>
      <c r="AT67" s="135"/>
      <c r="AU67" s="135"/>
      <c r="AV67" s="135"/>
      <c r="AW67" s="145"/>
    </row>
    <row r="68" spans="1:49" ht="60" customHeight="1" x14ac:dyDescent="0.35">
      <c r="A68" s="142" t="s">
        <v>3530</v>
      </c>
      <c r="B68" s="128" t="s">
        <v>3574</v>
      </c>
      <c r="C68" s="129" t="s">
        <v>3575</v>
      </c>
      <c r="D68" s="131" t="s">
        <v>3576</v>
      </c>
      <c r="E68" s="131" t="s">
        <v>3577</v>
      </c>
      <c r="F68" s="131" t="s">
        <v>3578</v>
      </c>
      <c r="G68" s="131" t="s">
        <v>3579</v>
      </c>
      <c r="H68" s="131" t="s">
        <v>3580</v>
      </c>
      <c r="I68" s="133" t="str">
        <f>IF(COUNTIF(J68:AW68,"&lt;&gt;")=0,"",SUMPRODUCT(((Recommendations[ImplStatus]="Implemented")+(Recommendations[ImplStatus]="Compensated"))*ISNUMBER(MATCH(Recommendations[Id],J68:AW68,0)))/COUNTIF(J68:AW68,"&lt;&gt;"))</f>
        <v/>
      </c>
      <c r="J68" s="135"/>
      <c r="K68" s="135"/>
      <c r="L68" s="135"/>
      <c r="M68" s="135"/>
      <c r="N68" s="135"/>
      <c r="O68" s="135"/>
      <c r="P68" s="135"/>
      <c r="Q68" s="135"/>
      <c r="R68" s="135"/>
      <c r="S68" s="135"/>
      <c r="T68" s="135"/>
      <c r="U68" s="135"/>
      <c r="V68" s="135"/>
      <c r="W68" s="135"/>
      <c r="X68" s="135"/>
      <c r="Y68" s="135"/>
      <c r="Z68" s="135"/>
      <c r="AA68" s="135"/>
      <c r="AB68" s="135"/>
      <c r="AC68" s="135"/>
      <c r="AD68" s="135"/>
      <c r="AE68" s="135"/>
      <c r="AF68" s="135"/>
      <c r="AG68" s="135"/>
      <c r="AH68" s="135"/>
      <c r="AI68" s="135"/>
      <c r="AJ68" s="135"/>
      <c r="AK68" s="135"/>
      <c r="AL68" s="135"/>
      <c r="AM68" s="135"/>
      <c r="AN68" s="135"/>
      <c r="AO68" s="135"/>
      <c r="AP68" s="135"/>
      <c r="AQ68" s="135"/>
      <c r="AR68" s="135"/>
      <c r="AS68" s="135"/>
      <c r="AT68" s="135"/>
      <c r="AU68" s="135"/>
      <c r="AV68" s="135"/>
      <c r="AW68" s="145"/>
    </row>
    <row r="69" spans="1:49" ht="60" customHeight="1" outlineLevel="1" x14ac:dyDescent="0.35">
      <c r="A69" s="141" t="s">
        <v>3581</v>
      </c>
      <c r="B69" s="127"/>
      <c r="C69" s="126" t="s">
        <v>3582</v>
      </c>
      <c r="D69" s="130"/>
      <c r="E69" s="130"/>
      <c r="F69" s="130"/>
      <c r="G69" s="130"/>
      <c r="H69" s="130"/>
      <c r="I69" s="132" t="str">
        <f>IF(COUNTIF(J69:AW69,"&lt;&gt;")=0,"",SUMPRODUCT(((Recommendations[ImplStatus]="Implemented")+(Recommendations[ImplStatus]="Compensated"))*ISNUMBER(MATCH(Recommendations[Id],J69:AW69,0)))/COUNTIF(J69:AW69,"&lt;&gt;"))</f>
        <v/>
      </c>
      <c r="J69" s="134"/>
      <c r="K69" s="134"/>
      <c r="L69" s="134"/>
      <c r="M69" s="134"/>
      <c r="N69" s="134"/>
      <c r="O69" s="134"/>
      <c r="P69" s="134"/>
      <c r="Q69" s="134"/>
      <c r="R69" s="134"/>
      <c r="S69" s="134"/>
      <c r="T69" s="134"/>
      <c r="U69" s="134"/>
      <c r="V69" s="134"/>
      <c r="W69" s="134"/>
      <c r="X69" s="134"/>
      <c r="Y69" s="134"/>
      <c r="Z69" s="134"/>
      <c r="AA69" s="134"/>
      <c r="AB69" s="134"/>
      <c r="AC69" s="134"/>
      <c r="AD69" s="134"/>
      <c r="AE69" s="134"/>
      <c r="AF69" s="134"/>
      <c r="AG69" s="134"/>
      <c r="AH69" s="134"/>
      <c r="AI69" s="134"/>
      <c r="AJ69" s="134"/>
      <c r="AK69" s="134"/>
      <c r="AL69" s="134"/>
      <c r="AM69" s="134"/>
      <c r="AN69" s="134"/>
      <c r="AO69" s="134"/>
      <c r="AP69" s="134"/>
      <c r="AQ69" s="134"/>
      <c r="AR69" s="134"/>
      <c r="AS69" s="134"/>
      <c r="AT69" s="134"/>
      <c r="AU69" s="134"/>
      <c r="AV69" s="134"/>
      <c r="AW69" s="144"/>
    </row>
    <row r="70" spans="1:49" ht="60" customHeight="1" x14ac:dyDescent="0.35">
      <c r="A70" s="142" t="s">
        <v>3581</v>
      </c>
      <c r="B70" s="128" t="s">
        <v>3583</v>
      </c>
      <c r="C70" s="129" t="s">
        <v>3584</v>
      </c>
      <c r="D70" s="131" t="s">
        <v>3585</v>
      </c>
      <c r="E70" s="131" t="s">
        <v>3586</v>
      </c>
      <c r="F70" s="131" t="s">
        <v>3587</v>
      </c>
      <c r="G70" s="131" t="s">
        <v>3588</v>
      </c>
      <c r="H70" s="131" t="s">
        <v>3589</v>
      </c>
      <c r="I70" s="133" t="str">
        <f>IF(COUNTIF(J70:AW70,"&lt;&gt;")=0,"",SUMPRODUCT(((Recommendations[ImplStatus]="Implemented")+(Recommendations[ImplStatus]="Compensated"))*ISNUMBER(MATCH(Recommendations[Id],J70:AW70,0)))/COUNTIF(J70:AW70,"&lt;&gt;"))</f>
        <v/>
      </c>
      <c r="J70" s="135"/>
      <c r="K70" s="135"/>
      <c r="L70" s="135"/>
      <c r="M70" s="135"/>
      <c r="N70" s="135"/>
      <c r="O70" s="135"/>
      <c r="P70" s="135"/>
      <c r="Q70" s="135"/>
      <c r="R70" s="135"/>
      <c r="S70" s="135"/>
      <c r="T70" s="135"/>
      <c r="U70" s="135"/>
      <c r="V70" s="135"/>
      <c r="W70" s="135"/>
      <c r="X70" s="135"/>
      <c r="Y70" s="135"/>
      <c r="Z70" s="135"/>
      <c r="AA70" s="135"/>
      <c r="AB70" s="135"/>
      <c r="AC70" s="135"/>
      <c r="AD70" s="135"/>
      <c r="AE70" s="135"/>
      <c r="AF70" s="135"/>
      <c r="AG70" s="135"/>
      <c r="AH70" s="135"/>
      <c r="AI70" s="135"/>
      <c r="AJ70" s="135"/>
      <c r="AK70" s="135"/>
      <c r="AL70" s="135"/>
      <c r="AM70" s="135"/>
      <c r="AN70" s="135"/>
      <c r="AO70" s="135"/>
      <c r="AP70" s="135"/>
      <c r="AQ70" s="135"/>
      <c r="AR70" s="135"/>
      <c r="AS70" s="135"/>
      <c r="AT70" s="135"/>
      <c r="AU70" s="135"/>
      <c r="AV70" s="135"/>
      <c r="AW70" s="145"/>
    </row>
    <row r="71" spans="1:49" ht="60" customHeight="1" x14ac:dyDescent="0.35">
      <c r="A71" s="142" t="s">
        <v>3581</v>
      </c>
      <c r="B71" s="128" t="s">
        <v>3590</v>
      </c>
      <c r="C71" s="129" t="s">
        <v>3591</v>
      </c>
      <c r="D71" s="131" t="s">
        <v>3592</v>
      </c>
      <c r="E71" s="131" t="s">
        <v>3593</v>
      </c>
      <c r="F71" s="131" t="s">
        <v>3594</v>
      </c>
      <c r="G71" s="131" t="s">
        <v>3595</v>
      </c>
      <c r="H71" s="131" t="s">
        <v>3596</v>
      </c>
      <c r="I71" s="133" t="str">
        <f>IF(COUNTIF(J71:AW71,"&lt;&gt;")=0,"",SUMPRODUCT(((Recommendations[ImplStatus]="Implemented")+(Recommendations[ImplStatus]="Compensated"))*ISNUMBER(MATCH(Recommendations[Id],J71:AW71,0)))/COUNTIF(J71:AW71,"&lt;&gt;"))</f>
        <v/>
      </c>
      <c r="J71" s="135"/>
      <c r="K71" s="135"/>
      <c r="L71" s="135"/>
      <c r="M71" s="135"/>
      <c r="N71" s="135"/>
      <c r="O71" s="135"/>
      <c r="P71" s="135"/>
      <c r="Q71" s="135"/>
      <c r="R71" s="135"/>
      <c r="S71" s="135"/>
      <c r="T71" s="135"/>
      <c r="U71" s="135"/>
      <c r="V71" s="135"/>
      <c r="W71" s="135"/>
      <c r="X71" s="135"/>
      <c r="Y71" s="135"/>
      <c r="Z71" s="135"/>
      <c r="AA71" s="135"/>
      <c r="AB71" s="135"/>
      <c r="AC71" s="135"/>
      <c r="AD71" s="135"/>
      <c r="AE71" s="135"/>
      <c r="AF71" s="135"/>
      <c r="AG71" s="135"/>
      <c r="AH71" s="135"/>
      <c r="AI71" s="135"/>
      <c r="AJ71" s="135"/>
      <c r="AK71" s="135"/>
      <c r="AL71" s="135"/>
      <c r="AM71" s="135"/>
      <c r="AN71" s="135"/>
      <c r="AO71" s="135"/>
      <c r="AP71" s="135"/>
      <c r="AQ71" s="135"/>
      <c r="AR71" s="135"/>
      <c r="AS71" s="135"/>
      <c r="AT71" s="135"/>
      <c r="AU71" s="135"/>
      <c r="AV71" s="135"/>
      <c r="AW71" s="145"/>
    </row>
    <row r="72" spans="1:49" ht="60" customHeight="1" outlineLevel="1" x14ac:dyDescent="0.35">
      <c r="A72" s="141" t="s">
        <v>3597</v>
      </c>
      <c r="B72" s="127"/>
      <c r="C72" s="126" t="s">
        <v>3598</v>
      </c>
      <c r="D72" s="130"/>
      <c r="E72" s="130"/>
      <c r="F72" s="130"/>
      <c r="G72" s="130"/>
      <c r="H72" s="130"/>
      <c r="I72" s="132" t="str">
        <f>IF(COUNTIF(J72:AW72,"&lt;&gt;")=0,"",SUMPRODUCT(((Recommendations[ImplStatus]="Implemented")+(Recommendations[ImplStatus]="Compensated"))*ISNUMBER(MATCH(Recommendations[Id],J72:AW72,0)))/COUNTIF(J72:AW72,"&lt;&gt;"))</f>
        <v/>
      </c>
      <c r="J72" s="134"/>
      <c r="K72" s="134"/>
      <c r="L72" s="134"/>
      <c r="M72" s="134"/>
      <c r="N72" s="134"/>
      <c r="O72" s="134"/>
      <c r="P72" s="134"/>
      <c r="Q72" s="134"/>
      <c r="R72" s="134"/>
      <c r="S72" s="134"/>
      <c r="T72" s="134"/>
      <c r="U72" s="134"/>
      <c r="V72" s="134"/>
      <c r="W72" s="134"/>
      <c r="X72" s="134"/>
      <c r="Y72" s="134"/>
      <c r="Z72" s="134"/>
      <c r="AA72" s="134"/>
      <c r="AB72" s="134"/>
      <c r="AC72" s="134"/>
      <c r="AD72" s="134"/>
      <c r="AE72" s="134"/>
      <c r="AF72" s="134"/>
      <c r="AG72" s="134"/>
      <c r="AH72" s="134"/>
      <c r="AI72" s="134"/>
      <c r="AJ72" s="134"/>
      <c r="AK72" s="134"/>
      <c r="AL72" s="134"/>
      <c r="AM72" s="134"/>
      <c r="AN72" s="134"/>
      <c r="AO72" s="134"/>
      <c r="AP72" s="134"/>
      <c r="AQ72" s="134"/>
      <c r="AR72" s="134"/>
      <c r="AS72" s="134"/>
      <c r="AT72" s="134"/>
      <c r="AU72" s="134"/>
      <c r="AV72" s="134"/>
      <c r="AW72" s="144"/>
    </row>
    <row r="73" spans="1:49" ht="60" customHeight="1" x14ac:dyDescent="0.35">
      <c r="A73" s="142" t="s">
        <v>3597</v>
      </c>
      <c r="B73" s="128" t="s">
        <v>3599</v>
      </c>
      <c r="C73" s="129" t="s">
        <v>3600</v>
      </c>
      <c r="D73" s="131" t="s">
        <v>3601</v>
      </c>
      <c r="E73" s="131" t="s">
        <v>3602</v>
      </c>
      <c r="F73" s="131" t="s">
        <v>3603</v>
      </c>
      <c r="G73" s="131" t="s">
        <v>3604</v>
      </c>
      <c r="H73" s="131" t="s">
        <v>3605</v>
      </c>
      <c r="I73" s="133" t="str">
        <f>IF(COUNTIF(J73:AW73,"&lt;&gt;")=0,"",SUMPRODUCT(((Recommendations[ImplStatus]="Implemented")+(Recommendations[ImplStatus]="Compensated"))*ISNUMBER(MATCH(Recommendations[Id],J73:AW73,0)))/COUNTIF(J73:AW73,"&lt;&gt;"))</f>
        <v/>
      </c>
      <c r="J73" s="135"/>
      <c r="K73" s="135"/>
      <c r="L73" s="135"/>
      <c r="M73" s="135"/>
      <c r="N73" s="135"/>
      <c r="O73" s="135"/>
      <c r="P73" s="135"/>
      <c r="Q73" s="135"/>
      <c r="R73" s="135"/>
      <c r="S73" s="135"/>
      <c r="T73" s="135"/>
      <c r="U73" s="135"/>
      <c r="V73" s="135"/>
      <c r="W73" s="135"/>
      <c r="X73" s="135"/>
      <c r="Y73" s="135"/>
      <c r="Z73" s="135"/>
      <c r="AA73" s="135"/>
      <c r="AB73" s="135"/>
      <c r="AC73" s="135"/>
      <c r="AD73" s="135"/>
      <c r="AE73" s="135"/>
      <c r="AF73" s="135"/>
      <c r="AG73" s="135"/>
      <c r="AH73" s="135"/>
      <c r="AI73" s="135"/>
      <c r="AJ73" s="135"/>
      <c r="AK73" s="135"/>
      <c r="AL73" s="135"/>
      <c r="AM73" s="135"/>
      <c r="AN73" s="135"/>
      <c r="AO73" s="135"/>
      <c r="AP73" s="135"/>
      <c r="AQ73" s="135"/>
      <c r="AR73" s="135"/>
      <c r="AS73" s="135"/>
      <c r="AT73" s="135"/>
      <c r="AU73" s="135"/>
      <c r="AV73" s="135"/>
      <c r="AW73" s="145"/>
    </row>
    <row r="74" spans="1:49" ht="60" customHeight="1" x14ac:dyDescent="0.35">
      <c r="A74" s="142" t="s">
        <v>3597</v>
      </c>
      <c r="B74" s="128" t="s">
        <v>3606</v>
      </c>
      <c r="C74" s="129" t="s">
        <v>3607</v>
      </c>
      <c r="D74" s="131" t="s">
        <v>3608</v>
      </c>
      <c r="E74" s="131" t="s">
        <v>3609</v>
      </c>
      <c r="F74" s="131" t="s">
        <v>3610</v>
      </c>
      <c r="G74" s="131" t="s">
        <v>3611</v>
      </c>
      <c r="H74" s="131" t="s">
        <v>3612</v>
      </c>
      <c r="I74" s="133" t="str">
        <f>IF(COUNTIF(J74:AW74,"&lt;&gt;")=0,"",SUMPRODUCT(((Recommendations[ImplStatus]="Implemented")+(Recommendations[ImplStatus]="Compensated"))*ISNUMBER(MATCH(Recommendations[Id],J74:AW74,0)))/COUNTIF(J74:AW74,"&lt;&gt;"))</f>
        <v/>
      </c>
      <c r="J74" s="135"/>
      <c r="K74" s="135"/>
      <c r="L74" s="135"/>
      <c r="M74" s="135"/>
      <c r="N74" s="135"/>
      <c r="O74" s="135"/>
      <c r="P74" s="135"/>
      <c r="Q74" s="135"/>
      <c r="R74" s="135"/>
      <c r="S74" s="135"/>
      <c r="T74" s="135"/>
      <c r="U74" s="135"/>
      <c r="V74" s="135"/>
      <c r="W74" s="135"/>
      <c r="X74" s="135"/>
      <c r="Y74" s="135"/>
      <c r="Z74" s="135"/>
      <c r="AA74" s="135"/>
      <c r="AB74" s="135"/>
      <c r="AC74" s="135"/>
      <c r="AD74" s="135"/>
      <c r="AE74" s="135"/>
      <c r="AF74" s="135"/>
      <c r="AG74" s="135"/>
      <c r="AH74" s="135"/>
      <c r="AI74" s="135"/>
      <c r="AJ74" s="135"/>
      <c r="AK74" s="135"/>
      <c r="AL74" s="135"/>
      <c r="AM74" s="135"/>
      <c r="AN74" s="135"/>
      <c r="AO74" s="135"/>
      <c r="AP74" s="135"/>
      <c r="AQ74" s="135"/>
      <c r="AR74" s="135"/>
      <c r="AS74" s="135"/>
      <c r="AT74" s="135"/>
      <c r="AU74" s="135"/>
      <c r="AV74" s="135"/>
      <c r="AW74" s="145"/>
    </row>
    <row r="75" spans="1:49" ht="60" customHeight="1" x14ac:dyDescent="0.35">
      <c r="A75" s="142" t="s">
        <v>3597</v>
      </c>
      <c r="B75" s="128" t="s">
        <v>3613</v>
      </c>
      <c r="C75" s="129" t="s">
        <v>3614</v>
      </c>
      <c r="D75" s="131" t="s">
        <v>3615</v>
      </c>
      <c r="E75" s="131" t="s">
        <v>3616</v>
      </c>
      <c r="F75" s="131" t="s">
        <v>3617</v>
      </c>
      <c r="G75" s="131" t="s">
        <v>3618</v>
      </c>
      <c r="H75" s="131" t="s">
        <v>3619</v>
      </c>
      <c r="I75" s="133" t="str">
        <f>IF(COUNTIF(J75:AW75,"&lt;&gt;")=0,"",SUMPRODUCT(((Recommendations[ImplStatus]="Implemented")+(Recommendations[ImplStatus]="Compensated"))*ISNUMBER(MATCH(Recommendations[Id],J75:AW75,0)))/COUNTIF(J75:AW75,"&lt;&gt;"))</f>
        <v/>
      </c>
      <c r="J75" s="135"/>
      <c r="K75" s="135"/>
      <c r="L75" s="135"/>
      <c r="M75" s="135"/>
      <c r="N75" s="135"/>
      <c r="O75" s="135"/>
      <c r="P75" s="135"/>
      <c r="Q75" s="135"/>
      <c r="R75" s="135"/>
      <c r="S75" s="135"/>
      <c r="T75" s="135"/>
      <c r="U75" s="135"/>
      <c r="V75" s="135"/>
      <c r="W75" s="135"/>
      <c r="X75" s="135"/>
      <c r="Y75" s="135"/>
      <c r="Z75" s="135"/>
      <c r="AA75" s="135"/>
      <c r="AB75" s="135"/>
      <c r="AC75" s="135"/>
      <c r="AD75" s="135"/>
      <c r="AE75" s="135"/>
      <c r="AF75" s="135"/>
      <c r="AG75" s="135"/>
      <c r="AH75" s="135"/>
      <c r="AI75" s="135"/>
      <c r="AJ75" s="135"/>
      <c r="AK75" s="135"/>
      <c r="AL75" s="135"/>
      <c r="AM75" s="135"/>
      <c r="AN75" s="135"/>
      <c r="AO75" s="135"/>
      <c r="AP75" s="135"/>
      <c r="AQ75" s="135"/>
      <c r="AR75" s="135"/>
      <c r="AS75" s="135"/>
      <c r="AT75" s="135"/>
      <c r="AU75" s="135"/>
      <c r="AV75" s="135"/>
      <c r="AW75" s="145"/>
    </row>
    <row r="76" spans="1:49" ht="60" customHeight="1" x14ac:dyDescent="0.35">
      <c r="A76" s="142" t="s">
        <v>3597</v>
      </c>
      <c r="B76" s="128" t="s">
        <v>3620</v>
      </c>
      <c r="C76" s="129" t="s">
        <v>3621</v>
      </c>
      <c r="D76" s="131" t="s">
        <v>3622</v>
      </c>
      <c r="E76" s="131" t="s">
        <v>3623</v>
      </c>
      <c r="F76" s="131" t="s">
        <v>3624</v>
      </c>
      <c r="G76" s="131" t="s">
        <v>3625</v>
      </c>
      <c r="H76" s="131" t="s">
        <v>3626</v>
      </c>
      <c r="I76" s="133" t="str">
        <f>IF(COUNTIF(J76:AW76,"&lt;&gt;")=0,"",SUMPRODUCT(((Recommendations[ImplStatus]="Implemented")+(Recommendations[ImplStatus]="Compensated"))*ISNUMBER(MATCH(Recommendations[Id],J76:AW76,0)))/COUNTIF(J76:AW76,"&lt;&gt;"))</f>
        <v/>
      </c>
      <c r="J76" s="135"/>
      <c r="K76" s="135"/>
      <c r="L76" s="135"/>
      <c r="M76" s="135"/>
      <c r="N76" s="135"/>
      <c r="O76" s="135"/>
      <c r="P76" s="135"/>
      <c r="Q76" s="135"/>
      <c r="R76" s="135"/>
      <c r="S76" s="135"/>
      <c r="T76" s="135"/>
      <c r="U76" s="135"/>
      <c r="V76" s="135"/>
      <c r="W76" s="135"/>
      <c r="X76" s="135"/>
      <c r="Y76" s="135"/>
      <c r="Z76" s="135"/>
      <c r="AA76" s="135"/>
      <c r="AB76" s="135"/>
      <c r="AC76" s="135"/>
      <c r="AD76" s="135"/>
      <c r="AE76" s="135"/>
      <c r="AF76" s="135"/>
      <c r="AG76" s="135"/>
      <c r="AH76" s="135"/>
      <c r="AI76" s="135"/>
      <c r="AJ76" s="135"/>
      <c r="AK76" s="135"/>
      <c r="AL76" s="135"/>
      <c r="AM76" s="135"/>
      <c r="AN76" s="135"/>
      <c r="AO76" s="135"/>
      <c r="AP76" s="135"/>
      <c r="AQ76" s="135"/>
      <c r="AR76" s="135"/>
      <c r="AS76" s="135"/>
      <c r="AT76" s="135"/>
      <c r="AU76" s="135"/>
      <c r="AV76" s="135"/>
      <c r="AW76" s="145"/>
    </row>
    <row r="77" spans="1:49" ht="60" customHeight="1" x14ac:dyDescent="0.35">
      <c r="A77" s="142" t="s">
        <v>3597</v>
      </c>
      <c r="B77" s="128" t="s">
        <v>3627</v>
      </c>
      <c r="C77" s="129" t="s">
        <v>3628</v>
      </c>
      <c r="D77" s="131" t="s">
        <v>3629</v>
      </c>
      <c r="E77" s="131" t="s">
        <v>3630</v>
      </c>
      <c r="F77" s="131" t="s">
        <v>3631</v>
      </c>
      <c r="G77" s="131" t="s">
        <v>3625</v>
      </c>
      <c r="H77" s="131" t="s">
        <v>3632</v>
      </c>
      <c r="I77" s="133" t="str">
        <f>IF(COUNTIF(J77:AW77,"&lt;&gt;")=0,"",SUMPRODUCT(((Recommendations[ImplStatus]="Implemented")+(Recommendations[ImplStatus]="Compensated"))*ISNUMBER(MATCH(Recommendations[Id],J77:AW77,0)))/COUNTIF(J77:AW77,"&lt;&gt;"))</f>
        <v/>
      </c>
      <c r="J77" s="135"/>
      <c r="K77" s="135"/>
      <c r="L77" s="135"/>
      <c r="M77" s="135"/>
      <c r="N77" s="135"/>
      <c r="O77" s="135"/>
      <c r="P77" s="135"/>
      <c r="Q77" s="135"/>
      <c r="R77" s="135"/>
      <c r="S77" s="135"/>
      <c r="T77" s="135"/>
      <c r="U77" s="135"/>
      <c r="V77" s="135"/>
      <c r="W77" s="135"/>
      <c r="X77" s="135"/>
      <c r="Y77" s="135"/>
      <c r="Z77" s="135"/>
      <c r="AA77" s="135"/>
      <c r="AB77" s="135"/>
      <c r="AC77" s="135"/>
      <c r="AD77" s="135"/>
      <c r="AE77" s="135"/>
      <c r="AF77" s="135"/>
      <c r="AG77" s="135"/>
      <c r="AH77" s="135"/>
      <c r="AI77" s="135"/>
      <c r="AJ77" s="135"/>
      <c r="AK77" s="135"/>
      <c r="AL77" s="135"/>
      <c r="AM77" s="135"/>
      <c r="AN77" s="135"/>
      <c r="AO77" s="135"/>
      <c r="AP77" s="135"/>
      <c r="AQ77" s="135"/>
      <c r="AR77" s="135"/>
      <c r="AS77" s="135"/>
      <c r="AT77" s="135"/>
      <c r="AU77" s="135"/>
      <c r="AV77" s="135"/>
      <c r="AW77" s="145"/>
    </row>
    <row r="78" spans="1:49" ht="60" customHeight="1" outlineLevel="1" x14ac:dyDescent="0.35">
      <c r="A78" s="141" t="s">
        <v>3633</v>
      </c>
      <c r="B78" s="127"/>
      <c r="C78" s="126" t="s">
        <v>3634</v>
      </c>
      <c r="D78" s="130"/>
      <c r="E78" s="130"/>
      <c r="F78" s="130"/>
      <c r="G78" s="130"/>
      <c r="H78" s="130"/>
      <c r="I78" s="132" t="str">
        <f>IF(COUNTIF(J78:AW78,"&lt;&gt;")=0,"",SUMPRODUCT(((Recommendations[ImplStatus]="Implemented")+(Recommendations[ImplStatus]="Compensated"))*ISNUMBER(MATCH(Recommendations[Id],J78:AW78,0)))/COUNTIF(J78:AW78,"&lt;&gt;"))</f>
        <v/>
      </c>
      <c r="J78" s="134"/>
      <c r="K78" s="134"/>
      <c r="L78" s="134"/>
      <c r="M78" s="134"/>
      <c r="N78" s="134"/>
      <c r="O78" s="134"/>
      <c r="P78" s="134"/>
      <c r="Q78" s="134"/>
      <c r="R78" s="134"/>
      <c r="S78" s="134"/>
      <c r="T78" s="134"/>
      <c r="U78" s="134"/>
      <c r="V78" s="134"/>
      <c r="W78" s="134"/>
      <c r="X78" s="134"/>
      <c r="Y78" s="134"/>
      <c r="Z78" s="134"/>
      <c r="AA78" s="134"/>
      <c r="AB78" s="134"/>
      <c r="AC78" s="134"/>
      <c r="AD78" s="134"/>
      <c r="AE78" s="134"/>
      <c r="AF78" s="134"/>
      <c r="AG78" s="134"/>
      <c r="AH78" s="134"/>
      <c r="AI78" s="134"/>
      <c r="AJ78" s="134"/>
      <c r="AK78" s="134"/>
      <c r="AL78" s="134"/>
      <c r="AM78" s="134"/>
      <c r="AN78" s="134"/>
      <c r="AO78" s="134"/>
      <c r="AP78" s="134"/>
      <c r="AQ78" s="134"/>
      <c r="AR78" s="134"/>
      <c r="AS78" s="134"/>
      <c r="AT78" s="134"/>
      <c r="AU78" s="134"/>
      <c r="AV78" s="134"/>
      <c r="AW78" s="144"/>
    </row>
    <row r="79" spans="1:49" ht="60" customHeight="1" x14ac:dyDescent="0.35">
      <c r="A79" s="142" t="s">
        <v>3633</v>
      </c>
      <c r="B79" s="128" t="s">
        <v>3633</v>
      </c>
      <c r="C79" s="129" t="s">
        <v>3635</v>
      </c>
      <c r="D79" s="131" t="s">
        <v>3636</v>
      </c>
      <c r="E79" s="131" t="s">
        <v>3637</v>
      </c>
      <c r="F79" s="131" t="s">
        <v>3638</v>
      </c>
      <c r="G79" s="131" t="s">
        <v>3639</v>
      </c>
      <c r="H79" s="131" t="s">
        <v>3640</v>
      </c>
      <c r="I79" s="133" t="str">
        <f>IF(COUNTIF(J79:AW79,"&lt;&gt;")=0,"",SUMPRODUCT(((Recommendations[ImplStatus]="Implemented")+(Recommendations[ImplStatus]="Compensated"))*ISNUMBER(MATCH(Recommendations[Id],J79:AW79,0)))/COUNTIF(J79:AW79,"&lt;&gt;"))</f>
        <v/>
      </c>
      <c r="J79" s="135"/>
      <c r="K79" s="135"/>
      <c r="L79" s="135"/>
      <c r="M79" s="135"/>
      <c r="N79" s="135"/>
      <c r="O79" s="135"/>
      <c r="P79" s="135"/>
      <c r="Q79" s="135"/>
      <c r="R79" s="135"/>
      <c r="S79" s="135"/>
      <c r="T79" s="135"/>
      <c r="U79" s="135"/>
      <c r="V79" s="135"/>
      <c r="W79" s="135"/>
      <c r="X79" s="135"/>
      <c r="Y79" s="135"/>
      <c r="Z79" s="135"/>
      <c r="AA79" s="135"/>
      <c r="AB79" s="135"/>
      <c r="AC79" s="135"/>
      <c r="AD79" s="135"/>
      <c r="AE79" s="135"/>
      <c r="AF79" s="135"/>
      <c r="AG79" s="135"/>
      <c r="AH79" s="135"/>
      <c r="AI79" s="135"/>
      <c r="AJ79" s="135"/>
      <c r="AK79" s="135"/>
      <c r="AL79" s="135"/>
      <c r="AM79" s="135"/>
      <c r="AN79" s="135"/>
      <c r="AO79" s="135"/>
      <c r="AP79" s="135"/>
      <c r="AQ79" s="135"/>
      <c r="AR79" s="135"/>
      <c r="AS79" s="135"/>
      <c r="AT79" s="135"/>
      <c r="AU79" s="135"/>
      <c r="AV79" s="135"/>
      <c r="AW79" s="145"/>
    </row>
    <row r="80" spans="1:49" ht="60" customHeight="1" x14ac:dyDescent="0.35">
      <c r="A80" s="142" t="s">
        <v>3633</v>
      </c>
      <c r="B80" s="128" t="s">
        <v>3641</v>
      </c>
      <c r="C80" s="129" t="s">
        <v>3642</v>
      </c>
      <c r="D80" s="131" t="s">
        <v>3643</v>
      </c>
      <c r="E80" s="131" t="s">
        <v>3644</v>
      </c>
      <c r="F80" s="131" t="s">
        <v>3645</v>
      </c>
      <c r="G80" s="131" t="s">
        <v>3646</v>
      </c>
      <c r="H80" s="131" t="s">
        <v>3647</v>
      </c>
      <c r="I80" s="133" t="str">
        <f>IF(COUNTIF(J80:AW80,"&lt;&gt;")=0,"",SUMPRODUCT(((Recommendations[ImplStatus]="Implemented")+(Recommendations[ImplStatus]="Compensated"))*ISNUMBER(MATCH(Recommendations[Id],J80:AW80,0)))/COUNTIF(J80:AW80,"&lt;&gt;"))</f>
        <v/>
      </c>
      <c r="J80" s="135"/>
      <c r="K80" s="135"/>
      <c r="L80" s="135"/>
      <c r="M80" s="135"/>
      <c r="N80" s="135"/>
      <c r="O80" s="135"/>
      <c r="P80" s="135"/>
      <c r="Q80" s="135"/>
      <c r="R80" s="135"/>
      <c r="S80" s="135"/>
      <c r="T80" s="135"/>
      <c r="U80" s="135"/>
      <c r="V80" s="135"/>
      <c r="W80" s="135"/>
      <c r="X80" s="135"/>
      <c r="Y80" s="135"/>
      <c r="Z80" s="135"/>
      <c r="AA80" s="135"/>
      <c r="AB80" s="135"/>
      <c r="AC80" s="135"/>
      <c r="AD80" s="135"/>
      <c r="AE80" s="135"/>
      <c r="AF80" s="135"/>
      <c r="AG80" s="135"/>
      <c r="AH80" s="135"/>
      <c r="AI80" s="135"/>
      <c r="AJ80" s="135"/>
      <c r="AK80" s="135"/>
      <c r="AL80" s="135"/>
      <c r="AM80" s="135"/>
      <c r="AN80" s="135"/>
      <c r="AO80" s="135"/>
      <c r="AP80" s="135"/>
      <c r="AQ80" s="135"/>
      <c r="AR80" s="135"/>
      <c r="AS80" s="135"/>
      <c r="AT80" s="135"/>
      <c r="AU80" s="135"/>
      <c r="AV80" s="135"/>
      <c r="AW80" s="145"/>
    </row>
    <row r="81" spans="1:49" ht="60" customHeight="1" x14ac:dyDescent="0.35">
      <c r="A81" s="142" t="s">
        <v>3633</v>
      </c>
      <c r="B81" s="128" t="s">
        <v>3648</v>
      </c>
      <c r="C81" s="129" t="s">
        <v>3649</v>
      </c>
      <c r="D81" s="131" t="s">
        <v>3650</v>
      </c>
      <c r="E81" s="131" t="s">
        <v>3651</v>
      </c>
      <c r="F81" s="131" t="s">
        <v>3652</v>
      </c>
      <c r="G81" s="131" t="s">
        <v>3653</v>
      </c>
      <c r="H81" s="131" t="s">
        <v>3654</v>
      </c>
      <c r="I81" s="133" t="str">
        <f>IF(COUNTIF(J81:AW81,"&lt;&gt;")=0,"",SUMPRODUCT(((Recommendations[ImplStatus]="Implemented")+(Recommendations[ImplStatus]="Compensated"))*ISNUMBER(MATCH(Recommendations[Id],J81:AW81,0)))/COUNTIF(J81:AW81,"&lt;&gt;"))</f>
        <v/>
      </c>
      <c r="J81" s="135"/>
      <c r="K81" s="135"/>
      <c r="L81" s="135"/>
      <c r="M81" s="135"/>
      <c r="N81" s="135"/>
      <c r="O81" s="135"/>
      <c r="P81" s="135"/>
      <c r="Q81" s="135"/>
      <c r="R81" s="135"/>
      <c r="S81" s="135"/>
      <c r="T81" s="135"/>
      <c r="U81" s="135"/>
      <c r="V81" s="135"/>
      <c r="W81" s="135"/>
      <c r="X81" s="135"/>
      <c r="Y81" s="135"/>
      <c r="Z81" s="135"/>
      <c r="AA81" s="135"/>
      <c r="AB81" s="135"/>
      <c r="AC81" s="135"/>
      <c r="AD81" s="135"/>
      <c r="AE81" s="135"/>
      <c r="AF81" s="135"/>
      <c r="AG81" s="135"/>
      <c r="AH81" s="135"/>
      <c r="AI81" s="135"/>
      <c r="AJ81" s="135"/>
      <c r="AK81" s="135"/>
      <c r="AL81" s="135"/>
      <c r="AM81" s="135"/>
      <c r="AN81" s="135"/>
      <c r="AO81" s="135"/>
      <c r="AP81" s="135"/>
      <c r="AQ81" s="135"/>
      <c r="AR81" s="135"/>
      <c r="AS81" s="135"/>
      <c r="AT81" s="135"/>
      <c r="AU81" s="135"/>
      <c r="AV81" s="135"/>
      <c r="AW81" s="145"/>
    </row>
    <row r="82" spans="1:49" ht="60" customHeight="1" outlineLevel="1" x14ac:dyDescent="0.35">
      <c r="A82" s="141" t="s">
        <v>3655</v>
      </c>
      <c r="B82" s="127"/>
      <c r="C82" s="126" t="s">
        <v>3656</v>
      </c>
      <c r="D82" s="130"/>
      <c r="E82" s="130"/>
      <c r="F82" s="130"/>
      <c r="G82" s="130"/>
      <c r="H82" s="130"/>
      <c r="I82" s="132" t="str">
        <f>IF(COUNTIF(J82:AW82,"&lt;&gt;")=0,"",SUMPRODUCT(((Recommendations[ImplStatus]="Implemented")+(Recommendations[ImplStatus]="Compensated"))*ISNUMBER(MATCH(Recommendations[Id],J82:AW82,0)))/COUNTIF(J82:AW82,"&lt;&gt;"))</f>
        <v/>
      </c>
      <c r="J82" s="134"/>
      <c r="K82" s="134"/>
      <c r="L82" s="134"/>
      <c r="M82" s="134"/>
      <c r="N82" s="134"/>
      <c r="O82" s="134"/>
      <c r="P82" s="134"/>
      <c r="Q82" s="134"/>
      <c r="R82" s="134"/>
      <c r="S82" s="134"/>
      <c r="T82" s="134"/>
      <c r="U82" s="134"/>
      <c r="V82" s="134"/>
      <c r="W82" s="134"/>
      <c r="X82" s="134"/>
      <c r="Y82" s="134"/>
      <c r="Z82" s="134"/>
      <c r="AA82" s="134"/>
      <c r="AB82" s="134"/>
      <c r="AC82" s="134"/>
      <c r="AD82" s="134"/>
      <c r="AE82" s="134"/>
      <c r="AF82" s="134"/>
      <c r="AG82" s="134"/>
      <c r="AH82" s="134"/>
      <c r="AI82" s="134"/>
      <c r="AJ82" s="134"/>
      <c r="AK82" s="134"/>
      <c r="AL82" s="134"/>
      <c r="AM82" s="134"/>
      <c r="AN82" s="134"/>
      <c r="AO82" s="134"/>
      <c r="AP82" s="134"/>
      <c r="AQ82" s="134"/>
      <c r="AR82" s="134"/>
      <c r="AS82" s="134"/>
      <c r="AT82" s="134"/>
      <c r="AU82" s="134"/>
      <c r="AV82" s="134"/>
      <c r="AW82" s="144"/>
    </row>
    <row r="83" spans="1:49" ht="60" customHeight="1" x14ac:dyDescent="0.35">
      <c r="A83" s="142" t="s">
        <v>3655</v>
      </c>
      <c r="B83" s="128" t="s">
        <v>3657</v>
      </c>
      <c r="C83" s="129" t="s">
        <v>3658</v>
      </c>
      <c r="D83" s="131" t="s">
        <v>3659</v>
      </c>
      <c r="E83" s="131" t="s">
        <v>3660</v>
      </c>
      <c r="F83" s="131" t="s">
        <v>3661</v>
      </c>
      <c r="G83" s="131" t="s">
        <v>3662</v>
      </c>
      <c r="H83" s="131" t="s">
        <v>3663</v>
      </c>
      <c r="I83" s="133" t="str">
        <f>IF(COUNTIF(J83:AW83,"&lt;&gt;")=0,"",SUMPRODUCT(((Recommendations[ImplStatus]="Implemented")+(Recommendations[ImplStatus]="Compensated"))*ISNUMBER(MATCH(Recommendations[Id],J83:AW83,0)))/COUNTIF(J83:AW83,"&lt;&gt;"))</f>
        <v/>
      </c>
      <c r="J83" s="135"/>
      <c r="K83" s="135"/>
      <c r="L83" s="135"/>
      <c r="M83" s="135"/>
      <c r="N83" s="135"/>
      <c r="O83" s="135"/>
      <c r="P83" s="135"/>
      <c r="Q83" s="135"/>
      <c r="R83" s="135"/>
      <c r="S83" s="135"/>
      <c r="T83" s="135"/>
      <c r="U83" s="135"/>
      <c r="V83" s="135"/>
      <c r="W83" s="135"/>
      <c r="X83" s="135"/>
      <c r="Y83" s="135"/>
      <c r="Z83" s="135"/>
      <c r="AA83" s="135"/>
      <c r="AB83" s="135"/>
      <c r="AC83" s="135"/>
      <c r="AD83" s="135"/>
      <c r="AE83" s="135"/>
      <c r="AF83" s="135"/>
      <c r="AG83" s="135"/>
      <c r="AH83" s="135"/>
      <c r="AI83" s="135"/>
      <c r="AJ83" s="135"/>
      <c r="AK83" s="135"/>
      <c r="AL83" s="135"/>
      <c r="AM83" s="135"/>
      <c r="AN83" s="135"/>
      <c r="AO83" s="135"/>
      <c r="AP83" s="135"/>
      <c r="AQ83" s="135"/>
      <c r="AR83" s="135"/>
      <c r="AS83" s="135"/>
      <c r="AT83" s="135"/>
      <c r="AU83" s="135"/>
      <c r="AV83" s="135"/>
      <c r="AW83" s="145"/>
    </row>
    <row r="84" spans="1:49" ht="60" customHeight="1" x14ac:dyDescent="0.35">
      <c r="A84" s="142" t="s">
        <v>3655</v>
      </c>
      <c r="B84" s="128" t="s">
        <v>3664</v>
      </c>
      <c r="C84" s="129" t="s">
        <v>3665</v>
      </c>
      <c r="D84" s="131" t="s">
        <v>3666</v>
      </c>
      <c r="E84" s="131" t="s">
        <v>3667</v>
      </c>
      <c r="F84" s="131" t="s">
        <v>3668</v>
      </c>
      <c r="G84" s="131" t="s">
        <v>3669</v>
      </c>
      <c r="H84" s="131" t="s">
        <v>3670</v>
      </c>
      <c r="I84" s="133" t="str">
        <f>IF(COUNTIF(J84:AW84,"&lt;&gt;")=0,"",SUMPRODUCT(((Recommendations[ImplStatus]="Implemented")+(Recommendations[ImplStatus]="Compensated"))*ISNUMBER(MATCH(Recommendations[Id],J84:AW84,0)))/COUNTIF(J84:AW84,"&lt;&gt;"))</f>
        <v/>
      </c>
      <c r="J84" s="135"/>
      <c r="K84" s="135"/>
      <c r="L84" s="135"/>
      <c r="M84" s="135"/>
      <c r="N84" s="135"/>
      <c r="O84" s="135"/>
      <c r="P84" s="135"/>
      <c r="Q84" s="135"/>
      <c r="R84" s="135"/>
      <c r="S84" s="135"/>
      <c r="T84" s="135"/>
      <c r="U84" s="135"/>
      <c r="V84" s="135"/>
      <c r="W84" s="135"/>
      <c r="X84" s="135"/>
      <c r="Y84" s="135"/>
      <c r="Z84" s="135"/>
      <c r="AA84" s="135"/>
      <c r="AB84" s="135"/>
      <c r="AC84" s="135"/>
      <c r="AD84" s="135"/>
      <c r="AE84" s="135"/>
      <c r="AF84" s="135"/>
      <c r="AG84" s="135"/>
      <c r="AH84" s="135"/>
      <c r="AI84" s="135"/>
      <c r="AJ84" s="135"/>
      <c r="AK84" s="135"/>
      <c r="AL84" s="135"/>
      <c r="AM84" s="135"/>
      <c r="AN84" s="135"/>
      <c r="AO84" s="135"/>
      <c r="AP84" s="135"/>
      <c r="AQ84" s="135"/>
      <c r="AR84" s="135"/>
      <c r="AS84" s="135"/>
      <c r="AT84" s="135"/>
      <c r="AU84" s="135"/>
      <c r="AV84" s="135"/>
      <c r="AW84" s="145"/>
    </row>
    <row r="85" spans="1:49" ht="60" customHeight="1" x14ac:dyDescent="0.35">
      <c r="A85" s="142" t="s">
        <v>3655</v>
      </c>
      <c r="B85" s="128" t="s">
        <v>3671</v>
      </c>
      <c r="C85" s="129" t="s">
        <v>3672</v>
      </c>
      <c r="D85" s="131" t="s">
        <v>3673</v>
      </c>
      <c r="E85" s="131" t="s">
        <v>3674</v>
      </c>
      <c r="F85" s="131" t="s">
        <v>3675</v>
      </c>
      <c r="G85" s="131" t="s">
        <v>3676</v>
      </c>
      <c r="H85" s="131" t="s">
        <v>3677</v>
      </c>
      <c r="I85" s="133" t="str">
        <f>IF(COUNTIF(J85:AW85,"&lt;&gt;")=0,"",SUMPRODUCT(((Recommendations[ImplStatus]="Implemented")+(Recommendations[ImplStatus]="Compensated"))*ISNUMBER(MATCH(Recommendations[Id],J85:AW85,0)))/COUNTIF(J85:AW85,"&lt;&gt;"))</f>
        <v/>
      </c>
      <c r="J85" s="135"/>
      <c r="K85" s="135"/>
      <c r="L85" s="135"/>
      <c r="M85" s="135"/>
      <c r="N85" s="135"/>
      <c r="O85" s="135"/>
      <c r="P85" s="135"/>
      <c r="Q85" s="135"/>
      <c r="R85" s="135"/>
      <c r="S85" s="135"/>
      <c r="T85" s="135"/>
      <c r="U85" s="135"/>
      <c r="V85" s="135"/>
      <c r="W85" s="135"/>
      <c r="X85" s="135"/>
      <c r="Y85" s="135"/>
      <c r="Z85" s="135"/>
      <c r="AA85" s="135"/>
      <c r="AB85" s="135"/>
      <c r="AC85" s="135"/>
      <c r="AD85" s="135"/>
      <c r="AE85" s="135"/>
      <c r="AF85" s="135"/>
      <c r="AG85" s="135"/>
      <c r="AH85" s="135"/>
      <c r="AI85" s="135"/>
      <c r="AJ85" s="135"/>
      <c r="AK85" s="135"/>
      <c r="AL85" s="135"/>
      <c r="AM85" s="135"/>
      <c r="AN85" s="135"/>
      <c r="AO85" s="135"/>
      <c r="AP85" s="135"/>
      <c r="AQ85" s="135"/>
      <c r="AR85" s="135"/>
      <c r="AS85" s="135"/>
      <c r="AT85" s="135"/>
      <c r="AU85" s="135"/>
      <c r="AV85" s="135"/>
      <c r="AW85" s="145"/>
    </row>
    <row r="86" spans="1:49" ht="60" customHeight="1" x14ac:dyDescent="0.35">
      <c r="A86" s="142" t="s">
        <v>3655</v>
      </c>
      <c r="B86" s="128" t="s">
        <v>3678</v>
      </c>
      <c r="C86" s="129" t="s">
        <v>3679</v>
      </c>
      <c r="D86" s="131" t="s">
        <v>3680</v>
      </c>
      <c r="E86" s="131" t="s">
        <v>3681</v>
      </c>
      <c r="F86" s="131" t="s">
        <v>3682</v>
      </c>
      <c r="G86" s="131" t="s">
        <v>3683</v>
      </c>
      <c r="H86" s="131" t="s">
        <v>21</v>
      </c>
      <c r="I86" s="133" t="str">
        <f>IF(COUNTIF(J86:AW86,"&lt;&gt;")=0,"",SUMPRODUCT(((Recommendations[ImplStatus]="Implemented")+(Recommendations[ImplStatus]="Compensated"))*ISNUMBER(MATCH(Recommendations[Id],J86:AW86,0)))/COUNTIF(J86:AW86,"&lt;&gt;"))</f>
        <v/>
      </c>
      <c r="J86" s="135"/>
      <c r="K86" s="135"/>
      <c r="L86" s="135"/>
      <c r="M86" s="135"/>
      <c r="N86" s="135"/>
      <c r="O86" s="135"/>
      <c r="P86" s="135"/>
      <c r="Q86" s="135"/>
      <c r="R86" s="135"/>
      <c r="S86" s="135"/>
      <c r="T86" s="135"/>
      <c r="U86" s="135"/>
      <c r="V86" s="135"/>
      <c r="W86" s="135"/>
      <c r="X86" s="135"/>
      <c r="Y86" s="135"/>
      <c r="Z86" s="135"/>
      <c r="AA86" s="135"/>
      <c r="AB86" s="135"/>
      <c r="AC86" s="135"/>
      <c r="AD86" s="135"/>
      <c r="AE86" s="135"/>
      <c r="AF86" s="135"/>
      <c r="AG86" s="135"/>
      <c r="AH86" s="135"/>
      <c r="AI86" s="135"/>
      <c r="AJ86" s="135"/>
      <c r="AK86" s="135"/>
      <c r="AL86" s="135"/>
      <c r="AM86" s="135"/>
      <c r="AN86" s="135"/>
      <c r="AO86" s="135"/>
      <c r="AP86" s="135"/>
      <c r="AQ86" s="135"/>
      <c r="AR86" s="135"/>
      <c r="AS86" s="135"/>
      <c r="AT86" s="135"/>
      <c r="AU86" s="135"/>
      <c r="AV86" s="135"/>
      <c r="AW86" s="145"/>
    </row>
    <row r="87" spans="1:49" ht="60" customHeight="1" outlineLevel="1" x14ac:dyDescent="0.35">
      <c r="A87" s="141" t="s">
        <v>3684</v>
      </c>
      <c r="B87" s="127"/>
      <c r="C87" s="126" t="s">
        <v>3685</v>
      </c>
      <c r="D87" s="130"/>
      <c r="E87" s="130"/>
      <c r="F87" s="130"/>
      <c r="G87" s="130"/>
      <c r="H87" s="130"/>
      <c r="I87" s="132" t="str">
        <f>IF(COUNTIF(J87:AW87,"&lt;&gt;")=0,"",SUMPRODUCT(((Recommendations[ImplStatus]="Implemented")+(Recommendations[ImplStatus]="Compensated"))*ISNUMBER(MATCH(Recommendations[Id],J87:AW87,0)))/COUNTIF(J87:AW87,"&lt;&gt;"))</f>
        <v/>
      </c>
      <c r="J87" s="134"/>
      <c r="K87" s="134"/>
      <c r="L87" s="134"/>
      <c r="M87" s="134"/>
      <c r="N87" s="134"/>
      <c r="O87" s="134"/>
      <c r="P87" s="134"/>
      <c r="Q87" s="134"/>
      <c r="R87" s="134"/>
      <c r="S87" s="134"/>
      <c r="T87" s="134"/>
      <c r="U87" s="134"/>
      <c r="V87" s="134"/>
      <c r="W87" s="134"/>
      <c r="X87" s="134"/>
      <c r="Y87" s="134"/>
      <c r="Z87" s="134"/>
      <c r="AA87" s="134"/>
      <c r="AB87" s="134"/>
      <c r="AC87" s="134"/>
      <c r="AD87" s="134"/>
      <c r="AE87" s="134"/>
      <c r="AF87" s="134"/>
      <c r="AG87" s="134"/>
      <c r="AH87" s="134"/>
      <c r="AI87" s="134"/>
      <c r="AJ87" s="134"/>
      <c r="AK87" s="134"/>
      <c r="AL87" s="134"/>
      <c r="AM87" s="134"/>
      <c r="AN87" s="134"/>
      <c r="AO87" s="134"/>
      <c r="AP87" s="134"/>
      <c r="AQ87" s="134"/>
      <c r="AR87" s="134"/>
      <c r="AS87" s="134"/>
      <c r="AT87" s="134"/>
      <c r="AU87" s="134"/>
      <c r="AV87" s="134"/>
      <c r="AW87" s="144"/>
    </row>
    <row r="88" spans="1:49" ht="60" customHeight="1" x14ac:dyDescent="0.35">
      <c r="A88" s="142" t="s">
        <v>3684</v>
      </c>
      <c r="B88" s="128" t="s">
        <v>3686</v>
      </c>
      <c r="C88" s="129" t="s">
        <v>3687</v>
      </c>
      <c r="D88" s="131" t="s">
        <v>3688</v>
      </c>
      <c r="E88" s="131" t="s">
        <v>3689</v>
      </c>
      <c r="F88" s="131" t="s">
        <v>3690</v>
      </c>
      <c r="G88" s="131" t="s">
        <v>3691</v>
      </c>
      <c r="H88" s="131" t="s">
        <v>3692</v>
      </c>
      <c r="I88" s="133">
        <f>IF(COUNTIF(J88:AW88,"&lt;&gt;")=0,"",SUMPRODUCT(((Recommendations[ImplStatus]="Implemented")+(Recommendations[ImplStatus]="Compensated"))*ISNUMBER(MATCH(Recommendations[Id],J88:AW88,0)))/COUNTIF(J88:AW88,"&lt;&gt;"))</f>
        <v>0</v>
      </c>
      <c r="J88" s="135" t="s">
        <v>45</v>
      </c>
      <c r="K88" s="135" t="s">
        <v>881</v>
      </c>
      <c r="L88" s="135" t="s">
        <v>886</v>
      </c>
      <c r="M88" s="135" t="s">
        <v>1233</v>
      </c>
      <c r="N88" s="135" t="s">
        <v>1239</v>
      </c>
      <c r="O88" s="135" t="s">
        <v>1244</v>
      </c>
      <c r="P88" s="135" t="s">
        <v>1675</v>
      </c>
      <c r="Q88" s="135" t="s">
        <v>1680</v>
      </c>
      <c r="R88" s="135" t="s">
        <v>1684</v>
      </c>
      <c r="S88" s="135" t="s">
        <v>1902</v>
      </c>
      <c r="T88" s="135" t="s">
        <v>1907</v>
      </c>
      <c r="U88" s="135" t="s">
        <v>1911</v>
      </c>
      <c r="V88" s="135"/>
      <c r="W88" s="135"/>
      <c r="X88" s="135"/>
      <c r="Y88" s="135"/>
      <c r="Z88" s="135"/>
      <c r="AA88" s="135"/>
      <c r="AB88" s="135"/>
      <c r="AC88" s="135"/>
      <c r="AD88" s="135"/>
      <c r="AE88" s="135"/>
      <c r="AF88" s="135"/>
      <c r="AG88" s="135"/>
      <c r="AH88" s="135"/>
      <c r="AI88" s="135"/>
      <c r="AJ88" s="135"/>
      <c r="AK88" s="135"/>
      <c r="AL88" s="135"/>
      <c r="AM88" s="135"/>
      <c r="AN88" s="135"/>
      <c r="AO88" s="135"/>
      <c r="AP88" s="135"/>
      <c r="AQ88" s="135"/>
      <c r="AR88" s="135"/>
      <c r="AS88" s="135"/>
      <c r="AT88" s="135"/>
      <c r="AU88" s="135"/>
      <c r="AV88" s="135"/>
      <c r="AW88" s="145"/>
    </row>
    <row r="89" spans="1:49" ht="60" customHeight="1" x14ac:dyDescent="0.35">
      <c r="A89" s="142" t="s">
        <v>3684</v>
      </c>
      <c r="B89" s="128" t="s">
        <v>3693</v>
      </c>
      <c r="C89" s="129" t="s">
        <v>3694</v>
      </c>
      <c r="D89" s="131" t="s">
        <v>3695</v>
      </c>
      <c r="E89" s="131" t="s">
        <v>3696</v>
      </c>
      <c r="F89" s="131" t="s">
        <v>3697</v>
      </c>
      <c r="G89" s="131" t="s">
        <v>3221</v>
      </c>
      <c r="H89" s="131" t="s">
        <v>3698</v>
      </c>
      <c r="I89" s="133" t="str">
        <f>IF(COUNTIF(J89:AW89,"&lt;&gt;")=0,"",SUMPRODUCT(((Recommendations[ImplStatus]="Implemented")+(Recommendations[ImplStatus]="Compensated"))*ISNUMBER(MATCH(Recommendations[Id],J89:AW89,0)))/COUNTIF(J89:AW89,"&lt;&gt;"))</f>
        <v/>
      </c>
      <c r="J89" s="135"/>
      <c r="K89" s="135"/>
      <c r="L89" s="135"/>
      <c r="M89" s="135"/>
      <c r="N89" s="135"/>
      <c r="O89" s="135"/>
      <c r="P89" s="135"/>
      <c r="Q89" s="135"/>
      <c r="R89" s="135"/>
      <c r="S89" s="135"/>
      <c r="T89" s="135"/>
      <c r="U89" s="135"/>
      <c r="V89" s="135"/>
      <c r="W89" s="135"/>
      <c r="X89" s="135"/>
      <c r="Y89" s="135"/>
      <c r="Z89" s="135"/>
      <c r="AA89" s="135"/>
      <c r="AB89" s="135"/>
      <c r="AC89" s="135"/>
      <c r="AD89" s="135"/>
      <c r="AE89" s="135"/>
      <c r="AF89" s="135"/>
      <c r="AG89" s="135"/>
      <c r="AH89" s="135"/>
      <c r="AI89" s="135"/>
      <c r="AJ89" s="135"/>
      <c r="AK89" s="135"/>
      <c r="AL89" s="135"/>
      <c r="AM89" s="135"/>
      <c r="AN89" s="135"/>
      <c r="AO89" s="135"/>
      <c r="AP89" s="135"/>
      <c r="AQ89" s="135"/>
      <c r="AR89" s="135"/>
      <c r="AS89" s="135"/>
      <c r="AT89" s="135"/>
      <c r="AU89" s="135"/>
      <c r="AV89" s="135"/>
      <c r="AW89" s="145"/>
    </row>
    <row r="90" spans="1:49" ht="60" customHeight="1" x14ac:dyDescent="0.35">
      <c r="A90" s="142" t="s">
        <v>3684</v>
      </c>
      <c r="B90" s="128" t="s">
        <v>3699</v>
      </c>
      <c r="C90" s="129" t="s">
        <v>3700</v>
      </c>
      <c r="D90" s="131" t="s">
        <v>3701</v>
      </c>
      <c r="E90" s="131" t="s">
        <v>3702</v>
      </c>
      <c r="F90" s="131" t="s">
        <v>3703</v>
      </c>
      <c r="G90" s="131" t="s">
        <v>3691</v>
      </c>
      <c r="H90" s="131" t="s">
        <v>3704</v>
      </c>
      <c r="I90" s="133" t="str">
        <f>IF(COUNTIF(J90:AW90,"&lt;&gt;")=0,"",SUMPRODUCT(((Recommendations[ImplStatus]="Implemented")+(Recommendations[ImplStatus]="Compensated"))*ISNUMBER(MATCH(Recommendations[Id],J90:AW90,0)))/COUNTIF(J90:AW90,"&lt;&gt;"))</f>
        <v/>
      </c>
      <c r="J90" s="135"/>
      <c r="K90" s="135"/>
      <c r="L90" s="135"/>
      <c r="M90" s="135"/>
      <c r="N90" s="135"/>
      <c r="O90" s="135"/>
      <c r="P90" s="135"/>
      <c r="Q90" s="135"/>
      <c r="R90" s="135"/>
      <c r="S90" s="135"/>
      <c r="T90" s="135"/>
      <c r="U90" s="135"/>
      <c r="V90" s="135"/>
      <c r="W90" s="135"/>
      <c r="X90" s="135"/>
      <c r="Y90" s="135"/>
      <c r="Z90" s="135"/>
      <c r="AA90" s="135"/>
      <c r="AB90" s="135"/>
      <c r="AC90" s="135"/>
      <c r="AD90" s="135"/>
      <c r="AE90" s="135"/>
      <c r="AF90" s="135"/>
      <c r="AG90" s="135"/>
      <c r="AH90" s="135"/>
      <c r="AI90" s="135"/>
      <c r="AJ90" s="135"/>
      <c r="AK90" s="135"/>
      <c r="AL90" s="135"/>
      <c r="AM90" s="135"/>
      <c r="AN90" s="135"/>
      <c r="AO90" s="135"/>
      <c r="AP90" s="135"/>
      <c r="AQ90" s="135"/>
      <c r="AR90" s="135"/>
      <c r="AS90" s="135"/>
      <c r="AT90" s="135"/>
      <c r="AU90" s="135"/>
      <c r="AV90" s="135"/>
      <c r="AW90" s="145"/>
    </row>
    <row r="91" spans="1:49" ht="60" customHeight="1" x14ac:dyDescent="0.35">
      <c r="A91" s="142" t="s">
        <v>3684</v>
      </c>
      <c r="B91" s="128" t="s">
        <v>3705</v>
      </c>
      <c r="C91" s="129" t="s">
        <v>3706</v>
      </c>
      <c r="D91" s="131" t="s">
        <v>3707</v>
      </c>
      <c r="E91" s="131" t="s">
        <v>3708</v>
      </c>
      <c r="F91" s="131" t="s">
        <v>3709</v>
      </c>
      <c r="G91" s="131" t="s">
        <v>3221</v>
      </c>
      <c r="H91" s="131" t="s">
        <v>3710</v>
      </c>
      <c r="I91" s="133">
        <f>IF(COUNTIF(J91:AW91,"&lt;&gt;")=0,"",SUMPRODUCT(((Recommendations[ImplStatus]="Implemented")+(Recommendations[ImplStatus]="Compensated"))*ISNUMBER(MATCH(Recommendations[Id],J91:AW91,0)))/COUNTIF(J91:AW91,"&lt;&gt;"))</f>
        <v>0</v>
      </c>
      <c r="J91" s="135" t="s">
        <v>35</v>
      </c>
      <c r="K91" s="135" t="s">
        <v>161</v>
      </c>
      <c r="L91" s="135" t="s">
        <v>299</v>
      </c>
      <c r="M91" s="135" t="s">
        <v>303</v>
      </c>
      <c r="N91" s="135" t="s">
        <v>306</v>
      </c>
      <c r="O91" s="135" t="s">
        <v>366</v>
      </c>
      <c r="P91" s="135" t="s">
        <v>371</v>
      </c>
      <c r="Q91" s="135" t="s">
        <v>997</v>
      </c>
      <c r="R91" s="135" t="s">
        <v>1081</v>
      </c>
      <c r="S91" s="135" t="s">
        <v>1085</v>
      </c>
      <c r="T91" s="135" t="s">
        <v>1090</v>
      </c>
      <c r="U91" s="135" t="s">
        <v>1093</v>
      </c>
      <c r="V91" s="135" t="s">
        <v>1289</v>
      </c>
      <c r="W91" s="135" t="s">
        <v>1294</v>
      </c>
      <c r="X91" s="135" t="s">
        <v>1298</v>
      </c>
      <c r="Y91" s="135" t="s">
        <v>1303</v>
      </c>
      <c r="Z91" s="135" t="s">
        <v>1308</v>
      </c>
      <c r="AA91" s="135" t="s">
        <v>1312</v>
      </c>
      <c r="AB91" s="135" t="s">
        <v>1582</v>
      </c>
      <c r="AC91" s="135" t="s">
        <v>1587</v>
      </c>
      <c r="AD91" s="135" t="s">
        <v>1592</v>
      </c>
      <c r="AE91" s="135" t="s">
        <v>1595</v>
      </c>
      <c r="AF91" s="135" t="s">
        <v>1610</v>
      </c>
      <c r="AG91" s="135" t="s">
        <v>1613</v>
      </c>
      <c r="AH91" s="135" t="s">
        <v>1616</v>
      </c>
      <c r="AI91" s="135" t="s">
        <v>1774</v>
      </c>
      <c r="AJ91" s="135" t="s">
        <v>1779</v>
      </c>
      <c r="AK91" s="135" t="s">
        <v>1783</v>
      </c>
      <c r="AL91" s="135" t="s">
        <v>1850</v>
      </c>
      <c r="AM91" s="135" t="s">
        <v>1855</v>
      </c>
      <c r="AN91" s="135" t="s">
        <v>1860</v>
      </c>
      <c r="AO91" s="135" t="s">
        <v>1879</v>
      </c>
      <c r="AP91" s="135" t="s">
        <v>1884</v>
      </c>
      <c r="AQ91" s="135" t="s">
        <v>1888</v>
      </c>
      <c r="AR91" s="135" t="s">
        <v>1892</v>
      </c>
      <c r="AS91" s="135" t="s">
        <v>1895</v>
      </c>
      <c r="AT91" s="135" t="s">
        <v>1898</v>
      </c>
      <c r="AU91" s="135" t="s">
        <v>1915</v>
      </c>
      <c r="AV91" s="135" t="s">
        <v>1920</v>
      </c>
      <c r="AW91" s="145" t="s">
        <v>1924</v>
      </c>
    </row>
    <row r="92" spans="1:49" ht="60" customHeight="1" x14ac:dyDescent="0.35">
      <c r="A92" s="142" t="s">
        <v>3684</v>
      </c>
      <c r="B92" s="128" t="s">
        <v>3711</v>
      </c>
      <c r="C92" s="129" t="s">
        <v>3712</v>
      </c>
      <c r="D92" s="131" t="s">
        <v>3713</v>
      </c>
      <c r="E92" s="131" t="s">
        <v>3714</v>
      </c>
      <c r="F92" s="131" t="s">
        <v>3715</v>
      </c>
      <c r="G92" s="131" t="s">
        <v>3221</v>
      </c>
      <c r="H92" s="131" t="s">
        <v>3716</v>
      </c>
      <c r="I92" s="133" t="str">
        <f>IF(COUNTIF(J92:AW92,"&lt;&gt;")=0,"",SUMPRODUCT(((Recommendations[ImplStatus]="Implemented")+(Recommendations[ImplStatus]="Compensated"))*ISNUMBER(MATCH(Recommendations[Id],J92:AW92,0)))/COUNTIF(J92:AW92,"&lt;&gt;"))</f>
        <v/>
      </c>
      <c r="J92" s="135"/>
      <c r="K92" s="135"/>
      <c r="L92" s="135"/>
      <c r="M92" s="135"/>
      <c r="N92" s="135"/>
      <c r="O92" s="135"/>
      <c r="P92" s="135"/>
      <c r="Q92" s="135"/>
      <c r="R92" s="135"/>
      <c r="S92" s="135"/>
      <c r="T92" s="135"/>
      <c r="U92" s="135"/>
      <c r="V92" s="135"/>
      <c r="W92" s="135"/>
      <c r="X92" s="135"/>
      <c r="Y92" s="135"/>
      <c r="Z92" s="135"/>
      <c r="AA92" s="135"/>
      <c r="AB92" s="135"/>
      <c r="AC92" s="135"/>
      <c r="AD92" s="135"/>
      <c r="AE92" s="135"/>
      <c r="AF92" s="135"/>
      <c r="AG92" s="135"/>
      <c r="AH92" s="135"/>
      <c r="AI92" s="135"/>
      <c r="AJ92" s="135"/>
      <c r="AK92" s="135"/>
      <c r="AL92" s="135"/>
      <c r="AM92" s="135"/>
      <c r="AN92" s="135"/>
      <c r="AO92" s="135"/>
      <c r="AP92" s="135"/>
      <c r="AQ92" s="135"/>
      <c r="AR92" s="135"/>
      <c r="AS92" s="135"/>
      <c r="AT92" s="135"/>
      <c r="AU92" s="135"/>
      <c r="AV92" s="135"/>
      <c r="AW92" s="145"/>
    </row>
    <row r="93" spans="1:49" ht="60" customHeight="1" x14ac:dyDescent="0.35">
      <c r="A93" s="142" t="s">
        <v>3684</v>
      </c>
      <c r="B93" s="128" t="s">
        <v>3717</v>
      </c>
      <c r="C93" s="129" t="s">
        <v>3718</v>
      </c>
      <c r="D93" s="131" t="s">
        <v>3719</v>
      </c>
      <c r="E93" s="131" t="s">
        <v>3720</v>
      </c>
      <c r="F93" s="131" t="s">
        <v>3721</v>
      </c>
      <c r="G93" s="131" t="s">
        <v>3722</v>
      </c>
      <c r="H93" s="131" t="s">
        <v>3723</v>
      </c>
      <c r="I93" s="133" t="str">
        <f>IF(COUNTIF(J93:AW93,"&lt;&gt;")=0,"",SUMPRODUCT(((Recommendations[ImplStatus]="Implemented")+(Recommendations[ImplStatus]="Compensated"))*ISNUMBER(MATCH(Recommendations[Id],J93:AW93,0)))/COUNTIF(J93:AW93,"&lt;&gt;"))</f>
        <v/>
      </c>
      <c r="J93" s="135"/>
      <c r="K93" s="135"/>
      <c r="L93" s="135"/>
      <c r="M93" s="135"/>
      <c r="N93" s="135"/>
      <c r="O93" s="135"/>
      <c r="P93" s="135"/>
      <c r="Q93" s="135"/>
      <c r="R93" s="135"/>
      <c r="S93" s="135"/>
      <c r="T93" s="135"/>
      <c r="U93" s="135"/>
      <c r="V93" s="135"/>
      <c r="W93" s="135"/>
      <c r="X93" s="135"/>
      <c r="Y93" s="135"/>
      <c r="Z93" s="135"/>
      <c r="AA93" s="135"/>
      <c r="AB93" s="135"/>
      <c r="AC93" s="135"/>
      <c r="AD93" s="135"/>
      <c r="AE93" s="135"/>
      <c r="AF93" s="135"/>
      <c r="AG93" s="135"/>
      <c r="AH93" s="135"/>
      <c r="AI93" s="135"/>
      <c r="AJ93" s="135"/>
      <c r="AK93" s="135"/>
      <c r="AL93" s="135"/>
      <c r="AM93" s="135"/>
      <c r="AN93" s="135"/>
      <c r="AO93" s="135"/>
      <c r="AP93" s="135"/>
      <c r="AQ93" s="135"/>
      <c r="AR93" s="135"/>
      <c r="AS93" s="135"/>
      <c r="AT93" s="135"/>
      <c r="AU93" s="135"/>
      <c r="AV93" s="135"/>
      <c r="AW93" s="145"/>
    </row>
    <row r="94" spans="1:49" ht="60" customHeight="1" x14ac:dyDescent="0.35">
      <c r="A94" s="142" t="s">
        <v>3684</v>
      </c>
      <c r="B94" s="128" t="s">
        <v>3724</v>
      </c>
      <c r="C94" s="129" t="s">
        <v>3725</v>
      </c>
      <c r="D94" s="131" t="s">
        <v>3726</v>
      </c>
      <c r="E94" s="131" t="s">
        <v>3727</v>
      </c>
      <c r="F94" s="131" t="s">
        <v>3728</v>
      </c>
      <c r="G94" s="131" t="s">
        <v>3729</v>
      </c>
      <c r="H94" s="131" t="s">
        <v>3730</v>
      </c>
      <c r="I94" s="133">
        <f>IF(COUNTIF(J94:AW94,"&lt;&gt;")=0,"",SUMPRODUCT(((Recommendations[ImplStatus]="Implemented")+(Recommendations[ImplStatus]="Compensated"))*ISNUMBER(MATCH(Recommendations[Id],J94:AW94,0)))/COUNTIF(J94:AW94,"&lt;&gt;"))</f>
        <v>0</v>
      </c>
      <c r="J94" s="135" t="s">
        <v>156</v>
      </c>
      <c r="K94" s="135" t="s">
        <v>161</v>
      </c>
      <c r="L94" s="135" t="s">
        <v>299</v>
      </c>
      <c r="M94" s="135" t="s">
        <v>303</v>
      </c>
      <c r="N94" s="135" t="s">
        <v>306</v>
      </c>
      <c r="O94" s="135" t="s">
        <v>366</v>
      </c>
      <c r="P94" s="135" t="s">
        <v>371</v>
      </c>
      <c r="Q94" s="135" t="s">
        <v>560</v>
      </c>
      <c r="R94" s="135" t="s">
        <v>1081</v>
      </c>
      <c r="S94" s="135" t="s">
        <v>1085</v>
      </c>
      <c r="T94" s="135" t="s">
        <v>1090</v>
      </c>
      <c r="U94" s="135" t="s">
        <v>1196</v>
      </c>
      <c r="V94" s="135" t="s">
        <v>1289</v>
      </c>
      <c r="W94" s="135" t="s">
        <v>1294</v>
      </c>
      <c r="X94" s="135" t="s">
        <v>1298</v>
      </c>
      <c r="Y94" s="135" t="s">
        <v>1303</v>
      </c>
      <c r="Z94" s="135" t="s">
        <v>1308</v>
      </c>
      <c r="AA94" s="135" t="s">
        <v>1312</v>
      </c>
      <c r="AB94" s="135" t="s">
        <v>1582</v>
      </c>
      <c r="AC94" s="135" t="s">
        <v>1587</v>
      </c>
      <c r="AD94" s="135" t="s">
        <v>1592</v>
      </c>
      <c r="AE94" s="135" t="s">
        <v>1610</v>
      </c>
      <c r="AF94" s="135" t="s">
        <v>1613</v>
      </c>
      <c r="AG94" s="135" t="s">
        <v>1616</v>
      </c>
      <c r="AH94" s="135" t="s">
        <v>1774</v>
      </c>
      <c r="AI94" s="135" t="s">
        <v>1779</v>
      </c>
      <c r="AJ94" s="135" t="s">
        <v>1783</v>
      </c>
      <c r="AK94" s="135" t="s">
        <v>1850</v>
      </c>
      <c r="AL94" s="135" t="s">
        <v>1855</v>
      </c>
      <c r="AM94" s="135" t="s">
        <v>1860</v>
      </c>
      <c r="AN94" s="135" t="s">
        <v>1879</v>
      </c>
      <c r="AO94" s="135" t="s">
        <v>1884</v>
      </c>
      <c r="AP94" s="135" t="s">
        <v>1888</v>
      </c>
      <c r="AQ94" s="135" t="s">
        <v>1928</v>
      </c>
      <c r="AR94" s="135" t="s">
        <v>1933</v>
      </c>
      <c r="AS94" s="135" t="s">
        <v>1937</v>
      </c>
      <c r="AT94" s="135" t="s">
        <v>1941</v>
      </c>
      <c r="AU94" s="135" t="s">
        <v>1946</v>
      </c>
      <c r="AV94" s="135" t="s">
        <v>1950</v>
      </c>
      <c r="AW94" s="145" t="s">
        <v>1954</v>
      </c>
    </row>
    <row r="95" spans="1:49" ht="60" customHeight="1" x14ac:dyDescent="0.35">
      <c r="A95" s="142" t="s">
        <v>3684</v>
      </c>
      <c r="B95" s="128" t="s">
        <v>3731</v>
      </c>
      <c r="C95" s="129" t="s">
        <v>3732</v>
      </c>
      <c r="D95" s="131" t="s">
        <v>3733</v>
      </c>
      <c r="E95" s="131" t="s">
        <v>3734</v>
      </c>
      <c r="F95" s="131" t="s">
        <v>3735</v>
      </c>
      <c r="G95" s="131" t="s">
        <v>3736</v>
      </c>
      <c r="H95" s="131" t="s">
        <v>3737</v>
      </c>
      <c r="I95" s="133" t="str">
        <f>IF(COUNTIF(J95:AW95,"&lt;&gt;")=0,"",SUMPRODUCT(((Recommendations[ImplStatus]="Implemented")+(Recommendations[ImplStatus]="Compensated"))*ISNUMBER(MATCH(Recommendations[Id],J95:AW95,0)))/COUNTIF(J95:AW95,"&lt;&gt;"))</f>
        <v/>
      </c>
      <c r="J95" s="135"/>
      <c r="K95" s="135"/>
      <c r="L95" s="135"/>
      <c r="M95" s="135"/>
      <c r="N95" s="135"/>
      <c r="O95" s="135"/>
      <c r="P95" s="135"/>
      <c r="Q95" s="135"/>
      <c r="R95" s="135"/>
      <c r="S95" s="135"/>
      <c r="T95" s="135"/>
      <c r="U95" s="135"/>
      <c r="V95" s="135"/>
      <c r="W95" s="135"/>
      <c r="X95" s="135"/>
      <c r="Y95" s="135"/>
      <c r="Z95" s="135"/>
      <c r="AA95" s="135"/>
      <c r="AB95" s="135"/>
      <c r="AC95" s="135"/>
      <c r="AD95" s="135"/>
      <c r="AE95" s="135"/>
      <c r="AF95" s="135"/>
      <c r="AG95" s="135"/>
      <c r="AH95" s="135"/>
      <c r="AI95" s="135"/>
      <c r="AJ95" s="135"/>
      <c r="AK95" s="135"/>
      <c r="AL95" s="135"/>
      <c r="AM95" s="135"/>
      <c r="AN95" s="135"/>
      <c r="AO95" s="135"/>
      <c r="AP95" s="135"/>
      <c r="AQ95" s="135"/>
      <c r="AR95" s="135"/>
      <c r="AS95" s="135"/>
      <c r="AT95" s="135"/>
      <c r="AU95" s="135"/>
      <c r="AV95" s="135"/>
      <c r="AW95" s="145"/>
    </row>
    <row r="96" spans="1:49" ht="60" customHeight="1" x14ac:dyDescent="0.35">
      <c r="A96" s="142" t="s">
        <v>3684</v>
      </c>
      <c r="B96" s="128" t="s">
        <v>3738</v>
      </c>
      <c r="C96" s="129" t="s">
        <v>3739</v>
      </c>
      <c r="D96" s="131" t="s">
        <v>3740</v>
      </c>
      <c r="E96" s="131" t="s">
        <v>3741</v>
      </c>
      <c r="F96" s="131" t="s">
        <v>3742</v>
      </c>
      <c r="G96" s="131" t="s">
        <v>3743</v>
      </c>
      <c r="H96" s="131" t="s">
        <v>3744</v>
      </c>
      <c r="I96" s="133" t="str">
        <f>IF(COUNTIF(J96:AW96,"&lt;&gt;")=0,"",SUMPRODUCT(((Recommendations[ImplStatus]="Implemented")+(Recommendations[ImplStatus]="Compensated"))*ISNUMBER(MATCH(Recommendations[Id],J96:AW96,0)))/COUNTIF(J96:AW96,"&lt;&gt;"))</f>
        <v/>
      </c>
      <c r="J96" s="135"/>
      <c r="K96" s="135"/>
      <c r="L96" s="135"/>
      <c r="M96" s="135"/>
      <c r="N96" s="135"/>
      <c r="O96" s="135"/>
      <c r="P96" s="135"/>
      <c r="Q96" s="135"/>
      <c r="R96" s="135"/>
      <c r="S96" s="135"/>
      <c r="T96" s="135"/>
      <c r="U96" s="135"/>
      <c r="V96" s="135"/>
      <c r="W96" s="135"/>
      <c r="X96" s="135"/>
      <c r="Y96" s="135"/>
      <c r="Z96" s="135"/>
      <c r="AA96" s="135"/>
      <c r="AB96" s="135"/>
      <c r="AC96" s="135"/>
      <c r="AD96" s="135"/>
      <c r="AE96" s="135"/>
      <c r="AF96" s="135"/>
      <c r="AG96" s="135"/>
      <c r="AH96" s="135"/>
      <c r="AI96" s="135"/>
      <c r="AJ96" s="135"/>
      <c r="AK96" s="135"/>
      <c r="AL96" s="135"/>
      <c r="AM96" s="135"/>
      <c r="AN96" s="135"/>
      <c r="AO96" s="135"/>
      <c r="AP96" s="135"/>
      <c r="AQ96" s="135"/>
      <c r="AR96" s="135"/>
      <c r="AS96" s="135"/>
      <c r="AT96" s="135"/>
      <c r="AU96" s="135"/>
      <c r="AV96" s="135"/>
      <c r="AW96" s="145"/>
    </row>
    <row r="97" spans="1:49" ht="60" customHeight="1" x14ac:dyDescent="0.35">
      <c r="A97" s="142" t="s">
        <v>3684</v>
      </c>
      <c r="B97" s="128" t="s">
        <v>3745</v>
      </c>
      <c r="C97" s="129" t="s">
        <v>3746</v>
      </c>
      <c r="D97" s="131" t="s">
        <v>3747</v>
      </c>
      <c r="E97" s="131" t="s">
        <v>3748</v>
      </c>
      <c r="F97" s="131" t="s">
        <v>3749</v>
      </c>
      <c r="G97" s="131" t="s">
        <v>3750</v>
      </c>
      <c r="H97" s="131" t="s">
        <v>3751</v>
      </c>
      <c r="I97" s="133">
        <f>IF(COUNTIF(J97:AW97,"&lt;&gt;")=0,"",SUMPRODUCT(((Recommendations[ImplStatus]="Implemented")+(Recommendations[ImplStatus]="Compensated"))*ISNUMBER(MATCH(Recommendations[Id],J97:AW97,0)))/COUNTIF(J97:AW97,"&lt;&gt;"))</f>
        <v>0</v>
      </c>
      <c r="J97" s="135" t="s">
        <v>35</v>
      </c>
      <c r="K97" s="135" t="s">
        <v>1595</v>
      </c>
      <c r="L97" s="135"/>
      <c r="M97" s="135"/>
      <c r="N97" s="135"/>
      <c r="O97" s="135"/>
      <c r="P97" s="135"/>
      <c r="Q97" s="135"/>
      <c r="R97" s="135"/>
      <c r="S97" s="135"/>
      <c r="T97" s="135"/>
      <c r="U97" s="135"/>
      <c r="V97" s="135"/>
      <c r="W97" s="135"/>
      <c r="X97" s="135"/>
      <c r="Y97" s="135"/>
      <c r="Z97" s="135"/>
      <c r="AA97" s="135"/>
      <c r="AB97" s="135"/>
      <c r="AC97" s="135"/>
      <c r="AD97" s="135"/>
      <c r="AE97" s="135"/>
      <c r="AF97" s="135"/>
      <c r="AG97" s="135"/>
      <c r="AH97" s="135"/>
      <c r="AI97" s="135"/>
      <c r="AJ97" s="135"/>
      <c r="AK97" s="135"/>
      <c r="AL97" s="135"/>
      <c r="AM97" s="135"/>
      <c r="AN97" s="135"/>
      <c r="AO97" s="135"/>
      <c r="AP97" s="135"/>
      <c r="AQ97" s="135"/>
      <c r="AR97" s="135"/>
      <c r="AS97" s="135"/>
      <c r="AT97" s="135"/>
      <c r="AU97" s="135"/>
      <c r="AV97" s="135"/>
      <c r="AW97" s="145"/>
    </row>
    <row r="98" spans="1:49" ht="60" customHeight="1" outlineLevel="1" x14ac:dyDescent="0.35">
      <c r="A98" s="141" t="s">
        <v>3752</v>
      </c>
      <c r="B98" s="127"/>
      <c r="C98" s="126" t="s">
        <v>3753</v>
      </c>
      <c r="D98" s="130"/>
      <c r="E98" s="130"/>
      <c r="F98" s="130"/>
      <c r="G98" s="130"/>
      <c r="H98" s="130"/>
      <c r="I98" s="132" t="str">
        <f>IF(COUNTIF(J98:AW98,"&lt;&gt;")=0,"",SUMPRODUCT(((Recommendations[ImplStatus]="Implemented")+(Recommendations[ImplStatus]="Compensated"))*ISNUMBER(MATCH(Recommendations[Id],J98:AW98,0)))/COUNTIF(J98:AW98,"&lt;&gt;"))</f>
        <v/>
      </c>
      <c r="J98" s="134"/>
      <c r="K98" s="134"/>
      <c r="L98" s="134"/>
      <c r="M98" s="134"/>
      <c r="N98" s="134"/>
      <c r="O98" s="134"/>
      <c r="P98" s="134"/>
      <c r="Q98" s="134"/>
      <c r="R98" s="134"/>
      <c r="S98" s="134"/>
      <c r="T98" s="134"/>
      <c r="U98" s="134"/>
      <c r="V98" s="134"/>
      <c r="W98" s="134"/>
      <c r="X98" s="134"/>
      <c r="Y98" s="134"/>
      <c r="Z98" s="134"/>
      <c r="AA98" s="134"/>
      <c r="AB98" s="134"/>
      <c r="AC98" s="134"/>
      <c r="AD98" s="134"/>
      <c r="AE98" s="134"/>
      <c r="AF98" s="134"/>
      <c r="AG98" s="134"/>
      <c r="AH98" s="134"/>
      <c r="AI98" s="134"/>
      <c r="AJ98" s="134"/>
      <c r="AK98" s="134"/>
      <c r="AL98" s="134"/>
      <c r="AM98" s="134"/>
      <c r="AN98" s="134"/>
      <c r="AO98" s="134"/>
      <c r="AP98" s="134"/>
      <c r="AQ98" s="134"/>
      <c r="AR98" s="134"/>
      <c r="AS98" s="134"/>
      <c r="AT98" s="134"/>
      <c r="AU98" s="134"/>
      <c r="AV98" s="134"/>
      <c r="AW98" s="144"/>
    </row>
    <row r="99" spans="1:49" ht="60" customHeight="1" x14ac:dyDescent="0.35">
      <c r="A99" s="142" t="s">
        <v>3752</v>
      </c>
      <c r="B99" s="128" t="s">
        <v>3754</v>
      </c>
      <c r="C99" s="129" t="s">
        <v>3755</v>
      </c>
      <c r="D99" s="131" t="s">
        <v>3756</v>
      </c>
      <c r="E99" s="131" t="s">
        <v>3757</v>
      </c>
      <c r="F99" s="131" t="s">
        <v>3758</v>
      </c>
      <c r="G99" s="131" t="s">
        <v>3759</v>
      </c>
      <c r="H99" s="131" t="s">
        <v>3760</v>
      </c>
      <c r="I99" s="133">
        <f>IF(COUNTIF(J99:AW99,"&lt;&gt;")=0,"",SUMPRODUCT(((Recommendations[ImplStatus]="Implemented")+(Recommendations[ImplStatus]="Compensated"))*ISNUMBER(MATCH(Recommendations[Id],J99:AW99,0)))/COUNTIF(J99:AW99,"&lt;&gt;"))</f>
        <v>0</v>
      </c>
      <c r="J99" s="135" t="s">
        <v>223</v>
      </c>
      <c r="K99" s="135" t="s">
        <v>1071</v>
      </c>
      <c r="L99" s="135" t="s">
        <v>1962</v>
      </c>
      <c r="M99" s="135"/>
      <c r="N99" s="135"/>
      <c r="O99" s="135"/>
      <c r="P99" s="135"/>
      <c r="Q99" s="135"/>
      <c r="R99" s="135"/>
      <c r="S99" s="135"/>
      <c r="T99" s="135"/>
      <c r="U99" s="135"/>
      <c r="V99" s="135"/>
      <c r="W99" s="135"/>
      <c r="X99" s="135"/>
      <c r="Y99" s="135"/>
      <c r="Z99" s="135"/>
      <c r="AA99" s="135"/>
      <c r="AB99" s="135"/>
      <c r="AC99" s="135"/>
      <c r="AD99" s="135"/>
      <c r="AE99" s="135"/>
      <c r="AF99" s="135"/>
      <c r="AG99" s="135"/>
      <c r="AH99" s="135"/>
      <c r="AI99" s="135"/>
      <c r="AJ99" s="135"/>
      <c r="AK99" s="135"/>
      <c r="AL99" s="135"/>
      <c r="AM99" s="135"/>
      <c r="AN99" s="135"/>
      <c r="AO99" s="135"/>
      <c r="AP99" s="135"/>
      <c r="AQ99" s="135"/>
      <c r="AR99" s="135"/>
      <c r="AS99" s="135"/>
      <c r="AT99" s="135"/>
      <c r="AU99" s="135"/>
      <c r="AV99" s="135"/>
      <c r="AW99" s="145"/>
    </row>
    <row r="100" spans="1:49" ht="60" customHeight="1" x14ac:dyDescent="0.35">
      <c r="A100" s="142" t="s">
        <v>3752</v>
      </c>
      <c r="B100" s="128" t="s">
        <v>3761</v>
      </c>
      <c r="C100" s="129" t="s">
        <v>3762</v>
      </c>
      <c r="D100" s="131" t="s">
        <v>3763</v>
      </c>
      <c r="E100" s="131" t="s">
        <v>3764</v>
      </c>
      <c r="F100" s="131" t="s">
        <v>3765</v>
      </c>
      <c r="G100" s="131" t="s">
        <v>3766</v>
      </c>
      <c r="H100" s="131" t="s">
        <v>3767</v>
      </c>
      <c r="I100" s="133" t="str">
        <f>IF(COUNTIF(J100:AW100,"&lt;&gt;")=0,"",SUMPRODUCT(((Recommendations[ImplStatus]="Implemented")+(Recommendations[ImplStatus]="Compensated"))*ISNUMBER(MATCH(Recommendations[Id],J100:AW100,0)))/COUNTIF(J100:AW100,"&lt;&gt;"))</f>
        <v/>
      </c>
      <c r="J100" s="135"/>
      <c r="K100" s="135"/>
      <c r="L100" s="135"/>
      <c r="M100" s="135"/>
      <c r="N100" s="135"/>
      <c r="O100" s="135"/>
      <c r="P100" s="135"/>
      <c r="Q100" s="135"/>
      <c r="R100" s="135"/>
      <c r="S100" s="135"/>
      <c r="T100" s="135"/>
      <c r="U100" s="135"/>
      <c r="V100" s="135"/>
      <c r="W100" s="135"/>
      <c r="X100" s="135"/>
      <c r="Y100" s="135"/>
      <c r="Z100" s="135"/>
      <c r="AA100" s="135"/>
      <c r="AB100" s="135"/>
      <c r="AC100" s="135"/>
      <c r="AD100" s="135"/>
      <c r="AE100" s="135"/>
      <c r="AF100" s="135"/>
      <c r="AG100" s="135"/>
      <c r="AH100" s="135"/>
      <c r="AI100" s="135"/>
      <c r="AJ100" s="135"/>
      <c r="AK100" s="135"/>
      <c r="AL100" s="135"/>
      <c r="AM100" s="135"/>
      <c r="AN100" s="135"/>
      <c r="AO100" s="135"/>
      <c r="AP100" s="135"/>
      <c r="AQ100" s="135"/>
      <c r="AR100" s="135"/>
      <c r="AS100" s="135"/>
      <c r="AT100" s="135"/>
      <c r="AU100" s="135"/>
      <c r="AV100" s="135"/>
      <c r="AW100" s="145"/>
    </row>
    <row r="101" spans="1:49" ht="60" customHeight="1" x14ac:dyDescent="0.35">
      <c r="A101" s="142" t="s">
        <v>3752</v>
      </c>
      <c r="B101" s="128" t="s">
        <v>3768</v>
      </c>
      <c r="C101" s="129" t="s">
        <v>3769</v>
      </c>
      <c r="D101" s="131" t="s">
        <v>3770</v>
      </c>
      <c r="E101" s="131" t="s">
        <v>3771</v>
      </c>
      <c r="F101" s="131" t="s">
        <v>21</v>
      </c>
      <c r="G101" s="131" t="s">
        <v>21</v>
      </c>
      <c r="H101" s="131" t="s">
        <v>21</v>
      </c>
      <c r="I101" s="133" t="str">
        <f>IF(COUNTIF(J101:AW101,"&lt;&gt;")=0,"",SUMPRODUCT(((Recommendations[ImplStatus]="Implemented")+(Recommendations[ImplStatus]="Compensated"))*ISNUMBER(MATCH(Recommendations[Id],J101:AW101,0)))/COUNTIF(J101:AW101,"&lt;&gt;"))</f>
        <v/>
      </c>
      <c r="J101" s="135"/>
      <c r="K101" s="135"/>
      <c r="L101" s="135"/>
      <c r="M101" s="135"/>
      <c r="N101" s="135"/>
      <c r="O101" s="135"/>
      <c r="P101" s="135"/>
      <c r="Q101" s="135"/>
      <c r="R101" s="135"/>
      <c r="S101" s="135"/>
      <c r="T101" s="135"/>
      <c r="U101" s="135"/>
      <c r="V101" s="135"/>
      <c r="W101" s="135"/>
      <c r="X101" s="135"/>
      <c r="Y101" s="135"/>
      <c r="Z101" s="135"/>
      <c r="AA101" s="135"/>
      <c r="AB101" s="135"/>
      <c r="AC101" s="135"/>
      <c r="AD101" s="135"/>
      <c r="AE101" s="135"/>
      <c r="AF101" s="135"/>
      <c r="AG101" s="135"/>
      <c r="AH101" s="135"/>
      <c r="AI101" s="135"/>
      <c r="AJ101" s="135"/>
      <c r="AK101" s="135"/>
      <c r="AL101" s="135"/>
      <c r="AM101" s="135"/>
      <c r="AN101" s="135"/>
      <c r="AO101" s="135"/>
      <c r="AP101" s="135"/>
      <c r="AQ101" s="135"/>
      <c r="AR101" s="135"/>
      <c r="AS101" s="135"/>
      <c r="AT101" s="135"/>
      <c r="AU101" s="135"/>
      <c r="AV101" s="135"/>
      <c r="AW101" s="145"/>
    </row>
    <row r="102" spans="1:49" ht="60" customHeight="1" x14ac:dyDescent="0.35">
      <c r="A102" s="142" t="s">
        <v>3752</v>
      </c>
      <c r="B102" s="128" t="s">
        <v>3772</v>
      </c>
      <c r="C102" s="129" t="s">
        <v>3773</v>
      </c>
      <c r="D102" s="131" t="s">
        <v>3774</v>
      </c>
      <c r="E102" s="131" t="s">
        <v>3775</v>
      </c>
      <c r="F102" s="131" t="s">
        <v>3776</v>
      </c>
      <c r="G102" s="131" t="s">
        <v>3777</v>
      </c>
      <c r="H102" s="131" t="s">
        <v>3778</v>
      </c>
      <c r="I102" s="133" t="str">
        <f>IF(COUNTIF(J102:AW102,"&lt;&gt;")=0,"",SUMPRODUCT(((Recommendations[ImplStatus]="Implemented")+(Recommendations[ImplStatus]="Compensated"))*ISNUMBER(MATCH(Recommendations[Id],J102:AW102,0)))/COUNTIF(J102:AW102,"&lt;&gt;"))</f>
        <v/>
      </c>
      <c r="J102" s="135"/>
      <c r="K102" s="135"/>
      <c r="L102" s="135"/>
      <c r="M102" s="135"/>
      <c r="N102" s="135"/>
      <c r="O102" s="135"/>
      <c r="P102" s="135"/>
      <c r="Q102" s="135"/>
      <c r="R102" s="135"/>
      <c r="S102" s="135"/>
      <c r="T102" s="135"/>
      <c r="U102" s="135"/>
      <c r="V102" s="135"/>
      <c r="W102" s="135"/>
      <c r="X102" s="135"/>
      <c r="Y102" s="135"/>
      <c r="Z102" s="135"/>
      <c r="AA102" s="135"/>
      <c r="AB102" s="135"/>
      <c r="AC102" s="135"/>
      <c r="AD102" s="135"/>
      <c r="AE102" s="135"/>
      <c r="AF102" s="135"/>
      <c r="AG102" s="135"/>
      <c r="AH102" s="135"/>
      <c r="AI102" s="135"/>
      <c r="AJ102" s="135"/>
      <c r="AK102" s="135"/>
      <c r="AL102" s="135"/>
      <c r="AM102" s="135"/>
      <c r="AN102" s="135"/>
      <c r="AO102" s="135"/>
      <c r="AP102" s="135"/>
      <c r="AQ102" s="135"/>
      <c r="AR102" s="135"/>
      <c r="AS102" s="135"/>
      <c r="AT102" s="135"/>
      <c r="AU102" s="135"/>
      <c r="AV102" s="135"/>
      <c r="AW102" s="145"/>
    </row>
    <row r="103" spans="1:49" ht="60" customHeight="1" x14ac:dyDescent="0.35">
      <c r="A103" s="142" t="s">
        <v>3752</v>
      </c>
      <c r="B103" s="128" t="s">
        <v>3779</v>
      </c>
      <c r="C103" s="129" t="s">
        <v>3780</v>
      </c>
      <c r="D103" s="131" t="s">
        <v>3781</v>
      </c>
      <c r="E103" s="131" t="s">
        <v>3782</v>
      </c>
      <c r="F103" s="131" t="s">
        <v>3783</v>
      </c>
      <c r="G103" s="131" t="s">
        <v>3784</v>
      </c>
      <c r="H103" s="131" t="s">
        <v>3785</v>
      </c>
      <c r="I103" s="133" t="str">
        <f>IF(COUNTIF(J103:AW103,"&lt;&gt;")=0,"",SUMPRODUCT(((Recommendations[ImplStatus]="Implemented")+(Recommendations[ImplStatus]="Compensated"))*ISNUMBER(MATCH(Recommendations[Id],J103:AW103,0)))/COUNTIF(J103:AW103,"&lt;&gt;"))</f>
        <v/>
      </c>
      <c r="J103" s="135"/>
      <c r="K103" s="135"/>
      <c r="L103" s="135"/>
      <c r="M103" s="135"/>
      <c r="N103" s="135"/>
      <c r="O103" s="135"/>
      <c r="P103" s="135"/>
      <c r="Q103" s="135"/>
      <c r="R103" s="135"/>
      <c r="S103" s="135"/>
      <c r="T103" s="135"/>
      <c r="U103" s="135"/>
      <c r="V103" s="135"/>
      <c r="W103" s="135"/>
      <c r="X103" s="135"/>
      <c r="Y103" s="135"/>
      <c r="Z103" s="135"/>
      <c r="AA103" s="135"/>
      <c r="AB103" s="135"/>
      <c r="AC103" s="135"/>
      <c r="AD103" s="135"/>
      <c r="AE103" s="135"/>
      <c r="AF103" s="135"/>
      <c r="AG103" s="135"/>
      <c r="AH103" s="135"/>
      <c r="AI103" s="135"/>
      <c r="AJ103" s="135"/>
      <c r="AK103" s="135"/>
      <c r="AL103" s="135"/>
      <c r="AM103" s="135"/>
      <c r="AN103" s="135"/>
      <c r="AO103" s="135"/>
      <c r="AP103" s="135"/>
      <c r="AQ103" s="135"/>
      <c r="AR103" s="135"/>
      <c r="AS103" s="135"/>
      <c r="AT103" s="135"/>
      <c r="AU103" s="135"/>
      <c r="AV103" s="135"/>
      <c r="AW103" s="145"/>
    </row>
    <row r="104" spans="1:49" ht="60" customHeight="1" outlineLevel="1" x14ac:dyDescent="0.35">
      <c r="A104" s="141" t="s">
        <v>3786</v>
      </c>
      <c r="B104" s="127"/>
      <c r="C104" s="126" t="s">
        <v>3787</v>
      </c>
      <c r="D104" s="130"/>
      <c r="E104" s="130"/>
      <c r="F104" s="130"/>
      <c r="G104" s="130"/>
      <c r="H104" s="130"/>
      <c r="I104" s="132" t="str">
        <f>IF(COUNTIF(J104:AW104,"&lt;&gt;")=0,"",SUMPRODUCT(((Recommendations[ImplStatus]="Implemented")+(Recommendations[ImplStatus]="Compensated"))*ISNUMBER(MATCH(Recommendations[Id],J104:AW104,0)))/COUNTIF(J104:AW104,"&lt;&gt;"))</f>
        <v/>
      </c>
      <c r="J104" s="134"/>
      <c r="K104" s="134"/>
      <c r="L104" s="134"/>
      <c r="M104" s="134"/>
      <c r="N104" s="134"/>
      <c r="O104" s="134"/>
      <c r="P104" s="134"/>
      <c r="Q104" s="134"/>
      <c r="R104" s="134"/>
      <c r="S104" s="134"/>
      <c r="T104" s="134"/>
      <c r="U104" s="134"/>
      <c r="V104" s="134"/>
      <c r="W104" s="134"/>
      <c r="X104" s="134"/>
      <c r="Y104" s="134"/>
      <c r="Z104" s="134"/>
      <c r="AA104" s="134"/>
      <c r="AB104" s="134"/>
      <c r="AC104" s="134"/>
      <c r="AD104" s="134"/>
      <c r="AE104" s="134"/>
      <c r="AF104" s="134"/>
      <c r="AG104" s="134"/>
      <c r="AH104" s="134"/>
      <c r="AI104" s="134"/>
      <c r="AJ104" s="134"/>
      <c r="AK104" s="134"/>
      <c r="AL104" s="134"/>
      <c r="AM104" s="134"/>
      <c r="AN104" s="134"/>
      <c r="AO104" s="134"/>
      <c r="AP104" s="134"/>
      <c r="AQ104" s="134"/>
      <c r="AR104" s="134"/>
      <c r="AS104" s="134"/>
      <c r="AT104" s="134"/>
      <c r="AU104" s="134"/>
      <c r="AV104" s="134"/>
      <c r="AW104" s="144"/>
    </row>
    <row r="105" spans="1:49" ht="60" customHeight="1" x14ac:dyDescent="0.35">
      <c r="A105" s="142" t="s">
        <v>3786</v>
      </c>
      <c r="B105" s="128" t="s">
        <v>3788</v>
      </c>
      <c r="C105" s="129" t="s">
        <v>3789</v>
      </c>
      <c r="D105" s="131" t="s">
        <v>3790</v>
      </c>
      <c r="E105" s="131" t="s">
        <v>3791</v>
      </c>
      <c r="F105" s="131" t="s">
        <v>3792</v>
      </c>
      <c r="G105" s="131" t="s">
        <v>3793</v>
      </c>
      <c r="H105" s="131" t="s">
        <v>21</v>
      </c>
      <c r="I105" s="133" t="str">
        <f>IF(COUNTIF(J105:AW105,"&lt;&gt;")=0,"",SUMPRODUCT(((Recommendations[ImplStatus]="Implemented")+(Recommendations[ImplStatus]="Compensated"))*ISNUMBER(MATCH(Recommendations[Id],J105:AW105,0)))/COUNTIF(J105:AW105,"&lt;&gt;"))</f>
        <v/>
      </c>
      <c r="J105" s="135"/>
      <c r="K105" s="135"/>
      <c r="L105" s="135"/>
      <c r="M105" s="135"/>
      <c r="N105" s="135"/>
      <c r="O105" s="135"/>
      <c r="P105" s="135"/>
      <c r="Q105" s="135"/>
      <c r="R105" s="135"/>
      <c r="S105" s="135"/>
      <c r="T105" s="135"/>
      <c r="U105" s="135"/>
      <c r="V105" s="135"/>
      <c r="W105" s="135"/>
      <c r="X105" s="135"/>
      <c r="Y105" s="135"/>
      <c r="Z105" s="135"/>
      <c r="AA105" s="135"/>
      <c r="AB105" s="135"/>
      <c r="AC105" s="135"/>
      <c r="AD105" s="135"/>
      <c r="AE105" s="135"/>
      <c r="AF105" s="135"/>
      <c r="AG105" s="135"/>
      <c r="AH105" s="135"/>
      <c r="AI105" s="135"/>
      <c r="AJ105" s="135"/>
      <c r="AK105" s="135"/>
      <c r="AL105" s="135"/>
      <c r="AM105" s="135"/>
      <c r="AN105" s="135"/>
      <c r="AO105" s="135"/>
      <c r="AP105" s="135"/>
      <c r="AQ105" s="135"/>
      <c r="AR105" s="135"/>
      <c r="AS105" s="135"/>
      <c r="AT105" s="135"/>
      <c r="AU105" s="135"/>
      <c r="AV105" s="135"/>
      <c r="AW105" s="145"/>
    </row>
    <row r="106" spans="1:49" ht="60" customHeight="1" x14ac:dyDescent="0.35">
      <c r="A106" s="142" t="s">
        <v>3786</v>
      </c>
      <c r="B106" s="128" t="s">
        <v>3794</v>
      </c>
      <c r="C106" s="129" t="s">
        <v>3795</v>
      </c>
      <c r="D106" s="131" t="s">
        <v>3796</v>
      </c>
      <c r="E106" s="131" t="s">
        <v>3797</v>
      </c>
      <c r="F106" s="131" t="s">
        <v>3798</v>
      </c>
      <c r="G106" s="131" t="s">
        <v>3799</v>
      </c>
      <c r="H106" s="131" t="s">
        <v>3800</v>
      </c>
      <c r="I106" s="133" t="str">
        <f>IF(COUNTIF(J106:AW106,"&lt;&gt;")=0,"",SUMPRODUCT(((Recommendations[ImplStatus]="Implemented")+(Recommendations[ImplStatus]="Compensated"))*ISNUMBER(MATCH(Recommendations[Id],J106:AW106,0)))/COUNTIF(J106:AW106,"&lt;&gt;"))</f>
        <v/>
      </c>
      <c r="J106" s="135"/>
      <c r="K106" s="135"/>
      <c r="L106" s="135"/>
      <c r="M106" s="135"/>
      <c r="N106" s="135"/>
      <c r="O106" s="135"/>
      <c r="P106" s="135"/>
      <c r="Q106" s="135"/>
      <c r="R106" s="135"/>
      <c r="S106" s="135"/>
      <c r="T106" s="135"/>
      <c r="U106" s="135"/>
      <c r="V106" s="135"/>
      <c r="W106" s="135"/>
      <c r="X106" s="135"/>
      <c r="Y106" s="135"/>
      <c r="Z106" s="135"/>
      <c r="AA106" s="135"/>
      <c r="AB106" s="135"/>
      <c r="AC106" s="135"/>
      <c r="AD106" s="135"/>
      <c r="AE106" s="135"/>
      <c r="AF106" s="135"/>
      <c r="AG106" s="135"/>
      <c r="AH106" s="135"/>
      <c r="AI106" s="135"/>
      <c r="AJ106" s="135"/>
      <c r="AK106" s="135"/>
      <c r="AL106" s="135"/>
      <c r="AM106" s="135"/>
      <c r="AN106" s="135"/>
      <c r="AO106" s="135"/>
      <c r="AP106" s="135"/>
      <c r="AQ106" s="135"/>
      <c r="AR106" s="135"/>
      <c r="AS106" s="135"/>
      <c r="AT106" s="135"/>
      <c r="AU106" s="135"/>
      <c r="AV106" s="135"/>
      <c r="AW106" s="145"/>
    </row>
    <row r="107" spans="1:49" ht="60" customHeight="1" x14ac:dyDescent="0.35">
      <c r="A107" s="142" t="s">
        <v>3786</v>
      </c>
      <c r="B107" s="128" t="s">
        <v>3801</v>
      </c>
      <c r="C107" s="129" t="s">
        <v>3802</v>
      </c>
      <c r="D107" s="131" t="s">
        <v>3803</v>
      </c>
      <c r="E107" s="131" t="s">
        <v>3804</v>
      </c>
      <c r="F107" s="131" t="s">
        <v>3805</v>
      </c>
      <c r="G107" s="131" t="s">
        <v>3806</v>
      </c>
      <c r="H107" s="131" t="s">
        <v>3807</v>
      </c>
      <c r="I107" s="133" t="str">
        <f>IF(COUNTIF(J107:AW107,"&lt;&gt;")=0,"",SUMPRODUCT(((Recommendations[ImplStatus]="Implemented")+(Recommendations[ImplStatus]="Compensated"))*ISNUMBER(MATCH(Recommendations[Id],J107:AW107,0)))/COUNTIF(J107:AW107,"&lt;&gt;"))</f>
        <v/>
      </c>
      <c r="J107" s="135"/>
      <c r="K107" s="135"/>
      <c r="L107" s="135"/>
      <c r="M107" s="135"/>
      <c r="N107" s="135"/>
      <c r="O107" s="135"/>
      <c r="P107" s="135"/>
      <c r="Q107" s="135"/>
      <c r="R107" s="135"/>
      <c r="S107" s="135"/>
      <c r="T107" s="135"/>
      <c r="U107" s="135"/>
      <c r="V107" s="135"/>
      <c r="W107" s="135"/>
      <c r="X107" s="135"/>
      <c r="Y107" s="135"/>
      <c r="Z107" s="135"/>
      <c r="AA107" s="135"/>
      <c r="AB107" s="135"/>
      <c r="AC107" s="135"/>
      <c r="AD107" s="135"/>
      <c r="AE107" s="135"/>
      <c r="AF107" s="135"/>
      <c r="AG107" s="135"/>
      <c r="AH107" s="135"/>
      <c r="AI107" s="135"/>
      <c r="AJ107" s="135"/>
      <c r="AK107" s="135"/>
      <c r="AL107" s="135"/>
      <c r="AM107" s="135"/>
      <c r="AN107" s="135"/>
      <c r="AO107" s="135"/>
      <c r="AP107" s="135"/>
      <c r="AQ107" s="135"/>
      <c r="AR107" s="135"/>
      <c r="AS107" s="135"/>
      <c r="AT107" s="135"/>
      <c r="AU107" s="135"/>
      <c r="AV107" s="135"/>
      <c r="AW107" s="145"/>
    </row>
    <row r="108" spans="1:49" ht="60" customHeight="1" outlineLevel="1" x14ac:dyDescent="0.35">
      <c r="A108" s="141" t="s">
        <v>3808</v>
      </c>
      <c r="B108" s="127"/>
      <c r="C108" s="126" t="s">
        <v>3809</v>
      </c>
      <c r="D108" s="130"/>
      <c r="E108" s="130"/>
      <c r="F108" s="130"/>
      <c r="G108" s="130"/>
      <c r="H108" s="130"/>
      <c r="I108" s="132" t="str">
        <f>IF(COUNTIF(J108:AW108,"&lt;&gt;")=0,"",SUMPRODUCT(((Recommendations[ImplStatus]="Implemented")+(Recommendations[ImplStatus]="Compensated"))*ISNUMBER(MATCH(Recommendations[Id],J108:AW108,0)))/COUNTIF(J108:AW108,"&lt;&gt;"))</f>
        <v/>
      </c>
      <c r="J108" s="134"/>
      <c r="K108" s="134"/>
      <c r="L108" s="134"/>
      <c r="M108" s="134"/>
      <c r="N108" s="134"/>
      <c r="O108" s="134"/>
      <c r="P108" s="134"/>
      <c r="Q108" s="134"/>
      <c r="R108" s="134"/>
      <c r="S108" s="134"/>
      <c r="T108" s="134"/>
      <c r="U108" s="134"/>
      <c r="V108" s="134"/>
      <c r="W108" s="134"/>
      <c r="X108" s="134"/>
      <c r="Y108" s="134"/>
      <c r="Z108" s="134"/>
      <c r="AA108" s="134"/>
      <c r="AB108" s="134"/>
      <c r="AC108" s="134"/>
      <c r="AD108" s="134"/>
      <c r="AE108" s="134"/>
      <c r="AF108" s="134"/>
      <c r="AG108" s="134"/>
      <c r="AH108" s="134"/>
      <c r="AI108" s="134"/>
      <c r="AJ108" s="134"/>
      <c r="AK108" s="134"/>
      <c r="AL108" s="134"/>
      <c r="AM108" s="134"/>
      <c r="AN108" s="134"/>
      <c r="AO108" s="134"/>
      <c r="AP108" s="134"/>
      <c r="AQ108" s="134"/>
      <c r="AR108" s="134"/>
      <c r="AS108" s="134"/>
      <c r="AT108" s="134"/>
      <c r="AU108" s="134"/>
      <c r="AV108" s="134"/>
      <c r="AW108" s="144"/>
    </row>
    <row r="109" spans="1:49" ht="60" customHeight="1" x14ac:dyDescent="0.35">
      <c r="A109" s="142" t="s">
        <v>3808</v>
      </c>
      <c r="B109" s="128" t="s">
        <v>3810</v>
      </c>
      <c r="C109" s="129" t="s">
        <v>3811</v>
      </c>
      <c r="D109" s="131" t="s">
        <v>3812</v>
      </c>
      <c r="E109" s="131" t="s">
        <v>3813</v>
      </c>
      <c r="F109" s="131" t="s">
        <v>3814</v>
      </c>
      <c r="G109" s="131" t="s">
        <v>3815</v>
      </c>
      <c r="H109" s="131" t="s">
        <v>3816</v>
      </c>
      <c r="I109" s="133" t="str">
        <f>IF(COUNTIF(J109:AW109,"&lt;&gt;")=0,"",SUMPRODUCT(((Recommendations[ImplStatus]="Implemented")+(Recommendations[ImplStatus]="Compensated"))*ISNUMBER(MATCH(Recommendations[Id],J109:AW109,0)))/COUNTIF(J109:AW109,"&lt;&gt;"))</f>
        <v/>
      </c>
      <c r="J109" s="135"/>
      <c r="K109" s="135"/>
      <c r="L109" s="135"/>
      <c r="M109" s="135"/>
      <c r="N109" s="135"/>
      <c r="O109" s="135"/>
      <c r="P109" s="135"/>
      <c r="Q109" s="135"/>
      <c r="R109" s="135"/>
      <c r="S109" s="135"/>
      <c r="T109" s="135"/>
      <c r="U109" s="135"/>
      <c r="V109" s="135"/>
      <c r="W109" s="135"/>
      <c r="X109" s="135"/>
      <c r="Y109" s="135"/>
      <c r="Z109" s="135"/>
      <c r="AA109" s="135"/>
      <c r="AB109" s="135"/>
      <c r="AC109" s="135"/>
      <c r="AD109" s="135"/>
      <c r="AE109" s="135"/>
      <c r="AF109" s="135"/>
      <c r="AG109" s="135"/>
      <c r="AH109" s="135"/>
      <c r="AI109" s="135"/>
      <c r="AJ109" s="135"/>
      <c r="AK109" s="135"/>
      <c r="AL109" s="135"/>
      <c r="AM109" s="135"/>
      <c r="AN109" s="135"/>
      <c r="AO109" s="135"/>
      <c r="AP109" s="135"/>
      <c r="AQ109" s="135"/>
      <c r="AR109" s="135"/>
      <c r="AS109" s="135"/>
      <c r="AT109" s="135"/>
      <c r="AU109" s="135"/>
      <c r="AV109" s="135"/>
      <c r="AW109" s="145"/>
    </row>
    <row r="110" spans="1:49" ht="60" customHeight="1" x14ac:dyDescent="0.35">
      <c r="A110" s="142" t="s">
        <v>3808</v>
      </c>
      <c r="B110" s="128" t="s">
        <v>3817</v>
      </c>
      <c r="C110" s="129" t="s">
        <v>3818</v>
      </c>
      <c r="D110" s="131" t="s">
        <v>3819</v>
      </c>
      <c r="E110" s="131" t="s">
        <v>3820</v>
      </c>
      <c r="F110" s="131" t="s">
        <v>3821</v>
      </c>
      <c r="G110" s="131" t="s">
        <v>3822</v>
      </c>
      <c r="H110" s="131" t="s">
        <v>3823</v>
      </c>
      <c r="I110" s="133" t="str">
        <f>IF(COUNTIF(J110:AW110,"&lt;&gt;")=0,"",SUMPRODUCT(((Recommendations[ImplStatus]="Implemented")+(Recommendations[ImplStatus]="Compensated"))*ISNUMBER(MATCH(Recommendations[Id],J110:AW110,0)))/COUNTIF(J110:AW110,"&lt;&gt;"))</f>
        <v/>
      </c>
      <c r="J110" s="135"/>
      <c r="K110" s="135"/>
      <c r="L110" s="135"/>
      <c r="M110" s="135"/>
      <c r="N110" s="135"/>
      <c r="O110" s="135"/>
      <c r="P110" s="135"/>
      <c r="Q110" s="135"/>
      <c r="R110" s="135"/>
      <c r="S110" s="135"/>
      <c r="T110" s="135"/>
      <c r="U110" s="135"/>
      <c r="V110" s="135"/>
      <c r="W110" s="135"/>
      <c r="X110" s="135"/>
      <c r="Y110" s="135"/>
      <c r="Z110" s="135"/>
      <c r="AA110" s="135"/>
      <c r="AB110" s="135"/>
      <c r="AC110" s="135"/>
      <c r="AD110" s="135"/>
      <c r="AE110" s="135"/>
      <c r="AF110" s="135"/>
      <c r="AG110" s="135"/>
      <c r="AH110" s="135"/>
      <c r="AI110" s="135"/>
      <c r="AJ110" s="135"/>
      <c r="AK110" s="135"/>
      <c r="AL110" s="135"/>
      <c r="AM110" s="135"/>
      <c r="AN110" s="135"/>
      <c r="AO110" s="135"/>
      <c r="AP110" s="135"/>
      <c r="AQ110" s="135"/>
      <c r="AR110" s="135"/>
      <c r="AS110" s="135"/>
      <c r="AT110" s="135"/>
      <c r="AU110" s="135"/>
      <c r="AV110" s="135"/>
      <c r="AW110" s="145"/>
    </row>
    <row r="111" spans="1:49" ht="60" customHeight="1" x14ac:dyDescent="0.35">
      <c r="A111" s="142" t="s">
        <v>3808</v>
      </c>
      <c r="B111" s="128" t="s">
        <v>3824</v>
      </c>
      <c r="C111" s="129" t="s">
        <v>3825</v>
      </c>
      <c r="D111" s="131" t="s">
        <v>3826</v>
      </c>
      <c r="E111" s="131" t="s">
        <v>3827</v>
      </c>
      <c r="F111" s="131" t="s">
        <v>3828</v>
      </c>
      <c r="G111" s="131" t="s">
        <v>3829</v>
      </c>
      <c r="H111" s="131" t="s">
        <v>3830</v>
      </c>
      <c r="I111" s="133" t="str">
        <f>IF(COUNTIF(J111:AW111,"&lt;&gt;")=0,"",SUMPRODUCT(((Recommendations[ImplStatus]="Implemented")+(Recommendations[ImplStatus]="Compensated"))*ISNUMBER(MATCH(Recommendations[Id],J111:AW111,0)))/COUNTIF(J111:AW111,"&lt;&gt;"))</f>
        <v/>
      </c>
      <c r="J111" s="135"/>
      <c r="K111" s="135"/>
      <c r="L111" s="135"/>
      <c r="M111" s="135"/>
      <c r="N111" s="135"/>
      <c r="O111" s="135"/>
      <c r="P111" s="135"/>
      <c r="Q111" s="135"/>
      <c r="R111" s="135"/>
      <c r="S111" s="135"/>
      <c r="T111" s="135"/>
      <c r="U111" s="135"/>
      <c r="V111" s="135"/>
      <c r="W111" s="135"/>
      <c r="X111" s="135"/>
      <c r="Y111" s="135"/>
      <c r="Z111" s="135"/>
      <c r="AA111" s="135"/>
      <c r="AB111" s="135"/>
      <c r="AC111" s="135"/>
      <c r="AD111" s="135"/>
      <c r="AE111" s="135"/>
      <c r="AF111" s="135"/>
      <c r="AG111" s="135"/>
      <c r="AH111" s="135"/>
      <c r="AI111" s="135"/>
      <c r="AJ111" s="135"/>
      <c r="AK111" s="135"/>
      <c r="AL111" s="135"/>
      <c r="AM111" s="135"/>
      <c r="AN111" s="135"/>
      <c r="AO111" s="135"/>
      <c r="AP111" s="135"/>
      <c r="AQ111" s="135"/>
      <c r="AR111" s="135"/>
      <c r="AS111" s="135"/>
      <c r="AT111" s="135"/>
      <c r="AU111" s="135"/>
      <c r="AV111" s="135"/>
      <c r="AW111" s="145"/>
    </row>
    <row r="112" spans="1:49" ht="60" customHeight="1" outlineLevel="1" x14ac:dyDescent="0.35">
      <c r="A112" s="141" t="s">
        <v>3831</v>
      </c>
      <c r="B112" s="127"/>
      <c r="C112" s="126" t="s">
        <v>3832</v>
      </c>
      <c r="D112" s="130"/>
      <c r="E112" s="130"/>
      <c r="F112" s="130"/>
      <c r="G112" s="130"/>
      <c r="H112" s="130"/>
      <c r="I112" s="132" t="str">
        <f>IF(COUNTIF(J112:AW112,"&lt;&gt;")=0,"",SUMPRODUCT(((Recommendations[ImplStatus]="Implemented")+(Recommendations[ImplStatus]="Compensated"))*ISNUMBER(MATCH(Recommendations[Id],J112:AW112,0)))/COUNTIF(J112:AW112,"&lt;&gt;"))</f>
        <v/>
      </c>
      <c r="J112" s="134"/>
      <c r="K112" s="134"/>
      <c r="L112" s="134"/>
      <c r="M112" s="134"/>
      <c r="N112" s="134"/>
      <c r="O112" s="134"/>
      <c r="P112" s="134"/>
      <c r="Q112" s="134"/>
      <c r="R112" s="134"/>
      <c r="S112" s="134"/>
      <c r="T112" s="134"/>
      <c r="U112" s="134"/>
      <c r="V112" s="134"/>
      <c r="W112" s="134"/>
      <c r="X112" s="134"/>
      <c r="Y112" s="134"/>
      <c r="Z112" s="134"/>
      <c r="AA112" s="134"/>
      <c r="AB112" s="134"/>
      <c r="AC112" s="134"/>
      <c r="AD112" s="134"/>
      <c r="AE112" s="134"/>
      <c r="AF112" s="134"/>
      <c r="AG112" s="134"/>
      <c r="AH112" s="134"/>
      <c r="AI112" s="134"/>
      <c r="AJ112" s="134"/>
      <c r="AK112" s="134"/>
      <c r="AL112" s="134"/>
      <c r="AM112" s="134"/>
      <c r="AN112" s="134"/>
      <c r="AO112" s="134"/>
      <c r="AP112" s="134"/>
      <c r="AQ112" s="134"/>
      <c r="AR112" s="134"/>
      <c r="AS112" s="134"/>
      <c r="AT112" s="134"/>
      <c r="AU112" s="134"/>
      <c r="AV112" s="134"/>
      <c r="AW112" s="144"/>
    </row>
    <row r="113" spans="1:49" ht="60" customHeight="1" x14ac:dyDescent="0.35">
      <c r="A113" s="142" t="s">
        <v>3831</v>
      </c>
      <c r="B113" s="128" t="s">
        <v>3833</v>
      </c>
      <c r="C113" s="129" t="s">
        <v>3834</v>
      </c>
      <c r="D113" s="131" t="s">
        <v>3835</v>
      </c>
      <c r="E113" s="131" t="s">
        <v>3836</v>
      </c>
      <c r="F113" s="131" t="s">
        <v>3837</v>
      </c>
      <c r="G113" s="131" t="s">
        <v>3838</v>
      </c>
      <c r="H113" s="131" t="s">
        <v>3839</v>
      </c>
      <c r="I113" s="133" t="str">
        <f>IF(COUNTIF(J113:AW113,"&lt;&gt;")=0,"",SUMPRODUCT(((Recommendations[ImplStatus]="Implemented")+(Recommendations[ImplStatus]="Compensated"))*ISNUMBER(MATCH(Recommendations[Id],J113:AW113,0)))/COUNTIF(J113:AW113,"&lt;&gt;"))</f>
        <v/>
      </c>
      <c r="J113" s="135"/>
      <c r="K113" s="135"/>
      <c r="L113" s="135"/>
      <c r="M113" s="135"/>
      <c r="N113" s="135"/>
      <c r="O113" s="135"/>
      <c r="P113" s="135"/>
      <c r="Q113" s="135"/>
      <c r="R113" s="135"/>
      <c r="S113" s="135"/>
      <c r="T113" s="135"/>
      <c r="U113" s="135"/>
      <c r="V113" s="135"/>
      <c r="W113" s="135"/>
      <c r="X113" s="135"/>
      <c r="Y113" s="135"/>
      <c r="Z113" s="135"/>
      <c r="AA113" s="135"/>
      <c r="AB113" s="135"/>
      <c r="AC113" s="135"/>
      <c r="AD113" s="135"/>
      <c r="AE113" s="135"/>
      <c r="AF113" s="135"/>
      <c r="AG113" s="135"/>
      <c r="AH113" s="135"/>
      <c r="AI113" s="135"/>
      <c r="AJ113" s="135"/>
      <c r="AK113" s="135"/>
      <c r="AL113" s="135"/>
      <c r="AM113" s="135"/>
      <c r="AN113" s="135"/>
      <c r="AO113" s="135"/>
      <c r="AP113" s="135"/>
      <c r="AQ113" s="135"/>
      <c r="AR113" s="135"/>
      <c r="AS113" s="135"/>
      <c r="AT113" s="135"/>
      <c r="AU113" s="135"/>
      <c r="AV113" s="135"/>
      <c r="AW113" s="145"/>
    </row>
    <row r="114" spans="1:49" ht="60" customHeight="1" x14ac:dyDescent="0.35">
      <c r="A114" s="142" t="s">
        <v>3831</v>
      </c>
      <c r="B114" s="128" t="s">
        <v>3840</v>
      </c>
      <c r="C114" s="129" t="s">
        <v>3841</v>
      </c>
      <c r="D114" s="131" t="s">
        <v>3842</v>
      </c>
      <c r="E114" s="131" t="s">
        <v>3843</v>
      </c>
      <c r="F114" s="131" t="s">
        <v>3844</v>
      </c>
      <c r="G114" s="131" t="s">
        <v>3838</v>
      </c>
      <c r="H114" s="131" t="s">
        <v>3845</v>
      </c>
      <c r="I114" s="133" t="str">
        <f>IF(COUNTIF(J114:AW114,"&lt;&gt;")=0,"",SUMPRODUCT(((Recommendations[ImplStatus]="Implemented")+(Recommendations[ImplStatus]="Compensated"))*ISNUMBER(MATCH(Recommendations[Id],J114:AW114,0)))/COUNTIF(J114:AW114,"&lt;&gt;"))</f>
        <v/>
      </c>
      <c r="J114" s="135"/>
      <c r="K114" s="135"/>
      <c r="L114" s="135"/>
      <c r="M114" s="135"/>
      <c r="N114" s="135"/>
      <c r="O114" s="135"/>
      <c r="P114" s="135"/>
      <c r="Q114" s="135"/>
      <c r="R114" s="135"/>
      <c r="S114" s="135"/>
      <c r="T114" s="135"/>
      <c r="U114" s="135"/>
      <c r="V114" s="135"/>
      <c r="W114" s="135"/>
      <c r="X114" s="135"/>
      <c r="Y114" s="135"/>
      <c r="Z114" s="135"/>
      <c r="AA114" s="135"/>
      <c r="AB114" s="135"/>
      <c r="AC114" s="135"/>
      <c r="AD114" s="135"/>
      <c r="AE114" s="135"/>
      <c r="AF114" s="135"/>
      <c r="AG114" s="135"/>
      <c r="AH114" s="135"/>
      <c r="AI114" s="135"/>
      <c r="AJ114" s="135"/>
      <c r="AK114" s="135"/>
      <c r="AL114" s="135"/>
      <c r="AM114" s="135"/>
      <c r="AN114" s="135"/>
      <c r="AO114" s="135"/>
      <c r="AP114" s="135"/>
      <c r="AQ114" s="135"/>
      <c r="AR114" s="135"/>
      <c r="AS114" s="135"/>
      <c r="AT114" s="135"/>
      <c r="AU114" s="135"/>
      <c r="AV114" s="135"/>
      <c r="AW114" s="145"/>
    </row>
    <row r="115" spans="1:49" ht="60" customHeight="1" x14ac:dyDescent="0.35">
      <c r="A115" s="143" t="s">
        <v>3831</v>
      </c>
      <c r="B115" s="136" t="s">
        <v>3846</v>
      </c>
      <c r="C115" s="137" t="s">
        <v>3847</v>
      </c>
      <c r="D115" s="138" t="s">
        <v>3848</v>
      </c>
      <c r="E115" s="138" t="s">
        <v>3849</v>
      </c>
      <c r="F115" s="138" t="s">
        <v>3850</v>
      </c>
      <c r="G115" s="138" t="s">
        <v>3851</v>
      </c>
      <c r="H115" s="138" t="s">
        <v>3852</v>
      </c>
      <c r="I115" s="139" t="str">
        <f>IF(COUNTIF(J115:AW115,"&lt;&gt;")=0,"",SUMPRODUCT(((Recommendations[ImplStatus]="Implemented")+(Recommendations[ImplStatus]="Compensated"))*ISNUMBER(MATCH(Recommendations[Id],J115:AW115,0)))/COUNTIF(J115:AW115,"&lt;&gt;"))</f>
        <v/>
      </c>
      <c r="J115" s="140"/>
      <c r="K115" s="140"/>
      <c r="L115" s="140"/>
      <c r="M115" s="140"/>
      <c r="N115" s="140"/>
      <c r="O115" s="140"/>
      <c r="P115" s="140"/>
      <c r="Q115" s="140"/>
      <c r="R115" s="140"/>
      <c r="S115" s="140"/>
      <c r="T115" s="140"/>
      <c r="U115" s="140"/>
      <c r="V115" s="140"/>
      <c r="W115" s="140"/>
      <c r="X115" s="140"/>
      <c r="Y115" s="140"/>
      <c r="Z115" s="140"/>
      <c r="AA115" s="140"/>
      <c r="AB115" s="140"/>
      <c r="AC115" s="140"/>
      <c r="AD115" s="140"/>
      <c r="AE115" s="140"/>
      <c r="AF115" s="140"/>
      <c r="AG115" s="140"/>
      <c r="AH115" s="140"/>
      <c r="AI115" s="140"/>
      <c r="AJ115" s="140"/>
      <c r="AK115" s="140"/>
      <c r="AL115" s="140"/>
      <c r="AM115" s="140"/>
      <c r="AN115" s="140"/>
      <c r="AO115" s="140"/>
      <c r="AP115" s="140"/>
      <c r="AQ115" s="140"/>
      <c r="AR115" s="140"/>
      <c r="AS115" s="140"/>
      <c r="AT115" s="140"/>
      <c r="AU115" s="140"/>
      <c r="AV115" s="140"/>
      <c r="AW115" s="146"/>
    </row>
    <row r="119" spans="1:49" ht="32" customHeight="1" x14ac:dyDescent="0.35">
      <c r="A119" s="291" t="s">
        <v>1971</v>
      </c>
      <c r="B119" s="291"/>
      <c r="C119" s="291"/>
      <c r="D119" s="291"/>
      <c r="E119" s="291"/>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IFERROR(INDEX('Recommendations'!$H$2:$H$461, MATCH(J2,'Recommendations'!$A$2:$A$461,0))="Implemented", FALSE))</xm:f>
            <x14:dxf>
              <font>
                <color rgb="FF000000"/>
              </font>
              <fill>
                <patternFill>
                  <bgColor rgb="FF3C7D22"/>
                </patternFill>
              </fill>
            </x14:dxf>
          </x14:cfRule>
          <x14:cfRule type="expression" priority="2" id="{00000000-000E-0000-0600-000002000000}">
            <xm:f>AND(J2&lt;&gt;"", IFERROR(INDEX('Recommendations'!$H$2:$H$461, MATCH(J2,'Recommendations'!$A$2:$A$461,0))="Compensated", FALSE))</xm:f>
            <x14:dxf>
              <font>
                <color rgb="FF000000"/>
              </font>
              <fill>
                <patternFill>
                  <bgColor rgb="FFC6E0B4"/>
                </patternFill>
              </fill>
            </x14:dxf>
          </x14:cfRule>
          <x14:cfRule type="expression" priority="3" id="{00000000-000E-0000-0600-000003000000}">
            <xm:f>AND(J2&lt;&gt;"", IFERROR(INDEX('Recommendations'!$H$2:$H$461, MATCH(J2,'Recommendations'!$A$2:$A$461,0))="Testing", FALSE))</xm:f>
            <x14:dxf>
              <font>
                <color rgb="FF000000"/>
              </font>
              <fill>
                <patternFill>
                  <bgColor rgb="FFFFC000"/>
                </patternFill>
              </fill>
            </x14:dxf>
          </x14:cfRule>
          <x14:cfRule type="expression" priority="4" id="{00000000-000E-0000-0600-000004000000}">
            <xm:f>AND(J2&lt;&gt;"", IFERROR(INDEX('Recommendations'!$H$2:$H$461, MATCH(J2,'Recommendations'!$A$2:$A$461,0))="Failed", FALSE))</xm:f>
            <x14:dxf>
              <font>
                <color rgb="FF000000"/>
              </font>
              <fill>
                <patternFill>
                  <bgColor rgb="FFD82891"/>
                </patternFill>
              </fill>
            </x14:dxf>
          </x14:cfRule>
          <x14:cfRule type="expression" priority="5" id="{00000000-000E-0000-0600-000005000000}">
            <xm:f>AND(J2&lt;&gt;"", IFERROR(INDEX('Recommendations'!$H$2:$H$461, MATCH(J2,'Recommendations'!$A$2:$A$461,0))="Risk Accepted", FALSE))</xm:f>
            <x14:dxf>
              <font>
                <color rgb="FF000000"/>
              </font>
              <fill>
                <patternFill>
                  <bgColor rgb="FFD9D9D9"/>
                </patternFill>
              </fill>
            </x14:dxf>
          </x14:cfRule>
          <x14:cfRule type="expression" priority="6" id="{00000000-000E-0000-0600-000006000000}">
            <xm:f>AND(J2&lt;&gt;"", IFERROR(INDEX('Recommendations'!$H$2:$H$461, MATCH(J2,'Recommendations'!$A$2:$A$461,0))="N/A",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6" t="s">
        <v>3853</v>
      </c>
      <c r="B1" s="187" t="s">
        <v>3854</v>
      </c>
      <c r="C1" s="187" t="s">
        <v>0</v>
      </c>
      <c r="D1" s="187" t="s">
        <v>3855</v>
      </c>
      <c r="E1" s="187" t="s">
        <v>3856</v>
      </c>
      <c r="F1" s="187" t="s">
        <v>3857</v>
      </c>
      <c r="G1" s="187" t="s">
        <v>2222</v>
      </c>
      <c r="H1" s="187" t="s">
        <v>2223</v>
      </c>
      <c r="I1" s="187" t="s">
        <v>2224</v>
      </c>
      <c r="J1" s="187" t="s">
        <v>2225</v>
      </c>
      <c r="K1" s="187" t="s">
        <v>2226</v>
      </c>
      <c r="L1" s="187" t="s">
        <v>2227</v>
      </c>
      <c r="M1" s="187" t="s">
        <v>2228</v>
      </c>
      <c r="N1" s="187" t="s">
        <v>2229</v>
      </c>
      <c r="O1" s="187" t="s">
        <v>2230</v>
      </c>
      <c r="P1" s="187" t="s">
        <v>2231</v>
      </c>
      <c r="Q1" s="187" t="s">
        <v>2232</v>
      </c>
      <c r="R1" s="187" t="s">
        <v>2233</v>
      </c>
      <c r="S1" s="187" t="s">
        <v>2234</v>
      </c>
      <c r="T1" s="187" t="s">
        <v>2235</v>
      </c>
      <c r="U1" s="187" t="s">
        <v>2236</v>
      </c>
      <c r="V1" s="187" t="s">
        <v>2237</v>
      </c>
      <c r="W1" s="187" t="s">
        <v>2238</v>
      </c>
      <c r="X1" s="187" t="s">
        <v>2239</v>
      </c>
      <c r="Y1" s="187" t="s">
        <v>2240</v>
      </c>
      <c r="Z1" s="187" t="s">
        <v>2241</v>
      </c>
      <c r="AA1" s="187" t="s">
        <v>2242</v>
      </c>
      <c r="AB1" s="187" t="s">
        <v>2243</v>
      </c>
      <c r="AC1" s="187" t="s">
        <v>2244</v>
      </c>
      <c r="AD1" s="187" t="s">
        <v>2245</v>
      </c>
      <c r="AE1" s="187" t="s">
        <v>2246</v>
      </c>
      <c r="AF1" s="187" t="s">
        <v>2247</v>
      </c>
      <c r="AG1" s="187" t="s">
        <v>2248</v>
      </c>
      <c r="AH1" s="187" t="s">
        <v>2249</v>
      </c>
      <c r="AI1" s="187" t="s">
        <v>2250</v>
      </c>
      <c r="AJ1" s="187" t="s">
        <v>2251</v>
      </c>
      <c r="AK1" s="187" t="s">
        <v>2252</v>
      </c>
      <c r="AL1" s="187" t="s">
        <v>2253</v>
      </c>
      <c r="AM1" s="187" t="s">
        <v>2254</v>
      </c>
      <c r="AN1" s="187" t="s">
        <v>2255</v>
      </c>
      <c r="AO1" s="187" t="s">
        <v>2256</v>
      </c>
      <c r="AP1" s="187" t="s">
        <v>2257</v>
      </c>
      <c r="AQ1" s="187" t="s">
        <v>2258</v>
      </c>
      <c r="AR1" s="187" t="s">
        <v>2259</v>
      </c>
      <c r="AS1" s="187" t="s">
        <v>2260</v>
      </c>
      <c r="AT1" s="187" t="s">
        <v>2261</v>
      </c>
      <c r="AU1" s="188" t="s">
        <v>2262</v>
      </c>
    </row>
    <row r="2" spans="1:47" ht="60" customHeight="1" outlineLevel="1" x14ac:dyDescent="0.35">
      <c r="A2" s="178" t="s">
        <v>3858</v>
      </c>
      <c r="B2" s="152" t="s">
        <v>21</v>
      </c>
      <c r="C2" s="150" t="s">
        <v>3859</v>
      </c>
      <c r="D2" s="156" t="s">
        <v>3860</v>
      </c>
      <c r="E2" s="159" t="s">
        <v>21</v>
      </c>
      <c r="F2" s="162" t="s">
        <v>21</v>
      </c>
      <c r="G2" s="165" t="str">
        <f>IF(COUNTIF(H2:AU2,"&lt;&gt;")=0,"",SUMPRODUCT(((Recommendations[ImplStatus]="Implemented")+(Recommendations[ImplStatus]="Compensated"))*ISNUMBER(MATCH(Recommendations[Id],H2:AU2,0)))/COUNTIF(H2:AU2,"&lt;&gt;"))</f>
        <v/>
      </c>
      <c r="H2" s="168"/>
      <c r="I2" s="168"/>
      <c r="J2" s="168"/>
      <c r="K2" s="168"/>
      <c r="L2" s="168"/>
      <c r="M2" s="168"/>
      <c r="N2" s="168"/>
      <c r="O2" s="168"/>
      <c r="P2" s="168"/>
      <c r="Q2" s="168"/>
      <c r="R2" s="168"/>
      <c r="S2" s="168"/>
      <c r="T2" s="168"/>
      <c r="U2" s="168"/>
      <c r="V2" s="168"/>
      <c r="W2" s="168"/>
      <c r="X2" s="168"/>
      <c r="Y2" s="168"/>
      <c r="Z2" s="168"/>
      <c r="AA2" s="168"/>
      <c r="AB2" s="168"/>
      <c r="AC2" s="168"/>
      <c r="AD2" s="168"/>
      <c r="AE2" s="168"/>
      <c r="AF2" s="168"/>
      <c r="AG2" s="168"/>
      <c r="AH2" s="168"/>
      <c r="AI2" s="168"/>
      <c r="AJ2" s="168"/>
      <c r="AK2" s="168"/>
      <c r="AL2" s="168"/>
      <c r="AM2" s="168"/>
      <c r="AN2" s="168"/>
      <c r="AO2" s="168"/>
      <c r="AP2" s="168"/>
      <c r="AQ2" s="168"/>
      <c r="AR2" s="168"/>
      <c r="AS2" s="168"/>
      <c r="AT2" s="168"/>
      <c r="AU2" s="182"/>
    </row>
    <row r="3" spans="1:47" ht="60" customHeight="1" outlineLevel="1" x14ac:dyDescent="0.35">
      <c r="A3" s="179" t="s">
        <v>3858</v>
      </c>
      <c r="B3" s="153" t="s">
        <v>3861</v>
      </c>
      <c r="C3" s="151" t="s">
        <v>3862</v>
      </c>
      <c r="D3" s="157" t="s">
        <v>3863</v>
      </c>
      <c r="E3" s="160" t="s">
        <v>21</v>
      </c>
      <c r="F3" s="163" t="s">
        <v>21</v>
      </c>
      <c r="G3" s="166" t="str">
        <f>IF(COUNTIF(H3:AU3,"&lt;&gt;")=0,"",SUMPRODUCT(((Recommendations[ImplStatus]="Implemented")+(Recommendations[ImplStatus]="Compensated"))*ISNUMBER(MATCH(Recommendations[Id],H3:AU3,0)))/COUNTIF(H3:AU3,"&lt;&gt;"))</f>
        <v/>
      </c>
      <c r="H3" s="169"/>
      <c r="I3" s="169"/>
      <c r="J3" s="169"/>
      <c r="K3" s="169"/>
      <c r="L3" s="169"/>
      <c r="M3" s="169"/>
      <c r="N3" s="169"/>
      <c r="O3" s="169"/>
      <c r="P3" s="169"/>
      <c r="Q3" s="169"/>
      <c r="R3" s="169"/>
      <c r="S3" s="169"/>
      <c r="T3" s="169"/>
      <c r="U3" s="169"/>
      <c r="V3" s="169"/>
      <c r="W3" s="169"/>
      <c r="X3" s="169"/>
      <c r="Y3" s="169"/>
      <c r="Z3" s="169"/>
      <c r="AA3" s="169"/>
      <c r="AB3" s="169"/>
      <c r="AC3" s="169"/>
      <c r="AD3" s="169"/>
      <c r="AE3" s="169"/>
      <c r="AF3" s="169"/>
      <c r="AG3" s="169"/>
      <c r="AH3" s="169"/>
      <c r="AI3" s="169"/>
      <c r="AJ3" s="169"/>
      <c r="AK3" s="169"/>
      <c r="AL3" s="169"/>
      <c r="AM3" s="169"/>
      <c r="AN3" s="169"/>
      <c r="AO3" s="169"/>
      <c r="AP3" s="169"/>
      <c r="AQ3" s="169"/>
      <c r="AR3" s="169"/>
      <c r="AS3" s="169"/>
      <c r="AT3" s="169"/>
      <c r="AU3" s="183"/>
    </row>
    <row r="4" spans="1:47" ht="60" customHeight="1" x14ac:dyDescent="0.35">
      <c r="A4" s="180" t="s">
        <v>3858</v>
      </c>
      <c r="B4" s="154" t="s">
        <v>3861</v>
      </c>
      <c r="C4" s="155" t="s">
        <v>3864</v>
      </c>
      <c r="D4" s="158" t="s">
        <v>3865</v>
      </c>
      <c r="E4" s="161" t="s">
        <v>3866</v>
      </c>
      <c r="F4" s="164" t="s">
        <v>3867</v>
      </c>
      <c r="G4" s="167" t="str">
        <f>IF(COUNTIF(H4:AU4,"&lt;&gt;")=0,"",SUMPRODUCT(((Recommendations[ImplStatus]="Implemented")+(Recommendations[ImplStatus]="Compensated"))*ISNUMBER(MATCH(Recommendations[Id],H4:AU4,0)))/COUNTIF(H4:AU4,"&lt;&gt;"))</f>
        <v/>
      </c>
      <c r="H4" s="170"/>
      <c r="I4" s="170"/>
      <c r="J4" s="170"/>
      <c r="K4" s="170"/>
      <c r="L4" s="170"/>
      <c r="M4" s="170"/>
      <c r="N4" s="170"/>
      <c r="O4" s="170"/>
      <c r="P4" s="170"/>
      <c r="Q4" s="170"/>
      <c r="R4" s="170"/>
      <c r="S4" s="170"/>
      <c r="T4" s="170"/>
      <c r="U4" s="170"/>
      <c r="V4" s="170"/>
      <c r="W4" s="170"/>
      <c r="X4" s="170"/>
      <c r="Y4" s="170"/>
      <c r="Z4" s="170"/>
      <c r="AA4" s="170"/>
      <c r="AB4" s="170"/>
      <c r="AC4" s="170"/>
      <c r="AD4" s="170"/>
      <c r="AE4" s="170"/>
      <c r="AF4" s="170"/>
      <c r="AG4" s="170"/>
      <c r="AH4" s="170"/>
      <c r="AI4" s="170"/>
      <c r="AJ4" s="170"/>
      <c r="AK4" s="170"/>
      <c r="AL4" s="170"/>
      <c r="AM4" s="170"/>
      <c r="AN4" s="170"/>
      <c r="AO4" s="170"/>
      <c r="AP4" s="170"/>
      <c r="AQ4" s="170"/>
      <c r="AR4" s="170"/>
      <c r="AS4" s="170"/>
      <c r="AT4" s="170"/>
      <c r="AU4" s="184"/>
    </row>
    <row r="5" spans="1:47" ht="60" customHeight="1" x14ac:dyDescent="0.35">
      <c r="A5" s="180" t="s">
        <v>3858</v>
      </c>
      <c r="B5" s="154" t="s">
        <v>3861</v>
      </c>
      <c r="C5" s="155" t="s">
        <v>3868</v>
      </c>
      <c r="D5" s="158" t="s">
        <v>3869</v>
      </c>
      <c r="E5" s="161" t="s">
        <v>3870</v>
      </c>
      <c r="F5" s="164" t="s">
        <v>3871</v>
      </c>
      <c r="G5" s="167" t="str">
        <f>IF(COUNTIF(H5:AU5,"&lt;&gt;")=0,"",SUMPRODUCT(((Recommendations[ImplStatus]="Implemented")+(Recommendations[ImplStatus]="Compensated"))*ISNUMBER(MATCH(Recommendations[Id],H5:AU5,0)))/COUNTIF(H5:AU5,"&lt;&gt;"))</f>
        <v/>
      </c>
      <c r="H5" s="170"/>
      <c r="I5" s="170"/>
      <c r="J5" s="170"/>
      <c r="K5" s="170"/>
      <c r="L5" s="170"/>
      <c r="M5" s="170"/>
      <c r="N5" s="170"/>
      <c r="O5" s="170"/>
      <c r="P5" s="170"/>
      <c r="Q5" s="170"/>
      <c r="R5" s="170"/>
      <c r="S5" s="170"/>
      <c r="T5" s="170"/>
      <c r="U5" s="170"/>
      <c r="V5" s="170"/>
      <c r="W5" s="170"/>
      <c r="X5" s="170"/>
      <c r="Y5" s="170"/>
      <c r="Z5" s="170"/>
      <c r="AA5" s="170"/>
      <c r="AB5" s="170"/>
      <c r="AC5" s="170"/>
      <c r="AD5" s="170"/>
      <c r="AE5" s="170"/>
      <c r="AF5" s="170"/>
      <c r="AG5" s="170"/>
      <c r="AH5" s="170"/>
      <c r="AI5" s="170"/>
      <c r="AJ5" s="170"/>
      <c r="AK5" s="170"/>
      <c r="AL5" s="170"/>
      <c r="AM5" s="170"/>
      <c r="AN5" s="170"/>
      <c r="AO5" s="170"/>
      <c r="AP5" s="170"/>
      <c r="AQ5" s="170"/>
      <c r="AR5" s="170"/>
      <c r="AS5" s="170"/>
      <c r="AT5" s="170"/>
      <c r="AU5" s="184"/>
    </row>
    <row r="6" spans="1:47" ht="60" customHeight="1" x14ac:dyDescent="0.35">
      <c r="A6" s="180" t="s">
        <v>3858</v>
      </c>
      <c r="B6" s="154" t="s">
        <v>3861</v>
      </c>
      <c r="C6" s="155" t="s">
        <v>3872</v>
      </c>
      <c r="D6" s="158" t="s">
        <v>3873</v>
      </c>
      <c r="E6" s="161" t="s">
        <v>3874</v>
      </c>
      <c r="F6" s="164" t="s">
        <v>3871</v>
      </c>
      <c r="G6" s="167" t="str">
        <f>IF(COUNTIF(H6:AU6,"&lt;&gt;")=0,"",SUMPRODUCT(((Recommendations[ImplStatus]="Implemented")+(Recommendations[ImplStatus]="Compensated"))*ISNUMBER(MATCH(Recommendations[Id],H6:AU6,0)))/COUNTIF(H6:AU6,"&lt;&gt;"))</f>
        <v/>
      </c>
      <c r="H6" s="170"/>
      <c r="I6" s="170"/>
      <c r="J6" s="170"/>
      <c r="K6" s="170"/>
      <c r="L6" s="170"/>
      <c r="M6" s="170"/>
      <c r="N6" s="170"/>
      <c r="O6" s="170"/>
      <c r="P6" s="170"/>
      <c r="Q6" s="170"/>
      <c r="R6" s="170"/>
      <c r="S6" s="170"/>
      <c r="T6" s="170"/>
      <c r="U6" s="170"/>
      <c r="V6" s="170"/>
      <c r="W6" s="170"/>
      <c r="X6" s="170"/>
      <c r="Y6" s="170"/>
      <c r="Z6" s="170"/>
      <c r="AA6" s="170"/>
      <c r="AB6" s="170"/>
      <c r="AC6" s="170"/>
      <c r="AD6" s="170"/>
      <c r="AE6" s="170"/>
      <c r="AF6" s="170"/>
      <c r="AG6" s="170"/>
      <c r="AH6" s="170"/>
      <c r="AI6" s="170"/>
      <c r="AJ6" s="170"/>
      <c r="AK6" s="170"/>
      <c r="AL6" s="170"/>
      <c r="AM6" s="170"/>
      <c r="AN6" s="170"/>
      <c r="AO6" s="170"/>
      <c r="AP6" s="170"/>
      <c r="AQ6" s="170"/>
      <c r="AR6" s="170"/>
      <c r="AS6" s="170"/>
      <c r="AT6" s="170"/>
      <c r="AU6" s="184"/>
    </row>
    <row r="7" spans="1:47" ht="60" customHeight="1" x14ac:dyDescent="0.35">
      <c r="A7" s="180" t="s">
        <v>3858</v>
      </c>
      <c r="B7" s="154" t="s">
        <v>3861</v>
      </c>
      <c r="C7" s="155" t="s">
        <v>3875</v>
      </c>
      <c r="D7" s="158" t="s">
        <v>3876</v>
      </c>
      <c r="E7" s="161" t="s">
        <v>3877</v>
      </c>
      <c r="F7" s="164" t="s">
        <v>3871</v>
      </c>
      <c r="G7" s="167" t="str">
        <f>IF(COUNTIF(H7:AU7,"&lt;&gt;")=0,"",SUMPRODUCT(((Recommendations[ImplStatus]="Implemented")+(Recommendations[ImplStatus]="Compensated"))*ISNUMBER(MATCH(Recommendations[Id],H7:AU7,0)))/COUNTIF(H7:AU7,"&lt;&gt;"))</f>
        <v/>
      </c>
      <c r="H7" s="170"/>
      <c r="I7" s="170"/>
      <c r="J7" s="170"/>
      <c r="K7" s="170"/>
      <c r="L7" s="170"/>
      <c r="M7" s="170"/>
      <c r="N7" s="170"/>
      <c r="O7" s="170"/>
      <c r="P7" s="170"/>
      <c r="Q7" s="170"/>
      <c r="R7" s="170"/>
      <c r="S7" s="170"/>
      <c r="T7" s="170"/>
      <c r="U7" s="170"/>
      <c r="V7" s="170"/>
      <c r="W7" s="170"/>
      <c r="X7" s="170"/>
      <c r="Y7" s="170"/>
      <c r="Z7" s="170"/>
      <c r="AA7" s="170"/>
      <c r="AB7" s="170"/>
      <c r="AC7" s="170"/>
      <c r="AD7" s="170"/>
      <c r="AE7" s="170"/>
      <c r="AF7" s="170"/>
      <c r="AG7" s="170"/>
      <c r="AH7" s="170"/>
      <c r="AI7" s="170"/>
      <c r="AJ7" s="170"/>
      <c r="AK7" s="170"/>
      <c r="AL7" s="170"/>
      <c r="AM7" s="170"/>
      <c r="AN7" s="170"/>
      <c r="AO7" s="170"/>
      <c r="AP7" s="170"/>
      <c r="AQ7" s="170"/>
      <c r="AR7" s="170"/>
      <c r="AS7" s="170"/>
      <c r="AT7" s="170"/>
      <c r="AU7" s="184"/>
    </row>
    <row r="8" spans="1:47" ht="60" customHeight="1" x14ac:dyDescent="0.35">
      <c r="A8" s="180" t="s">
        <v>3858</v>
      </c>
      <c r="B8" s="154" t="s">
        <v>3861</v>
      </c>
      <c r="C8" s="155" t="s">
        <v>3878</v>
      </c>
      <c r="D8" s="158" t="s">
        <v>3879</v>
      </c>
      <c r="E8" s="161" t="s">
        <v>3880</v>
      </c>
      <c r="F8" s="164" t="s">
        <v>3881</v>
      </c>
      <c r="G8" s="167" t="str">
        <f>IF(COUNTIF(H8:AU8,"&lt;&gt;")=0,"",SUMPRODUCT(((Recommendations[ImplStatus]="Implemented")+(Recommendations[ImplStatus]="Compensated"))*ISNUMBER(MATCH(Recommendations[Id],H8:AU8,0)))/COUNTIF(H8:AU8,"&lt;&gt;"))</f>
        <v/>
      </c>
      <c r="H8" s="170"/>
      <c r="I8" s="170"/>
      <c r="J8" s="170"/>
      <c r="K8" s="170"/>
      <c r="L8" s="170"/>
      <c r="M8" s="170"/>
      <c r="N8" s="170"/>
      <c r="O8" s="170"/>
      <c r="P8" s="170"/>
      <c r="Q8" s="170"/>
      <c r="R8" s="170"/>
      <c r="S8" s="170"/>
      <c r="T8" s="170"/>
      <c r="U8" s="170"/>
      <c r="V8" s="170"/>
      <c r="W8" s="170"/>
      <c r="X8" s="170"/>
      <c r="Y8" s="170"/>
      <c r="Z8" s="170"/>
      <c r="AA8" s="170"/>
      <c r="AB8" s="170"/>
      <c r="AC8" s="170"/>
      <c r="AD8" s="170"/>
      <c r="AE8" s="170"/>
      <c r="AF8" s="170"/>
      <c r="AG8" s="170"/>
      <c r="AH8" s="170"/>
      <c r="AI8" s="170"/>
      <c r="AJ8" s="170"/>
      <c r="AK8" s="170"/>
      <c r="AL8" s="170"/>
      <c r="AM8" s="170"/>
      <c r="AN8" s="170"/>
      <c r="AO8" s="170"/>
      <c r="AP8" s="170"/>
      <c r="AQ8" s="170"/>
      <c r="AR8" s="170"/>
      <c r="AS8" s="170"/>
      <c r="AT8" s="170"/>
      <c r="AU8" s="184"/>
    </row>
    <row r="9" spans="1:47" ht="60" customHeight="1" outlineLevel="1" x14ac:dyDescent="0.35">
      <c r="A9" s="179" t="s">
        <v>3858</v>
      </c>
      <c r="B9" s="153" t="s">
        <v>3882</v>
      </c>
      <c r="C9" s="151" t="s">
        <v>3883</v>
      </c>
      <c r="D9" s="157" t="s">
        <v>3884</v>
      </c>
      <c r="E9" s="160" t="s">
        <v>21</v>
      </c>
      <c r="F9" s="163" t="s">
        <v>21</v>
      </c>
      <c r="G9" s="166" t="str">
        <f>IF(COUNTIF(H9:AU9,"&lt;&gt;")=0,"",SUMPRODUCT(((Recommendations[ImplStatus]="Implemented")+(Recommendations[ImplStatus]="Compensated"))*ISNUMBER(MATCH(Recommendations[Id],H9:AU9,0)))/COUNTIF(H9:AU9,"&lt;&gt;"))</f>
        <v/>
      </c>
      <c r="H9" s="169"/>
      <c r="I9" s="169"/>
      <c r="J9" s="169"/>
      <c r="K9" s="169"/>
      <c r="L9" s="169"/>
      <c r="M9" s="169"/>
      <c r="N9" s="169"/>
      <c r="O9" s="169"/>
      <c r="P9" s="169"/>
      <c r="Q9" s="169"/>
      <c r="R9" s="169"/>
      <c r="S9" s="169"/>
      <c r="T9" s="169"/>
      <c r="U9" s="169"/>
      <c r="V9" s="169"/>
      <c r="W9" s="169"/>
      <c r="X9" s="169"/>
      <c r="Y9" s="169"/>
      <c r="Z9" s="169"/>
      <c r="AA9" s="169"/>
      <c r="AB9" s="169"/>
      <c r="AC9" s="169"/>
      <c r="AD9" s="169"/>
      <c r="AE9" s="169"/>
      <c r="AF9" s="169"/>
      <c r="AG9" s="169"/>
      <c r="AH9" s="169"/>
      <c r="AI9" s="169"/>
      <c r="AJ9" s="169"/>
      <c r="AK9" s="169"/>
      <c r="AL9" s="169"/>
      <c r="AM9" s="169"/>
      <c r="AN9" s="169"/>
      <c r="AO9" s="169"/>
      <c r="AP9" s="169"/>
      <c r="AQ9" s="169"/>
      <c r="AR9" s="169"/>
      <c r="AS9" s="169"/>
      <c r="AT9" s="169"/>
      <c r="AU9" s="183"/>
    </row>
    <row r="10" spans="1:47" ht="60" customHeight="1" x14ac:dyDescent="0.35">
      <c r="A10" s="180" t="s">
        <v>3858</v>
      </c>
      <c r="B10" s="154" t="s">
        <v>3882</v>
      </c>
      <c r="C10" s="155" t="s">
        <v>3885</v>
      </c>
      <c r="D10" s="158" t="s">
        <v>3886</v>
      </c>
      <c r="E10" s="161" t="s">
        <v>3887</v>
      </c>
      <c r="F10" s="164" t="s">
        <v>3867</v>
      </c>
      <c r="G10" s="167" t="str">
        <f>IF(COUNTIF(H10:AU10,"&lt;&gt;")=0,"",SUMPRODUCT(((Recommendations[ImplStatus]="Implemented")+(Recommendations[ImplStatus]="Compensated"))*ISNUMBER(MATCH(Recommendations[Id],H10:AU10,0)))/COUNTIF(H10:AU10,"&lt;&gt;"))</f>
        <v/>
      </c>
      <c r="H10" s="170"/>
      <c r="I10" s="170"/>
      <c r="J10" s="170"/>
      <c r="K10" s="170"/>
      <c r="L10" s="170"/>
      <c r="M10" s="170"/>
      <c r="N10" s="170"/>
      <c r="O10" s="170"/>
      <c r="P10" s="170"/>
      <c r="Q10" s="170"/>
      <c r="R10" s="170"/>
      <c r="S10" s="170"/>
      <c r="T10" s="170"/>
      <c r="U10" s="170"/>
      <c r="V10" s="170"/>
      <c r="W10" s="170"/>
      <c r="X10" s="170"/>
      <c r="Y10" s="170"/>
      <c r="Z10" s="170"/>
      <c r="AA10" s="170"/>
      <c r="AB10" s="170"/>
      <c r="AC10" s="170"/>
      <c r="AD10" s="170"/>
      <c r="AE10" s="170"/>
      <c r="AF10" s="170"/>
      <c r="AG10" s="170"/>
      <c r="AH10" s="170"/>
      <c r="AI10" s="170"/>
      <c r="AJ10" s="170"/>
      <c r="AK10" s="170"/>
      <c r="AL10" s="170"/>
      <c r="AM10" s="170"/>
      <c r="AN10" s="170"/>
      <c r="AO10" s="170"/>
      <c r="AP10" s="170"/>
      <c r="AQ10" s="170"/>
      <c r="AR10" s="170"/>
      <c r="AS10" s="170"/>
      <c r="AT10" s="170"/>
      <c r="AU10" s="184"/>
    </row>
    <row r="11" spans="1:47" ht="60" customHeight="1" x14ac:dyDescent="0.35">
      <c r="A11" s="180" t="s">
        <v>3858</v>
      </c>
      <c r="B11" s="154" t="s">
        <v>3882</v>
      </c>
      <c r="C11" s="155" t="s">
        <v>3888</v>
      </c>
      <c r="D11" s="158" t="s">
        <v>3889</v>
      </c>
      <c r="E11" s="161" t="s">
        <v>3890</v>
      </c>
      <c r="F11" s="164" t="s">
        <v>3867</v>
      </c>
      <c r="G11" s="167" t="str">
        <f>IF(COUNTIF(H11:AU11,"&lt;&gt;")=0,"",SUMPRODUCT(((Recommendations[ImplStatus]="Implemented")+(Recommendations[ImplStatus]="Compensated"))*ISNUMBER(MATCH(Recommendations[Id],H11:AU11,0)))/COUNTIF(H11:AU11,"&lt;&gt;"))</f>
        <v/>
      </c>
      <c r="H11" s="170"/>
      <c r="I11" s="170"/>
      <c r="J11" s="170"/>
      <c r="K11" s="170"/>
      <c r="L11" s="170"/>
      <c r="M11" s="170"/>
      <c r="N11" s="170"/>
      <c r="O11" s="170"/>
      <c r="P11" s="170"/>
      <c r="Q11" s="170"/>
      <c r="R11" s="170"/>
      <c r="S11" s="170"/>
      <c r="T11" s="170"/>
      <c r="U11" s="170"/>
      <c r="V11" s="170"/>
      <c r="W11" s="170"/>
      <c r="X11" s="170"/>
      <c r="Y11" s="170"/>
      <c r="Z11" s="170"/>
      <c r="AA11" s="170"/>
      <c r="AB11" s="170"/>
      <c r="AC11" s="170"/>
      <c r="AD11" s="170"/>
      <c r="AE11" s="170"/>
      <c r="AF11" s="170"/>
      <c r="AG11" s="170"/>
      <c r="AH11" s="170"/>
      <c r="AI11" s="170"/>
      <c r="AJ11" s="170"/>
      <c r="AK11" s="170"/>
      <c r="AL11" s="170"/>
      <c r="AM11" s="170"/>
      <c r="AN11" s="170"/>
      <c r="AO11" s="170"/>
      <c r="AP11" s="170"/>
      <c r="AQ11" s="170"/>
      <c r="AR11" s="170"/>
      <c r="AS11" s="170"/>
      <c r="AT11" s="170"/>
      <c r="AU11" s="184"/>
    </row>
    <row r="12" spans="1:47" ht="60" customHeight="1" x14ac:dyDescent="0.35">
      <c r="A12" s="180" t="s">
        <v>3858</v>
      </c>
      <c r="B12" s="154" t="s">
        <v>3882</v>
      </c>
      <c r="C12" s="155" t="s">
        <v>3891</v>
      </c>
      <c r="D12" s="158" t="s">
        <v>3892</v>
      </c>
      <c r="E12" s="161" t="s">
        <v>3893</v>
      </c>
      <c r="F12" s="164" t="s">
        <v>3867</v>
      </c>
      <c r="G12" s="167" t="str">
        <f>IF(COUNTIF(H12:AU12,"&lt;&gt;")=0,"",SUMPRODUCT(((Recommendations[ImplStatus]="Implemented")+(Recommendations[ImplStatus]="Compensated"))*ISNUMBER(MATCH(Recommendations[Id],H12:AU12,0)))/COUNTIF(H12:AU12,"&lt;&gt;"))</f>
        <v/>
      </c>
      <c r="H12" s="170"/>
      <c r="I12" s="170"/>
      <c r="J12" s="170"/>
      <c r="K12" s="170"/>
      <c r="L12" s="170"/>
      <c r="M12" s="170"/>
      <c r="N12" s="170"/>
      <c r="O12" s="170"/>
      <c r="P12" s="170"/>
      <c r="Q12" s="170"/>
      <c r="R12" s="170"/>
      <c r="S12" s="170"/>
      <c r="T12" s="170"/>
      <c r="U12" s="170"/>
      <c r="V12" s="170"/>
      <c r="W12" s="170"/>
      <c r="X12" s="170"/>
      <c r="Y12" s="170"/>
      <c r="Z12" s="170"/>
      <c r="AA12" s="170"/>
      <c r="AB12" s="170"/>
      <c r="AC12" s="170"/>
      <c r="AD12" s="170"/>
      <c r="AE12" s="170"/>
      <c r="AF12" s="170"/>
      <c r="AG12" s="170"/>
      <c r="AH12" s="170"/>
      <c r="AI12" s="170"/>
      <c r="AJ12" s="170"/>
      <c r="AK12" s="170"/>
      <c r="AL12" s="170"/>
      <c r="AM12" s="170"/>
      <c r="AN12" s="170"/>
      <c r="AO12" s="170"/>
      <c r="AP12" s="170"/>
      <c r="AQ12" s="170"/>
      <c r="AR12" s="170"/>
      <c r="AS12" s="170"/>
      <c r="AT12" s="170"/>
      <c r="AU12" s="184"/>
    </row>
    <row r="13" spans="1:47" ht="60" customHeight="1" outlineLevel="1" x14ac:dyDescent="0.35">
      <c r="A13" s="179" t="s">
        <v>3858</v>
      </c>
      <c r="B13" s="153" t="s">
        <v>3894</v>
      </c>
      <c r="C13" s="151" t="s">
        <v>3895</v>
      </c>
      <c r="D13" s="157" t="s">
        <v>3896</v>
      </c>
      <c r="E13" s="160" t="s">
        <v>21</v>
      </c>
      <c r="F13" s="163" t="s">
        <v>21</v>
      </c>
      <c r="G13" s="166" t="str">
        <f>IF(COUNTIF(H13:AU13,"&lt;&gt;")=0,"",SUMPRODUCT(((Recommendations[ImplStatus]="Implemented")+(Recommendations[ImplStatus]="Compensated"))*ISNUMBER(MATCH(Recommendations[Id],H13:AU13,0)))/COUNTIF(H13:AU13,"&lt;&gt;"))</f>
        <v/>
      </c>
      <c r="H13" s="169"/>
      <c r="I13" s="169"/>
      <c r="J13" s="169"/>
      <c r="K13" s="169"/>
      <c r="L13" s="169"/>
      <c r="M13" s="169"/>
      <c r="N13" s="169"/>
      <c r="O13" s="169"/>
      <c r="P13" s="169"/>
      <c r="Q13" s="169"/>
      <c r="R13" s="169"/>
      <c r="S13" s="169"/>
      <c r="T13" s="169"/>
      <c r="U13" s="169"/>
      <c r="V13" s="169"/>
      <c r="W13" s="169"/>
      <c r="X13" s="169"/>
      <c r="Y13" s="169"/>
      <c r="Z13" s="169"/>
      <c r="AA13" s="169"/>
      <c r="AB13" s="169"/>
      <c r="AC13" s="169"/>
      <c r="AD13" s="169"/>
      <c r="AE13" s="169"/>
      <c r="AF13" s="169"/>
      <c r="AG13" s="169"/>
      <c r="AH13" s="169"/>
      <c r="AI13" s="169"/>
      <c r="AJ13" s="169"/>
      <c r="AK13" s="169"/>
      <c r="AL13" s="169"/>
      <c r="AM13" s="169"/>
      <c r="AN13" s="169"/>
      <c r="AO13" s="169"/>
      <c r="AP13" s="169"/>
      <c r="AQ13" s="169"/>
      <c r="AR13" s="169"/>
      <c r="AS13" s="169"/>
      <c r="AT13" s="169"/>
      <c r="AU13" s="183"/>
    </row>
    <row r="14" spans="1:47" ht="60" customHeight="1" x14ac:dyDescent="0.35">
      <c r="A14" s="180" t="s">
        <v>3858</v>
      </c>
      <c r="B14" s="154" t="s">
        <v>3894</v>
      </c>
      <c r="C14" s="155" t="s">
        <v>3897</v>
      </c>
      <c r="D14" s="158" t="s">
        <v>3898</v>
      </c>
      <c r="E14" s="161" t="s">
        <v>3899</v>
      </c>
      <c r="F14" s="164" t="s">
        <v>3867</v>
      </c>
      <c r="G14" s="167" t="str">
        <f>IF(COUNTIF(H14:AU14,"&lt;&gt;")=0,"",SUMPRODUCT(((Recommendations[ImplStatus]="Implemented")+(Recommendations[ImplStatus]="Compensated"))*ISNUMBER(MATCH(Recommendations[Id],H14:AU14,0)))/COUNTIF(H14:AU14,"&lt;&gt;"))</f>
        <v/>
      </c>
      <c r="H14" s="170"/>
      <c r="I14" s="170"/>
      <c r="J14" s="170"/>
      <c r="K14" s="170"/>
      <c r="L14" s="170"/>
      <c r="M14" s="170"/>
      <c r="N14" s="170"/>
      <c r="O14" s="170"/>
      <c r="P14" s="170"/>
      <c r="Q14" s="170"/>
      <c r="R14" s="170"/>
      <c r="S14" s="170"/>
      <c r="T14" s="170"/>
      <c r="U14" s="170"/>
      <c r="V14" s="170"/>
      <c r="W14" s="170"/>
      <c r="X14" s="170"/>
      <c r="Y14" s="170"/>
      <c r="Z14" s="170"/>
      <c r="AA14" s="170"/>
      <c r="AB14" s="170"/>
      <c r="AC14" s="170"/>
      <c r="AD14" s="170"/>
      <c r="AE14" s="170"/>
      <c r="AF14" s="170"/>
      <c r="AG14" s="170"/>
      <c r="AH14" s="170"/>
      <c r="AI14" s="170"/>
      <c r="AJ14" s="170"/>
      <c r="AK14" s="170"/>
      <c r="AL14" s="170"/>
      <c r="AM14" s="170"/>
      <c r="AN14" s="170"/>
      <c r="AO14" s="170"/>
      <c r="AP14" s="170"/>
      <c r="AQ14" s="170"/>
      <c r="AR14" s="170"/>
      <c r="AS14" s="170"/>
      <c r="AT14" s="170"/>
      <c r="AU14" s="184"/>
    </row>
    <row r="15" spans="1:47" ht="60" customHeight="1" x14ac:dyDescent="0.35">
      <c r="A15" s="180" t="s">
        <v>3858</v>
      </c>
      <c r="B15" s="154" t="s">
        <v>3894</v>
      </c>
      <c r="C15" s="155" t="s">
        <v>3900</v>
      </c>
      <c r="D15" s="158" t="s">
        <v>3901</v>
      </c>
      <c r="E15" s="161" t="s">
        <v>3902</v>
      </c>
      <c r="F15" s="164" t="s">
        <v>3867</v>
      </c>
      <c r="G15" s="167" t="str">
        <f>IF(COUNTIF(H15:AU15,"&lt;&gt;")=0,"",SUMPRODUCT(((Recommendations[ImplStatus]="Implemented")+(Recommendations[ImplStatus]="Compensated"))*ISNUMBER(MATCH(Recommendations[Id],H15:AU15,0)))/COUNTIF(H15:AU15,"&lt;&gt;"))</f>
        <v/>
      </c>
      <c r="H15" s="170"/>
      <c r="I15" s="170"/>
      <c r="J15" s="170"/>
      <c r="K15" s="170"/>
      <c r="L15" s="170"/>
      <c r="M15" s="170"/>
      <c r="N15" s="170"/>
      <c r="O15" s="170"/>
      <c r="P15" s="170"/>
      <c r="Q15" s="170"/>
      <c r="R15" s="170"/>
      <c r="S15" s="170"/>
      <c r="T15" s="170"/>
      <c r="U15" s="170"/>
      <c r="V15" s="170"/>
      <c r="W15" s="170"/>
      <c r="X15" s="170"/>
      <c r="Y15" s="170"/>
      <c r="Z15" s="170"/>
      <c r="AA15" s="170"/>
      <c r="AB15" s="170"/>
      <c r="AC15" s="170"/>
      <c r="AD15" s="170"/>
      <c r="AE15" s="170"/>
      <c r="AF15" s="170"/>
      <c r="AG15" s="170"/>
      <c r="AH15" s="170"/>
      <c r="AI15" s="170"/>
      <c r="AJ15" s="170"/>
      <c r="AK15" s="170"/>
      <c r="AL15" s="170"/>
      <c r="AM15" s="170"/>
      <c r="AN15" s="170"/>
      <c r="AO15" s="170"/>
      <c r="AP15" s="170"/>
      <c r="AQ15" s="170"/>
      <c r="AR15" s="170"/>
      <c r="AS15" s="170"/>
      <c r="AT15" s="170"/>
      <c r="AU15" s="184"/>
    </row>
    <row r="16" spans="1:47" ht="60" customHeight="1" outlineLevel="1" x14ac:dyDescent="0.35">
      <c r="A16" s="179" t="s">
        <v>3858</v>
      </c>
      <c r="B16" s="153" t="s">
        <v>3903</v>
      </c>
      <c r="C16" s="151" t="s">
        <v>3904</v>
      </c>
      <c r="D16" s="157" t="s">
        <v>3905</v>
      </c>
      <c r="E16" s="160" t="s">
        <v>21</v>
      </c>
      <c r="F16" s="163" t="s">
        <v>21</v>
      </c>
      <c r="G16" s="166" t="str">
        <f>IF(COUNTIF(H16:AU16,"&lt;&gt;")=0,"",SUMPRODUCT(((Recommendations[ImplStatus]="Implemented")+(Recommendations[ImplStatus]="Compensated"))*ISNUMBER(MATCH(Recommendations[Id],H16:AU16,0)))/COUNTIF(H16:AU16,"&lt;&gt;"))</f>
        <v/>
      </c>
      <c r="H16" s="169"/>
      <c r="I16" s="169"/>
      <c r="J16" s="169"/>
      <c r="K16" s="169"/>
      <c r="L16" s="169"/>
      <c r="M16" s="169"/>
      <c r="N16" s="169"/>
      <c r="O16" s="169"/>
      <c r="P16" s="169"/>
      <c r="Q16" s="169"/>
      <c r="R16" s="169"/>
      <c r="S16" s="169"/>
      <c r="T16" s="169"/>
      <c r="U16" s="169"/>
      <c r="V16" s="169"/>
      <c r="W16" s="169"/>
      <c r="X16" s="169"/>
      <c r="Y16" s="169"/>
      <c r="Z16" s="169"/>
      <c r="AA16" s="169"/>
      <c r="AB16" s="169"/>
      <c r="AC16" s="169"/>
      <c r="AD16" s="169"/>
      <c r="AE16" s="169"/>
      <c r="AF16" s="169"/>
      <c r="AG16" s="169"/>
      <c r="AH16" s="169"/>
      <c r="AI16" s="169"/>
      <c r="AJ16" s="169"/>
      <c r="AK16" s="169"/>
      <c r="AL16" s="169"/>
      <c r="AM16" s="169"/>
      <c r="AN16" s="169"/>
      <c r="AO16" s="169"/>
      <c r="AP16" s="169"/>
      <c r="AQ16" s="169"/>
      <c r="AR16" s="169"/>
      <c r="AS16" s="169"/>
      <c r="AT16" s="169"/>
      <c r="AU16" s="183"/>
    </row>
    <row r="17" spans="1:47" ht="60" customHeight="1" x14ac:dyDescent="0.35">
      <c r="A17" s="180" t="s">
        <v>3858</v>
      </c>
      <c r="B17" s="154" t="s">
        <v>3903</v>
      </c>
      <c r="C17" s="155" t="s">
        <v>3906</v>
      </c>
      <c r="D17" s="158" t="s">
        <v>3907</v>
      </c>
      <c r="E17" s="161" t="s">
        <v>3908</v>
      </c>
      <c r="F17" s="164" t="s">
        <v>3867</v>
      </c>
      <c r="G17" s="167" t="str">
        <f>IF(COUNTIF(H17:AU17,"&lt;&gt;")=0,"",SUMPRODUCT(((Recommendations[ImplStatus]="Implemented")+(Recommendations[ImplStatus]="Compensated"))*ISNUMBER(MATCH(Recommendations[Id],H17:AU17,0)))/COUNTIF(H17:AU17,"&lt;&gt;"))</f>
        <v/>
      </c>
      <c r="H17" s="170"/>
      <c r="I17" s="170"/>
      <c r="J17" s="170"/>
      <c r="K17" s="170"/>
      <c r="L17" s="170"/>
      <c r="M17" s="170"/>
      <c r="N17" s="170"/>
      <c r="O17" s="170"/>
      <c r="P17" s="170"/>
      <c r="Q17" s="170"/>
      <c r="R17" s="170"/>
      <c r="S17" s="170"/>
      <c r="T17" s="170"/>
      <c r="U17" s="170"/>
      <c r="V17" s="170"/>
      <c r="W17" s="170"/>
      <c r="X17" s="170"/>
      <c r="Y17" s="170"/>
      <c r="Z17" s="170"/>
      <c r="AA17" s="170"/>
      <c r="AB17" s="170"/>
      <c r="AC17" s="170"/>
      <c r="AD17" s="170"/>
      <c r="AE17" s="170"/>
      <c r="AF17" s="170"/>
      <c r="AG17" s="170"/>
      <c r="AH17" s="170"/>
      <c r="AI17" s="170"/>
      <c r="AJ17" s="170"/>
      <c r="AK17" s="170"/>
      <c r="AL17" s="170"/>
      <c r="AM17" s="170"/>
      <c r="AN17" s="170"/>
      <c r="AO17" s="170"/>
      <c r="AP17" s="170"/>
      <c r="AQ17" s="170"/>
      <c r="AR17" s="170"/>
      <c r="AS17" s="170"/>
      <c r="AT17" s="170"/>
      <c r="AU17" s="184"/>
    </row>
    <row r="18" spans="1:47" ht="60" customHeight="1" x14ac:dyDescent="0.35">
      <c r="A18" s="180" t="s">
        <v>3858</v>
      </c>
      <c r="B18" s="154" t="s">
        <v>3903</v>
      </c>
      <c r="C18" s="155" t="s">
        <v>3909</v>
      </c>
      <c r="D18" s="158" t="s">
        <v>3910</v>
      </c>
      <c r="E18" s="161" t="s">
        <v>3911</v>
      </c>
      <c r="F18" s="164" t="s">
        <v>3871</v>
      </c>
      <c r="G18" s="167" t="str">
        <f>IF(COUNTIF(H18:AU18,"&lt;&gt;")=0,"",SUMPRODUCT(((Recommendations[ImplStatus]="Implemented")+(Recommendations[ImplStatus]="Compensated"))*ISNUMBER(MATCH(Recommendations[Id],H18:AU18,0)))/COUNTIF(H18:AU18,"&lt;&gt;"))</f>
        <v/>
      </c>
      <c r="H18" s="170"/>
      <c r="I18" s="170"/>
      <c r="J18" s="170"/>
      <c r="K18" s="170"/>
      <c r="L18" s="170"/>
      <c r="M18" s="170"/>
      <c r="N18" s="170"/>
      <c r="O18" s="170"/>
      <c r="P18" s="170"/>
      <c r="Q18" s="170"/>
      <c r="R18" s="170"/>
      <c r="S18" s="170"/>
      <c r="T18" s="170"/>
      <c r="U18" s="170"/>
      <c r="V18" s="170"/>
      <c r="W18" s="170"/>
      <c r="X18" s="170"/>
      <c r="Y18" s="170"/>
      <c r="Z18" s="170"/>
      <c r="AA18" s="170"/>
      <c r="AB18" s="170"/>
      <c r="AC18" s="170"/>
      <c r="AD18" s="170"/>
      <c r="AE18" s="170"/>
      <c r="AF18" s="170"/>
      <c r="AG18" s="170"/>
      <c r="AH18" s="170"/>
      <c r="AI18" s="170"/>
      <c r="AJ18" s="170"/>
      <c r="AK18" s="170"/>
      <c r="AL18" s="170"/>
      <c r="AM18" s="170"/>
      <c r="AN18" s="170"/>
      <c r="AO18" s="170"/>
      <c r="AP18" s="170"/>
      <c r="AQ18" s="170"/>
      <c r="AR18" s="170"/>
      <c r="AS18" s="170"/>
      <c r="AT18" s="170"/>
      <c r="AU18" s="184"/>
    </row>
    <row r="19" spans="1:47" ht="60" customHeight="1" x14ac:dyDescent="0.35">
      <c r="A19" s="180" t="s">
        <v>3858</v>
      </c>
      <c r="B19" s="154" t="s">
        <v>3903</v>
      </c>
      <c r="C19" s="155" t="s">
        <v>3912</v>
      </c>
      <c r="D19" s="158" t="s">
        <v>3913</v>
      </c>
      <c r="E19" s="161" t="s">
        <v>3914</v>
      </c>
      <c r="F19" s="164" t="s">
        <v>3867</v>
      </c>
      <c r="G19" s="167" t="str">
        <f>IF(COUNTIF(H19:AU19,"&lt;&gt;")=0,"",SUMPRODUCT(((Recommendations[ImplStatus]="Implemented")+(Recommendations[ImplStatus]="Compensated"))*ISNUMBER(MATCH(Recommendations[Id],H19:AU19,0)))/COUNTIF(H19:AU19,"&lt;&gt;"))</f>
        <v/>
      </c>
      <c r="H19" s="170"/>
      <c r="I19" s="170"/>
      <c r="J19" s="170"/>
      <c r="K19" s="170"/>
      <c r="L19" s="170"/>
      <c r="M19" s="170"/>
      <c r="N19" s="170"/>
      <c r="O19" s="170"/>
      <c r="P19" s="170"/>
      <c r="Q19" s="170"/>
      <c r="R19" s="170"/>
      <c r="S19" s="170"/>
      <c r="T19" s="170"/>
      <c r="U19" s="170"/>
      <c r="V19" s="170"/>
      <c r="W19" s="170"/>
      <c r="X19" s="170"/>
      <c r="Y19" s="170"/>
      <c r="Z19" s="170"/>
      <c r="AA19" s="170"/>
      <c r="AB19" s="170"/>
      <c r="AC19" s="170"/>
      <c r="AD19" s="170"/>
      <c r="AE19" s="170"/>
      <c r="AF19" s="170"/>
      <c r="AG19" s="170"/>
      <c r="AH19" s="170"/>
      <c r="AI19" s="170"/>
      <c r="AJ19" s="170"/>
      <c r="AK19" s="170"/>
      <c r="AL19" s="170"/>
      <c r="AM19" s="170"/>
      <c r="AN19" s="170"/>
      <c r="AO19" s="170"/>
      <c r="AP19" s="170"/>
      <c r="AQ19" s="170"/>
      <c r="AR19" s="170"/>
      <c r="AS19" s="170"/>
      <c r="AT19" s="170"/>
      <c r="AU19" s="184"/>
    </row>
    <row r="20" spans="1:47" ht="60" customHeight="1" x14ac:dyDescent="0.35">
      <c r="A20" s="180" t="s">
        <v>3858</v>
      </c>
      <c r="B20" s="154" t="s">
        <v>3903</v>
      </c>
      <c r="C20" s="155" t="s">
        <v>3915</v>
      </c>
      <c r="D20" s="158" t="s">
        <v>3916</v>
      </c>
      <c r="E20" s="161" t="s">
        <v>3917</v>
      </c>
      <c r="F20" s="164" t="s">
        <v>3867</v>
      </c>
      <c r="G20" s="167" t="str">
        <f>IF(COUNTIF(H20:AU20,"&lt;&gt;")=0,"",SUMPRODUCT(((Recommendations[ImplStatus]="Implemented")+(Recommendations[ImplStatus]="Compensated"))*ISNUMBER(MATCH(Recommendations[Id],H20:AU20,0)))/COUNTIF(H20:AU20,"&lt;&gt;"))</f>
        <v/>
      </c>
      <c r="H20" s="170"/>
      <c r="I20" s="170"/>
      <c r="J20" s="170"/>
      <c r="K20" s="170"/>
      <c r="L20" s="170"/>
      <c r="M20" s="170"/>
      <c r="N20" s="170"/>
      <c r="O20" s="170"/>
      <c r="P20" s="170"/>
      <c r="Q20" s="170"/>
      <c r="R20" s="170"/>
      <c r="S20" s="170"/>
      <c r="T20" s="170"/>
      <c r="U20" s="170"/>
      <c r="V20" s="170"/>
      <c r="W20" s="170"/>
      <c r="X20" s="170"/>
      <c r="Y20" s="170"/>
      <c r="Z20" s="170"/>
      <c r="AA20" s="170"/>
      <c r="AB20" s="170"/>
      <c r="AC20" s="170"/>
      <c r="AD20" s="170"/>
      <c r="AE20" s="170"/>
      <c r="AF20" s="170"/>
      <c r="AG20" s="170"/>
      <c r="AH20" s="170"/>
      <c r="AI20" s="170"/>
      <c r="AJ20" s="170"/>
      <c r="AK20" s="170"/>
      <c r="AL20" s="170"/>
      <c r="AM20" s="170"/>
      <c r="AN20" s="170"/>
      <c r="AO20" s="170"/>
      <c r="AP20" s="170"/>
      <c r="AQ20" s="170"/>
      <c r="AR20" s="170"/>
      <c r="AS20" s="170"/>
      <c r="AT20" s="170"/>
      <c r="AU20" s="184"/>
    </row>
    <row r="21" spans="1:47" ht="60" customHeight="1" x14ac:dyDescent="0.35">
      <c r="A21" s="180" t="s">
        <v>3858</v>
      </c>
      <c r="B21" s="154" t="s">
        <v>3903</v>
      </c>
      <c r="C21" s="155" t="s">
        <v>3918</v>
      </c>
      <c r="D21" s="158" t="s">
        <v>3919</v>
      </c>
      <c r="E21" s="161" t="s">
        <v>3920</v>
      </c>
      <c r="F21" s="164" t="s">
        <v>3871</v>
      </c>
      <c r="G21" s="167" t="str">
        <f>IF(COUNTIF(H21:AU21,"&lt;&gt;")=0,"",SUMPRODUCT(((Recommendations[ImplStatus]="Implemented")+(Recommendations[ImplStatus]="Compensated"))*ISNUMBER(MATCH(Recommendations[Id],H21:AU21,0)))/COUNTIF(H21:AU21,"&lt;&gt;"))</f>
        <v/>
      </c>
      <c r="H21" s="170"/>
      <c r="I21" s="170"/>
      <c r="J21" s="170"/>
      <c r="K21" s="170"/>
      <c r="L21" s="170"/>
      <c r="M21" s="170"/>
      <c r="N21" s="170"/>
      <c r="O21" s="170"/>
      <c r="P21" s="170"/>
      <c r="Q21" s="170"/>
      <c r="R21" s="170"/>
      <c r="S21" s="170"/>
      <c r="T21" s="170"/>
      <c r="U21" s="170"/>
      <c r="V21" s="170"/>
      <c r="W21" s="170"/>
      <c r="X21" s="170"/>
      <c r="Y21" s="170"/>
      <c r="Z21" s="170"/>
      <c r="AA21" s="170"/>
      <c r="AB21" s="170"/>
      <c r="AC21" s="170"/>
      <c r="AD21" s="170"/>
      <c r="AE21" s="170"/>
      <c r="AF21" s="170"/>
      <c r="AG21" s="170"/>
      <c r="AH21" s="170"/>
      <c r="AI21" s="170"/>
      <c r="AJ21" s="170"/>
      <c r="AK21" s="170"/>
      <c r="AL21" s="170"/>
      <c r="AM21" s="170"/>
      <c r="AN21" s="170"/>
      <c r="AO21" s="170"/>
      <c r="AP21" s="170"/>
      <c r="AQ21" s="170"/>
      <c r="AR21" s="170"/>
      <c r="AS21" s="170"/>
      <c r="AT21" s="170"/>
      <c r="AU21" s="184"/>
    </row>
    <row r="22" spans="1:47" ht="60" customHeight="1" x14ac:dyDescent="0.35">
      <c r="A22" s="180" t="s">
        <v>3858</v>
      </c>
      <c r="B22" s="154" t="s">
        <v>3903</v>
      </c>
      <c r="C22" s="155" t="s">
        <v>3921</v>
      </c>
      <c r="D22" s="158" t="s">
        <v>3922</v>
      </c>
      <c r="E22" s="161" t="s">
        <v>3923</v>
      </c>
      <c r="F22" s="164" t="s">
        <v>3867</v>
      </c>
      <c r="G22" s="167" t="str">
        <f>IF(COUNTIF(H22:AU22,"&lt;&gt;")=0,"",SUMPRODUCT(((Recommendations[ImplStatus]="Implemented")+(Recommendations[ImplStatus]="Compensated"))*ISNUMBER(MATCH(Recommendations[Id],H22:AU22,0)))/COUNTIF(H22:AU22,"&lt;&gt;"))</f>
        <v/>
      </c>
      <c r="H22" s="170"/>
      <c r="I22" s="170"/>
      <c r="J22" s="170"/>
      <c r="K22" s="170"/>
      <c r="L22" s="170"/>
      <c r="M22" s="170"/>
      <c r="N22" s="170"/>
      <c r="O22" s="170"/>
      <c r="P22" s="170"/>
      <c r="Q22" s="170"/>
      <c r="R22" s="170"/>
      <c r="S22" s="170"/>
      <c r="T22" s="170"/>
      <c r="U22" s="170"/>
      <c r="V22" s="170"/>
      <c r="W22" s="170"/>
      <c r="X22" s="170"/>
      <c r="Y22" s="170"/>
      <c r="Z22" s="170"/>
      <c r="AA22" s="170"/>
      <c r="AB22" s="170"/>
      <c r="AC22" s="170"/>
      <c r="AD22" s="170"/>
      <c r="AE22" s="170"/>
      <c r="AF22" s="170"/>
      <c r="AG22" s="170"/>
      <c r="AH22" s="170"/>
      <c r="AI22" s="170"/>
      <c r="AJ22" s="170"/>
      <c r="AK22" s="170"/>
      <c r="AL22" s="170"/>
      <c r="AM22" s="170"/>
      <c r="AN22" s="170"/>
      <c r="AO22" s="170"/>
      <c r="AP22" s="170"/>
      <c r="AQ22" s="170"/>
      <c r="AR22" s="170"/>
      <c r="AS22" s="170"/>
      <c r="AT22" s="170"/>
      <c r="AU22" s="184"/>
    </row>
    <row r="23" spans="1:47" ht="60" customHeight="1" x14ac:dyDescent="0.35">
      <c r="A23" s="180" t="s">
        <v>3858</v>
      </c>
      <c r="B23" s="154" t="s">
        <v>3903</v>
      </c>
      <c r="C23" s="155" t="s">
        <v>3924</v>
      </c>
      <c r="D23" s="158" t="s">
        <v>3925</v>
      </c>
      <c r="E23" s="161" t="s">
        <v>3926</v>
      </c>
      <c r="F23" s="164" t="s">
        <v>3867</v>
      </c>
      <c r="G23" s="167" t="str">
        <f>IF(COUNTIF(H23:AU23,"&lt;&gt;")=0,"",SUMPRODUCT(((Recommendations[ImplStatus]="Implemented")+(Recommendations[ImplStatus]="Compensated"))*ISNUMBER(MATCH(Recommendations[Id],H23:AU23,0)))/COUNTIF(H23:AU23,"&lt;&gt;"))</f>
        <v/>
      </c>
      <c r="H23" s="170"/>
      <c r="I23" s="170"/>
      <c r="J23" s="170"/>
      <c r="K23" s="170"/>
      <c r="L23" s="170"/>
      <c r="M23" s="170"/>
      <c r="N23" s="170"/>
      <c r="O23" s="170"/>
      <c r="P23" s="170"/>
      <c r="Q23" s="170"/>
      <c r="R23" s="170"/>
      <c r="S23" s="170"/>
      <c r="T23" s="170"/>
      <c r="U23" s="170"/>
      <c r="V23" s="170"/>
      <c r="W23" s="170"/>
      <c r="X23" s="170"/>
      <c r="Y23" s="170"/>
      <c r="Z23" s="170"/>
      <c r="AA23" s="170"/>
      <c r="AB23" s="170"/>
      <c r="AC23" s="170"/>
      <c r="AD23" s="170"/>
      <c r="AE23" s="170"/>
      <c r="AF23" s="170"/>
      <c r="AG23" s="170"/>
      <c r="AH23" s="170"/>
      <c r="AI23" s="170"/>
      <c r="AJ23" s="170"/>
      <c r="AK23" s="170"/>
      <c r="AL23" s="170"/>
      <c r="AM23" s="170"/>
      <c r="AN23" s="170"/>
      <c r="AO23" s="170"/>
      <c r="AP23" s="170"/>
      <c r="AQ23" s="170"/>
      <c r="AR23" s="170"/>
      <c r="AS23" s="170"/>
      <c r="AT23" s="170"/>
      <c r="AU23" s="184"/>
    </row>
    <row r="24" spans="1:47" ht="60" customHeight="1" outlineLevel="1" x14ac:dyDescent="0.35">
      <c r="A24" s="179" t="s">
        <v>3858</v>
      </c>
      <c r="B24" s="153" t="s">
        <v>3927</v>
      </c>
      <c r="C24" s="151" t="s">
        <v>3928</v>
      </c>
      <c r="D24" s="157" t="s">
        <v>3929</v>
      </c>
      <c r="E24" s="160" t="s">
        <v>21</v>
      </c>
      <c r="F24" s="163" t="s">
        <v>21</v>
      </c>
      <c r="G24" s="166" t="str">
        <f>IF(COUNTIF(H24:AU24,"&lt;&gt;")=0,"",SUMPRODUCT(((Recommendations[ImplStatus]="Implemented")+(Recommendations[ImplStatus]="Compensated"))*ISNUMBER(MATCH(Recommendations[Id],H24:AU24,0)))/COUNTIF(H24:AU24,"&lt;&gt;"))</f>
        <v/>
      </c>
      <c r="H24" s="169"/>
      <c r="I24" s="169"/>
      <c r="J24" s="169"/>
      <c r="K24" s="169"/>
      <c r="L24" s="169"/>
      <c r="M24" s="169"/>
      <c r="N24" s="169"/>
      <c r="O24" s="169"/>
      <c r="P24" s="169"/>
      <c r="Q24" s="169"/>
      <c r="R24" s="169"/>
      <c r="S24" s="169"/>
      <c r="T24" s="169"/>
      <c r="U24" s="169"/>
      <c r="V24" s="169"/>
      <c r="W24" s="169"/>
      <c r="X24" s="169"/>
      <c r="Y24" s="169"/>
      <c r="Z24" s="169"/>
      <c r="AA24" s="169"/>
      <c r="AB24" s="169"/>
      <c r="AC24" s="169"/>
      <c r="AD24" s="169"/>
      <c r="AE24" s="169"/>
      <c r="AF24" s="169"/>
      <c r="AG24" s="169"/>
      <c r="AH24" s="169"/>
      <c r="AI24" s="169"/>
      <c r="AJ24" s="169"/>
      <c r="AK24" s="169"/>
      <c r="AL24" s="169"/>
      <c r="AM24" s="169"/>
      <c r="AN24" s="169"/>
      <c r="AO24" s="169"/>
      <c r="AP24" s="169"/>
      <c r="AQ24" s="169"/>
      <c r="AR24" s="169"/>
      <c r="AS24" s="169"/>
      <c r="AT24" s="169"/>
      <c r="AU24" s="183"/>
    </row>
    <row r="25" spans="1:47" ht="60" customHeight="1" x14ac:dyDescent="0.35">
      <c r="A25" s="180" t="s">
        <v>3858</v>
      </c>
      <c r="B25" s="154" t="s">
        <v>3927</v>
      </c>
      <c r="C25" s="155" t="s">
        <v>3930</v>
      </c>
      <c r="D25" s="158" t="s">
        <v>3931</v>
      </c>
      <c r="E25" s="161" t="s">
        <v>3932</v>
      </c>
      <c r="F25" s="164" t="s">
        <v>3867</v>
      </c>
      <c r="G25" s="167" t="str">
        <f>IF(COUNTIF(H25:AU25,"&lt;&gt;")=0,"",SUMPRODUCT(((Recommendations[ImplStatus]="Implemented")+(Recommendations[ImplStatus]="Compensated"))*ISNUMBER(MATCH(Recommendations[Id],H25:AU25,0)))/COUNTIF(H25:AU25,"&lt;&gt;"))</f>
        <v/>
      </c>
      <c r="H25" s="170"/>
      <c r="I25" s="170"/>
      <c r="J25" s="170"/>
      <c r="K25" s="170"/>
      <c r="L25" s="170"/>
      <c r="M25" s="170"/>
      <c r="N25" s="170"/>
      <c r="O25" s="170"/>
      <c r="P25" s="170"/>
      <c r="Q25" s="170"/>
      <c r="R25" s="170"/>
      <c r="S25" s="170"/>
      <c r="T25" s="170"/>
      <c r="U25" s="170"/>
      <c r="V25" s="170"/>
      <c r="W25" s="170"/>
      <c r="X25" s="170"/>
      <c r="Y25" s="170"/>
      <c r="Z25" s="170"/>
      <c r="AA25" s="170"/>
      <c r="AB25" s="170"/>
      <c r="AC25" s="170"/>
      <c r="AD25" s="170"/>
      <c r="AE25" s="170"/>
      <c r="AF25" s="170"/>
      <c r="AG25" s="170"/>
      <c r="AH25" s="170"/>
      <c r="AI25" s="170"/>
      <c r="AJ25" s="170"/>
      <c r="AK25" s="170"/>
      <c r="AL25" s="170"/>
      <c r="AM25" s="170"/>
      <c r="AN25" s="170"/>
      <c r="AO25" s="170"/>
      <c r="AP25" s="170"/>
      <c r="AQ25" s="170"/>
      <c r="AR25" s="170"/>
      <c r="AS25" s="170"/>
      <c r="AT25" s="170"/>
      <c r="AU25" s="184"/>
    </row>
    <row r="26" spans="1:47" ht="60" customHeight="1" x14ac:dyDescent="0.35">
      <c r="A26" s="180" t="s">
        <v>3858</v>
      </c>
      <c r="B26" s="154" t="s">
        <v>3927</v>
      </c>
      <c r="C26" s="155" t="s">
        <v>3933</v>
      </c>
      <c r="D26" s="158" t="s">
        <v>3934</v>
      </c>
      <c r="E26" s="161" t="s">
        <v>3935</v>
      </c>
      <c r="F26" s="164" t="s">
        <v>3867</v>
      </c>
      <c r="G26" s="167" t="str">
        <f>IF(COUNTIF(H26:AU26,"&lt;&gt;")=0,"",SUMPRODUCT(((Recommendations[ImplStatus]="Implemented")+(Recommendations[ImplStatus]="Compensated"))*ISNUMBER(MATCH(Recommendations[Id],H26:AU26,0)))/COUNTIF(H26:AU26,"&lt;&gt;"))</f>
        <v/>
      </c>
      <c r="H26" s="170"/>
      <c r="I26" s="170"/>
      <c r="J26" s="170"/>
      <c r="K26" s="170"/>
      <c r="L26" s="170"/>
      <c r="M26" s="170"/>
      <c r="N26" s="170"/>
      <c r="O26" s="170"/>
      <c r="P26" s="170"/>
      <c r="Q26" s="170"/>
      <c r="R26" s="170"/>
      <c r="S26" s="170"/>
      <c r="T26" s="170"/>
      <c r="U26" s="170"/>
      <c r="V26" s="170"/>
      <c r="W26" s="170"/>
      <c r="X26" s="170"/>
      <c r="Y26" s="170"/>
      <c r="Z26" s="170"/>
      <c r="AA26" s="170"/>
      <c r="AB26" s="170"/>
      <c r="AC26" s="170"/>
      <c r="AD26" s="170"/>
      <c r="AE26" s="170"/>
      <c r="AF26" s="170"/>
      <c r="AG26" s="170"/>
      <c r="AH26" s="170"/>
      <c r="AI26" s="170"/>
      <c r="AJ26" s="170"/>
      <c r="AK26" s="170"/>
      <c r="AL26" s="170"/>
      <c r="AM26" s="170"/>
      <c r="AN26" s="170"/>
      <c r="AO26" s="170"/>
      <c r="AP26" s="170"/>
      <c r="AQ26" s="170"/>
      <c r="AR26" s="170"/>
      <c r="AS26" s="170"/>
      <c r="AT26" s="170"/>
      <c r="AU26" s="184"/>
    </row>
    <row r="27" spans="1:47" ht="60" customHeight="1" x14ac:dyDescent="0.35">
      <c r="A27" s="180" t="s">
        <v>3858</v>
      </c>
      <c r="B27" s="154" t="s">
        <v>3927</v>
      </c>
      <c r="C27" s="155" t="s">
        <v>3936</v>
      </c>
      <c r="D27" s="158" t="s">
        <v>3937</v>
      </c>
      <c r="E27" s="161" t="s">
        <v>3938</v>
      </c>
      <c r="F27" s="164" t="s">
        <v>3871</v>
      </c>
      <c r="G27" s="167" t="str">
        <f>IF(COUNTIF(H27:AU27,"&lt;&gt;")=0,"",SUMPRODUCT(((Recommendations[ImplStatus]="Implemented")+(Recommendations[ImplStatus]="Compensated"))*ISNUMBER(MATCH(Recommendations[Id],H27:AU27,0)))/COUNTIF(H27:AU27,"&lt;&gt;"))</f>
        <v/>
      </c>
      <c r="H27" s="170"/>
      <c r="I27" s="170"/>
      <c r="J27" s="170"/>
      <c r="K27" s="170"/>
      <c r="L27" s="170"/>
      <c r="M27" s="170"/>
      <c r="N27" s="170"/>
      <c r="O27" s="170"/>
      <c r="P27" s="170"/>
      <c r="Q27" s="170"/>
      <c r="R27" s="170"/>
      <c r="S27" s="170"/>
      <c r="T27" s="170"/>
      <c r="U27" s="170"/>
      <c r="V27" s="170"/>
      <c r="W27" s="170"/>
      <c r="X27" s="170"/>
      <c r="Y27" s="170"/>
      <c r="Z27" s="170"/>
      <c r="AA27" s="170"/>
      <c r="AB27" s="170"/>
      <c r="AC27" s="170"/>
      <c r="AD27" s="170"/>
      <c r="AE27" s="170"/>
      <c r="AF27" s="170"/>
      <c r="AG27" s="170"/>
      <c r="AH27" s="170"/>
      <c r="AI27" s="170"/>
      <c r="AJ27" s="170"/>
      <c r="AK27" s="170"/>
      <c r="AL27" s="170"/>
      <c r="AM27" s="170"/>
      <c r="AN27" s="170"/>
      <c r="AO27" s="170"/>
      <c r="AP27" s="170"/>
      <c r="AQ27" s="170"/>
      <c r="AR27" s="170"/>
      <c r="AS27" s="170"/>
      <c r="AT27" s="170"/>
      <c r="AU27" s="184"/>
    </row>
    <row r="28" spans="1:47" ht="60" customHeight="1" x14ac:dyDescent="0.35">
      <c r="A28" s="180" t="s">
        <v>3858</v>
      </c>
      <c r="B28" s="154" t="s">
        <v>3927</v>
      </c>
      <c r="C28" s="155" t="s">
        <v>3939</v>
      </c>
      <c r="D28" s="158" t="s">
        <v>3940</v>
      </c>
      <c r="E28" s="161" t="s">
        <v>3941</v>
      </c>
      <c r="F28" s="164" t="s">
        <v>3867</v>
      </c>
      <c r="G28" s="167" t="str">
        <f>IF(COUNTIF(H28:AU28,"&lt;&gt;")=0,"",SUMPRODUCT(((Recommendations[ImplStatus]="Implemented")+(Recommendations[ImplStatus]="Compensated"))*ISNUMBER(MATCH(Recommendations[Id],H28:AU28,0)))/COUNTIF(H28:AU28,"&lt;&gt;"))</f>
        <v/>
      </c>
      <c r="H28" s="170"/>
      <c r="I28" s="170"/>
      <c r="J28" s="170"/>
      <c r="K28" s="170"/>
      <c r="L28" s="170"/>
      <c r="M28" s="170"/>
      <c r="N28" s="170"/>
      <c r="O28" s="170"/>
      <c r="P28" s="170"/>
      <c r="Q28" s="170"/>
      <c r="R28" s="170"/>
      <c r="S28" s="170"/>
      <c r="T28" s="170"/>
      <c r="U28" s="170"/>
      <c r="V28" s="170"/>
      <c r="W28" s="170"/>
      <c r="X28" s="170"/>
      <c r="Y28" s="170"/>
      <c r="Z28" s="170"/>
      <c r="AA28" s="170"/>
      <c r="AB28" s="170"/>
      <c r="AC28" s="170"/>
      <c r="AD28" s="170"/>
      <c r="AE28" s="170"/>
      <c r="AF28" s="170"/>
      <c r="AG28" s="170"/>
      <c r="AH28" s="170"/>
      <c r="AI28" s="170"/>
      <c r="AJ28" s="170"/>
      <c r="AK28" s="170"/>
      <c r="AL28" s="170"/>
      <c r="AM28" s="170"/>
      <c r="AN28" s="170"/>
      <c r="AO28" s="170"/>
      <c r="AP28" s="170"/>
      <c r="AQ28" s="170"/>
      <c r="AR28" s="170"/>
      <c r="AS28" s="170"/>
      <c r="AT28" s="170"/>
      <c r="AU28" s="184"/>
    </row>
    <row r="29" spans="1:47" ht="60" customHeight="1" outlineLevel="1" x14ac:dyDescent="0.35">
      <c r="A29" s="179" t="s">
        <v>3858</v>
      </c>
      <c r="B29" s="153" t="s">
        <v>3942</v>
      </c>
      <c r="C29" s="151" t="s">
        <v>3943</v>
      </c>
      <c r="D29" s="157" t="s">
        <v>3944</v>
      </c>
      <c r="E29" s="160" t="s">
        <v>21</v>
      </c>
      <c r="F29" s="163" t="s">
        <v>21</v>
      </c>
      <c r="G29" s="166" t="str">
        <f>IF(COUNTIF(H29:AU29,"&lt;&gt;")=0,"",SUMPRODUCT(((Recommendations[ImplStatus]="Implemented")+(Recommendations[ImplStatus]="Compensated"))*ISNUMBER(MATCH(Recommendations[Id],H29:AU29,0)))/COUNTIF(H29:AU29,"&lt;&gt;"))</f>
        <v/>
      </c>
      <c r="H29" s="169"/>
      <c r="I29" s="169"/>
      <c r="J29" s="169"/>
      <c r="K29" s="169"/>
      <c r="L29" s="169"/>
      <c r="M29" s="169"/>
      <c r="N29" s="169"/>
      <c r="O29" s="169"/>
      <c r="P29" s="169"/>
      <c r="Q29" s="169"/>
      <c r="R29" s="169"/>
      <c r="S29" s="169"/>
      <c r="T29" s="169"/>
      <c r="U29" s="169"/>
      <c r="V29" s="169"/>
      <c r="W29" s="169"/>
      <c r="X29" s="169"/>
      <c r="Y29" s="169"/>
      <c r="Z29" s="169"/>
      <c r="AA29" s="169"/>
      <c r="AB29" s="169"/>
      <c r="AC29" s="169"/>
      <c r="AD29" s="169"/>
      <c r="AE29" s="169"/>
      <c r="AF29" s="169"/>
      <c r="AG29" s="169"/>
      <c r="AH29" s="169"/>
      <c r="AI29" s="169"/>
      <c r="AJ29" s="169"/>
      <c r="AK29" s="169"/>
      <c r="AL29" s="169"/>
      <c r="AM29" s="169"/>
      <c r="AN29" s="169"/>
      <c r="AO29" s="169"/>
      <c r="AP29" s="169"/>
      <c r="AQ29" s="169"/>
      <c r="AR29" s="169"/>
      <c r="AS29" s="169"/>
      <c r="AT29" s="169"/>
      <c r="AU29" s="183"/>
    </row>
    <row r="30" spans="1:47" ht="60" customHeight="1" x14ac:dyDescent="0.35">
      <c r="A30" s="180" t="s">
        <v>3858</v>
      </c>
      <c r="B30" s="154" t="s">
        <v>3942</v>
      </c>
      <c r="C30" s="155" t="s">
        <v>3945</v>
      </c>
      <c r="D30" s="158" t="s">
        <v>3946</v>
      </c>
      <c r="E30" s="161" t="s">
        <v>3947</v>
      </c>
      <c r="F30" s="164" t="s">
        <v>3881</v>
      </c>
      <c r="G30" s="167" t="str">
        <f>IF(COUNTIF(H30:AU30,"&lt;&gt;")=0,"",SUMPRODUCT(((Recommendations[ImplStatus]="Implemented")+(Recommendations[ImplStatus]="Compensated"))*ISNUMBER(MATCH(Recommendations[Id],H30:AU30,0)))/COUNTIF(H30:AU30,"&lt;&gt;"))</f>
        <v/>
      </c>
      <c r="H30" s="170"/>
      <c r="I30" s="170"/>
      <c r="J30" s="170"/>
      <c r="K30" s="170"/>
      <c r="L30" s="170"/>
      <c r="M30" s="170"/>
      <c r="N30" s="170"/>
      <c r="O30" s="170"/>
      <c r="P30" s="170"/>
      <c r="Q30" s="170"/>
      <c r="R30" s="170"/>
      <c r="S30" s="170"/>
      <c r="T30" s="170"/>
      <c r="U30" s="170"/>
      <c r="V30" s="170"/>
      <c r="W30" s="170"/>
      <c r="X30" s="170"/>
      <c r="Y30" s="170"/>
      <c r="Z30" s="170"/>
      <c r="AA30" s="170"/>
      <c r="AB30" s="170"/>
      <c r="AC30" s="170"/>
      <c r="AD30" s="170"/>
      <c r="AE30" s="170"/>
      <c r="AF30" s="170"/>
      <c r="AG30" s="170"/>
      <c r="AH30" s="170"/>
      <c r="AI30" s="170"/>
      <c r="AJ30" s="170"/>
      <c r="AK30" s="170"/>
      <c r="AL30" s="170"/>
      <c r="AM30" s="170"/>
      <c r="AN30" s="170"/>
      <c r="AO30" s="170"/>
      <c r="AP30" s="170"/>
      <c r="AQ30" s="170"/>
      <c r="AR30" s="170"/>
      <c r="AS30" s="170"/>
      <c r="AT30" s="170"/>
      <c r="AU30" s="184"/>
    </row>
    <row r="31" spans="1:47" ht="60" customHeight="1" x14ac:dyDescent="0.35">
      <c r="A31" s="180" t="s">
        <v>3858</v>
      </c>
      <c r="B31" s="154" t="s">
        <v>3942</v>
      </c>
      <c r="C31" s="155" t="s">
        <v>3948</v>
      </c>
      <c r="D31" s="158" t="s">
        <v>3949</v>
      </c>
      <c r="E31" s="161" t="s">
        <v>3950</v>
      </c>
      <c r="F31" s="164" t="s">
        <v>3881</v>
      </c>
      <c r="G31" s="167" t="str">
        <f>IF(COUNTIF(H31:AU31,"&lt;&gt;")=0,"",SUMPRODUCT(((Recommendations[ImplStatus]="Implemented")+(Recommendations[ImplStatus]="Compensated"))*ISNUMBER(MATCH(Recommendations[Id],H31:AU31,0)))/COUNTIF(H31:AU31,"&lt;&gt;"))</f>
        <v/>
      </c>
      <c r="H31" s="170"/>
      <c r="I31" s="170"/>
      <c r="J31" s="170"/>
      <c r="K31" s="170"/>
      <c r="L31" s="170"/>
      <c r="M31" s="170"/>
      <c r="N31" s="170"/>
      <c r="O31" s="170"/>
      <c r="P31" s="170"/>
      <c r="Q31" s="170"/>
      <c r="R31" s="170"/>
      <c r="S31" s="170"/>
      <c r="T31" s="170"/>
      <c r="U31" s="170"/>
      <c r="V31" s="170"/>
      <c r="W31" s="170"/>
      <c r="X31" s="170"/>
      <c r="Y31" s="170"/>
      <c r="Z31" s="170"/>
      <c r="AA31" s="170"/>
      <c r="AB31" s="170"/>
      <c r="AC31" s="170"/>
      <c r="AD31" s="170"/>
      <c r="AE31" s="170"/>
      <c r="AF31" s="170"/>
      <c r="AG31" s="170"/>
      <c r="AH31" s="170"/>
      <c r="AI31" s="170"/>
      <c r="AJ31" s="170"/>
      <c r="AK31" s="170"/>
      <c r="AL31" s="170"/>
      <c r="AM31" s="170"/>
      <c r="AN31" s="170"/>
      <c r="AO31" s="170"/>
      <c r="AP31" s="170"/>
      <c r="AQ31" s="170"/>
      <c r="AR31" s="170"/>
      <c r="AS31" s="170"/>
      <c r="AT31" s="170"/>
      <c r="AU31" s="184"/>
    </row>
    <row r="32" spans="1:47" ht="60" customHeight="1" x14ac:dyDescent="0.35">
      <c r="A32" s="180" t="s">
        <v>3858</v>
      </c>
      <c r="B32" s="154" t="s">
        <v>3942</v>
      </c>
      <c r="C32" s="155" t="s">
        <v>3951</v>
      </c>
      <c r="D32" s="158" t="s">
        <v>3952</v>
      </c>
      <c r="E32" s="161" t="s">
        <v>3953</v>
      </c>
      <c r="F32" s="164" t="s">
        <v>3881</v>
      </c>
      <c r="G32" s="167" t="str">
        <f>IF(COUNTIF(H32:AU32,"&lt;&gt;")=0,"",SUMPRODUCT(((Recommendations[ImplStatus]="Implemented")+(Recommendations[ImplStatus]="Compensated"))*ISNUMBER(MATCH(Recommendations[Id],H32:AU32,0)))/COUNTIF(H32:AU32,"&lt;&gt;"))</f>
        <v/>
      </c>
      <c r="H32" s="170"/>
      <c r="I32" s="170"/>
      <c r="J32" s="170"/>
      <c r="K32" s="170"/>
      <c r="L32" s="170"/>
      <c r="M32" s="170"/>
      <c r="N32" s="170"/>
      <c r="O32" s="170"/>
      <c r="P32" s="170"/>
      <c r="Q32" s="170"/>
      <c r="R32" s="170"/>
      <c r="S32" s="170"/>
      <c r="T32" s="170"/>
      <c r="U32" s="170"/>
      <c r="V32" s="170"/>
      <c r="W32" s="170"/>
      <c r="X32" s="170"/>
      <c r="Y32" s="170"/>
      <c r="Z32" s="170"/>
      <c r="AA32" s="170"/>
      <c r="AB32" s="170"/>
      <c r="AC32" s="170"/>
      <c r="AD32" s="170"/>
      <c r="AE32" s="170"/>
      <c r="AF32" s="170"/>
      <c r="AG32" s="170"/>
      <c r="AH32" s="170"/>
      <c r="AI32" s="170"/>
      <c r="AJ32" s="170"/>
      <c r="AK32" s="170"/>
      <c r="AL32" s="170"/>
      <c r="AM32" s="170"/>
      <c r="AN32" s="170"/>
      <c r="AO32" s="170"/>
      <c r="AP32" s="170"/>
      <c r="AQ32" s="170"/>
      <c r="AR32" s="170"/>
      <c r="AS32" s="170"/>
      <c r="AT32" s="170"/>
      <c r="AU32" s="184"/>
    </row>
    <row r="33" spans="1:47" ht="60" customHeight="1" x14ac:dyDescent="0.35">
      <c r="A33" s="180" t="s">
        <v>3858</v>
      </c>
      <c r="B33" s="154" t="s">
        <v>3942</v>
      </c>
      <c r="C33" s="155" t="s">
        <v>3954</v>
      </c>
      <c r="D33" s="158" t="s">
        <v>3955</v>
      </c>
      <c r="E33" s="161" t="s">
        <v>3956</v>
      </c>
      <c r="F33" s="164" t="s">
        <v>3881</v>
      </c>
      <c r="G33" s="167" t="str">
        <f>IF(COUNTIF(H33:AU33,"&lt;&gt;")=0,"",SUMPRODUCT(((Recommendations[ImplStatus]="Implemented")+(Recommendations[ImplStatus]="Compensated"))*ISNUMBER(MATCH(Recommendations[Id],H33:AU33,0)))/COUNTIF(H33:AU33,"&lt;&gt;"))</f>
        <v/>
      </c>
      <c r="H33" s="170"/>
      <c r="I33" s="170"/>
      <c r="J33" s="170"/>
      <c r="K33" s="170"/>
      <c r="L33" s="170"/>
      <c r="M33" s="170"/>
      <c r="N33" s="170"/>
      <c r="O33" s="170"/>
      <c r="P33" s="170"/>
      <c r="Q33" s="170"/>
      <c r="R33" s="170"/>
      <c r="S33" s="170"/>
      <c r="T33" s="170"/>
      <c r="U33" s="170"/>
      <c r="V33" s="170"/>
      <c r="W33" s="170"/>
      <c r="X33" s="170"/>
      <c r="Y33" s="170"/>
      <c r="Z33" s="170"/>
      <c r="AA33" s="170"/>
      <c r="AB33" s="170"/>
      <c r="AC33" s="170"/>
      <c r="AD33" s="170"/>
      <c r="AE33" s="170"/>
      <c r="AF33" s="170"/>
      <c r="AG33" s="170"/>
      <c r="AH33" s="170"/>
      <c r="AI33" s="170"/>
      <c r="AJ33" s="170"/>
      <c r="AK33" s="170"/>
      <c r="AL33" s="170"/>
      <c r="AM33" s="170"/>
      <c r="AN33" s="170"/>
      <c r="AO33" s="170"/>
      <c r="AP33" s="170"/>
      <c r="AQ33" s="170"/>
      <c r="AR33" s="170"/>
      <c r="AS33" s="170"/>
      <c r="AT33" s="170"/>
      <c r="AU33" s="184"/>
    </row>
    <row r="34" spans="1:47" ht="60" customHeight="1" x14ac:dyDescent="0.35">
      <c r="A34" s="180" t="s">
        <v>3858</v>
      </c>
      <c r="B34" s="154" t="s">
        <v>3942</v>
      </c>
      <c r="C34" s="155" t="s">
        <v>3957</v>
      </c>
      <c r="D34" s="158" t="s">
        <v>3958</v>
      </c>
      <c r="E34" s="161" t="s">
        <v>3959</v>
      </c>
      <c r="F34" s="164" t="s">
        <v>3881</v>
      </c>
      <c r="G34" s="167" t="str">
        <f>IF(COUNTIF(H34:AU34,"&lt;&gt;")=0,"",SUMPRODUCT(((Recommendations[ImplStatus]="Implemented")+(Recommendations[ImplStatus]="Compensated"))*ISNUMBER(MATCH(Recommendations[Id],H34:AU34,0)))/COUNTIF(H34:AU34,"&lt;&gt;"))</f>
        <v/>
      </c>
      <c r="H34" s="170"/>
      <c r="I34" s="170"/>
      <c r="J34" s="170"/>
      <c r="K34" s="170"/>
      <c r="L34" s="170"/>
      <c r="M34" s="170"/>
      <c r="N34" s="170"/>
      <c r="O34" s="170"/>
      <c r="P34" s="170"/>
      <c r="Q34" s="170"/>
      <c r="R34" s="170"/>
      <c r="S34" s="170"/>
      <c r="T34" s="170"/>
      <c r="U34" s="170"/>
      <c r="V34" s="170"/>
      <c r="W34" s="170"/>
      <c r="X34" s="170"/>
      <c r="Y34" s="170"/>
      <c r="Z34" s="170"/>
      <c r="AA34" s="170"/>
      <c r="AB34" s="170"/>
      <c r="AC34" s="170"/>
      <c r="AD34" s="170"/>
      <c r="AE34" s="170"/>
      <c r="AF34" s="170"/>
      <c r="AG34" s="170"/>
      <c r="AH34" s="170"/>
      <c r="AI34" s="170"/>
      <c r="AJ34" s="170"/>
      <c r="AK34" s="170"/>
      <c r="AL34" s="170"/>
      <c r="AM34" s="170"/>
      <c r="AN34" s="170"/>
      <c r="AO34" s="170"/>
      <c r="AP34" s="170"/>
      <c r="AQ34" s="170"/>
      <c r="AR34" s="170"/>
      <c r="AS34" s="170"/>
      <c r="AT34" s="170"/>
      <c r="AU34" s="184"/>
    </row>
    <row r="35" spans="1:47" ht="60" customHeight="1" x14ac:dyDescent="0.35">
      <c r="A35" s="180" t="s">
        <v>3858</v>
      </c>
      <c r="B35" s="154" t="s">
        <v>3942</v>
      </c>
      <c r="C35" s="155" t="s">
        <v>3960</v>
      </c>
      <c r="D35" s="158" t="s">
        <v>3961</v>
      </c>
      <c r="E35" s="161" t="s">
        <v>3962</v>
      </c>
      <c r="F35" s="164" t="s">
        <v>3881</v>
      </c>
      <c r="G35" s="167" t="str">
        <f>IF(COUNTIF(H35:AU35,"&lt;&gt;")=0,"",SUMPRODUCT(((Recommendations[ImplStatus]="Implemented")+(Recommendations[ImplStatus]="Compensated"))*ISNUMBER(MATCH(Recommendations[Id],H35:AU35,0)))/COUNTIF(H35:AU35,"&lt;&gt;"))</f>
        <v/>
      </c>
      <c r="H35" s="170"/>
      <c r="I35" s="170"/>
      <c r="J35" s="170"/>
      <c r="K35" s="170"/>
      <c r="L35" s="170"/>
      <c r="M35" s="170"/>
      <c r="N35" s="170"/>
      <c r="O35" s="170"/>
      <c r="P35" s="170"/>
      <c r="Q35" s="170"/>
      <c r="R35" s="170"/>
      <c r="S35" s="170"/>
      <c r="T35" s="170"/>
      <c r="U35" s="170"/>
      <c r="V35" s="170"/>
      <c r="W35" s="170"/>
      <c r="X35" s="170"/>
      <c r="Y35" s="170"/>
      <c r="Z35" s="170"/>
      <c r="AA35" s="170"/>
      <c r="AB35" s="170"/>
      <c r="AC35" s="170"/>
      <c r="AD35" s="170"/>
      <c r="AE35" s="170"/>
      <c r="AF35" s="170"/>
      <c r="AG35" s="170"/>
      <c r="AH35" s="170"/>
      <c r="AI35" s="170"/>
      <c r="AJ35" s="170"/>
      <c r="AK35" s="170"/>
      <c r="AL35" s="170"/>
      <c r="AM35" s="170"/>
      <c r="AN35" s="170"/>
      <c r="AO35" s="170"/>
      <c r="AP35" s="170"/>
      <c r="AQ35" s="170"/>
      <c r="AR35" s="170"/>
      <c r="AS35" s="170"/>
      <c r="AT35" s="170"/>
      <c r="AU35" s="184"/>
    </row>
    <row r="36" spans="1:47" ht="60" customHeight="1" x14ac:dyDescent="0.35">
      <c r="A36" s="180" t="s">
        <v>3858</v>
      </c>
      <c r="B36" s="154" t="s">
        <v>3942</v>
      </c>
      <c r="C36" s="155" t="s">
        <v>3963</v>
      </c>
      <c r="D36" s="158" t="s">
        <v>3964</v>
      </c>
      <c r="E36" s="161" t="s">
        <v>3965</v>
      </c>
      <c r="F36" s="164" t="s">
        <v>3881</v>
      </c>
      <c r="G36" s="167" t="str">
        <f>IF(COUNTIF(H36:AU36,"&lt;&gt;")=0,"",SUMPRODUCT(((Recommendations[ImplStatus]="Implemented")+(Recommendations[ImplStatus]="Compensated"))*ISNUMBER(MATCH(Recommendations[Id],H36:AU36,0)))/COUNTIF(H36:AU36,"&lt;&gt;"))</f>
        <v/>
      </c>
      <c r="H36" s="170"/>
      <c r="I36" s="170"/>
      <c r="J36" s="170"/>
      <c r="K36" s="170"/>
      <c r="L36" s="170"/>
      <c r="M36" s="170"/>
      <c r="N36" s="170"/>
      <c r="O36" s="170"/>
      <c r="P36" s="170"/>
      <c r="Q36" s="170"/>
      <c r="R36" s="170"/>
      <c r="S36" s="170"/>
      <c r="T36" s="170"/>
      <c r="U36" s="170"/>
      <c r="V36" s="170"/>
      <c r="W36" s="170"/>
      <c r="X36" s="170"/>
      <c r="Y36" s="170"/>
      <c r="Z36" s="170"/>
      <c r="AA36" s="170"/>
      <c r="AB36" s="170"/>
      <c r="AC36" s="170"/>
      <c r="AD36" s="170"/>
      <c r="AE36" s="170"/>
      <c r="AF36" s="170"/>
      <c r="AG36" s="170"/>
      <c r="AH36" s="170"/>
      <c r="AI36" s="170"/>
      <c r="AJ36" s="170"/>
      <c r="AK36" s="170"/>
      <c r="AL36" s="170"/>
      <c r="AM36" s="170"/>
      <c r="AN36" s="170"/>
      <c r="AO36" s="170"/>
      <c r="AP36" s="170"/>
      <c r="AQ36" s="170"/>
      <c r="AR36" s="170"/>
      <c r="AS36" s="170"/>
      <c r="AT36" s="170"/>
      <c r="AU36" s="184"/>
    </row>
    <row r="37" spans="1:47" ht="60" customHeight="1" x14ac:dyDescent="0.35">
      <c r="A37" s="180" t="s">
        <v>3858</v>
      </c>
      <c r="B37" s="154" t="s">
        <v>3942</v>
      </c>
      <c r="C37" s="155" t="s">
        <v>3966</v>
      </c>
      <c r="D37" s="158" t="s">
        <v>3967</v>
      </c>
      <c r="E37" s="161" t="s">
        <v>3968</v>
      </c>
      <c r="F37" s="164" t="s">
        <v>3881</v>
      </c>
      <c r="G37" s="167" t="str">
        <f>IF(COUNTIF(H37:AU37,"&lt;&gt;")=0,"",SUMPRODUCT(((Recommendations[ImplStatus]="Implemented")+(Recommendations[ImplStatus]="Compensated"))*ISNUMBER(MATCH(Recommendations[Id],H37:AU37,0)))/COUNTIF(H37:AU37,"&lt;&gt;"))</f>
        <v/>
      </c>
      <c r="H37" s="170"/>
      <c r="I37" s="170"/>
      <c r="J37" s="170"/>
      <c r="K37" s="170"/>
      <c r="L37" s="170"/>
      <c r="M37" s="170"/>
      <c r="N37" s="170"/>
      <c r="O37" s="170"/>
      <c r="P37" s="170"/>
      <c r="Q37" s="170"/>
      <c r="R37" s="170"/>
      <c r="S37" s="170"/>
      <c r="T37" s="170"/>
      <c r="U37" s="170"/>
      <c r="V37" s="170"/>
      <c r="W37" s="170"/>
      <c r="X37" s="170"/>
      <c r="Y37" s="170"/>
      <c r="Z37" s="170"/>
      <c r="AA37" s="170"/>
      <c r="AB37" s="170"/>
      <c r="AC37" s="170"/>
      <c r="AD37" s="170"/>
      <c r="AE37" s="170"/>
      <c r="AF37" s="170"/>
      <c r="AG37" s="170"/>
      <c r="AH37" s="170"/>
      <c r="AI37" s="170"/>
      <c r="AJ37" s="170"/>
      <c r="AK37" s="170"/>
      <c r="AL37" s="170"/>
      <c r="AM37" s="170"/>
      <c r="AN37" s="170"/>
      <c r="AO37" s="170"/>
      <c r="AP37" s="170"/>
      <c r="AQ37" s="170"/>
      <c r="AR37" s="170"/>
      <c r="AS37" s="170"/>
      <c r="AT37" s="170"/>
      <c r="AU37" s="184"/>
    </row>
    <row r="38" spans="1:47" ht="60" customHeight="1" x14ac:dyDescent="0.35">
      <c r="A38" s="180" t="s">
        <v>3858</v>
      </c>
      <c r="B38" s="154" t="s">
        <v>3942</v>
      </c>
      <c r="C38" s="155" t="s">
        <v>3969</v>
      </c>
      <c r="D38" s="158" t="s">
        <v>3970</v>
      </c>
      <c r="E38" s="161" t="s">
        <v>3971</v>
      </c>
      <c r="F38" s="164" t="s">
        <v>3881</v>
      </c>
      <c r="G38" s="167" t="str">
        <f>IF(COUNTIF(H38:AU38,"&lt;&gt;")=0,"",SUMPRODUCT(((Recommendations[ImplStatus]="Implemented")+(Recommendations[ImplStatus]="Compensated"))*ISNUMBER(MATCH(Recommendations[Id],H38:AU38,0)))/COUNTIF(H38:AU38,"&lt;&gt;"))</f>
        <v/>
      </c>
      <c r="H38" s="170"/>
      <c r="I38" s="170"/>
      <c r="J38" s="170"/>
      <c r="K38" s="170"/>
      <c r="L38" s="170"/>
      <c r="M38" s="170"/>
      <c r="N38" s="170"/>
      <c r="O38" s="170"/>
      <c r="P38" s="170"/>
      <c r="Q38" s="170"/>
      <c r="R38" s="170"/>
      <c r="S38" s="170"/>
      <c r="T38" s="170"/>
      <c r="U38" s="170"/>
      <c r="V38" s="170"/>
      <c r="W38" s="170"/>
      <c r="X38" s="170"/>
      <c r="Y38" s="170"/>
      <c r="Z38" s="170"/>
      <c r="AA38" s="170"/>
      <c r="AB38" s="170"/>
      <c r="AC38" s="170"/>
      <c r="AD38" s="170"/>
      <c r="AE38" s="170"/>
      <c r="AF38" s="170"/>
      <c r="AG38" s="170"/>
      <c r="AH38" s="170"/>
      <c r="AI38" s="170"/>
      <c r="AJ38" s="170"/>
      <c r="AK38" s="170"/>
      <c r="AL38" s="170"/>
      <c r="AM38" s="170"/>
      <c r="AN38" s="170"/>
      <c r="AO38" s="170"/>
      <c r="AP38" s="170"/>
      <c r="AQ38" s="170"/>
      <c r="AR38" s="170"/>
      <c r="AS38" s="170"/>
      <c r="AT38" s="170"/>
      <c r="AU38" s="184"/>
    </row>
    <row r="39" spans="1:47" ht="60" customHeight="1" x14ac:dyDescent="0.35">
      <c r="A39" s="180" t="s">
        <v>3858</v>
      </c>
      <c r="B39" s="154" t="s">
        <v>3942</v>
      </c>
      <c r="C39" s="155" t="s">
        <v>3972</v>
      </c>
      <c r="D39" s="158" t="s">
        <v>3973</v>
      </c>
      <c r="E39" s="161" t="s">
        <v>3974</v>
      </c>
      <c r="F39" s="164" t="s">
        <v>3881</v>
      </c>
      <c r="G39" s="167" t="str">
        <f>IF(COUNTIF(H39:AU39,"&lt;&gt;")=0,"",SUMPRODUCT(((Recommendations[ImplStatus]="Implemented")+(Recommendations[ImplStatus]="Compensated"))*ISNUMBER(MATCH(Recommendations[Id],H39:AU39,0)))/COUNTIF(H39:AU39,"&lt;&gt;"))</f>
        <v/>
      </c>
      <c r="H39" s="170"/>
      <c r="I39" s="170"/>
      <c r="J39" s="170"/>
      <c r="K39" s="170"/>
      <c r="L39" s="170"/>
      <c r="M39" s="170"/>
      <c r="N39" s="170"/>
      <c r="O39" s="170"/>
      <c r="P39" s="170"/>
      <c r="Q39" s="170"/>
      <c r="R39" s="170"/>
      <c r="S39" s="170"/>
      <c r="T39" s="170"/>
      <c r="U39" s="170"/>
      <c r="V39" s="170"/>
      <c r="W39" s="170"/>
      <c r="X39" s="170"/>
      <c r="Y39" s="170"/>
      <c r="Z39" s="170"/>
      <c r="AA39" s="170"/>
      <c r="AB39" s="170"/>
      <c r="AC39" s="170"/>
      <c r="AD39" s="170"/>
      <c r="AE39" s="170"/>
      <c r="AF39" s="170"/>
      <c r="AG39" s="170"/>
      <c r="AH39" s="170"/>
      <c r="AI39" s="170"/>
      <c r="AJ39" s="170"/>
      <c r="AK39" s="170"/>
      <c r="AL39" s="170"/>
      <c r="AM39" s="170"/>
      <c r="AN39" s="170"/>
      <c r="AO39" s="170"/>
      <c r="AP39" s="170"/>
      <c r="AQ39" s="170"/>
      <c r="AR39" s="170"/>
      <c r="AS39" s="170"/>
      <c r="AT39" s="170"/>
      <c r="AU39" s="184"/>
    </row>
    <row r="40" spans="1:47" ht="60" customHeight="1" outlineLevel="1" x14ac:dyDescent="0.35">
      <c r="A40" s="178" t="s">
        <v>3975</v>
      </c>
      <c r="B40" s="152" t="s">
        <v>21</v>
      </c>
      <c r="C40" s="150" t="s">
        <v>3976</v>
      </c>
      <c r="D40" s="156" t="s">
        <v>3977</v>
      </c>
      <c r="E40" s="159" t="s">
        <v>21</v>
      </c>
      <c r="F40" s="162" t="s">
        <v>21</v>
      </c>
      <c r="G40" s="165" t="str">
        <f>IF(COUNTIF(H40:AU40,"&lt;&gt;")=0,"",SUMPRODUCT(((Recommendations[ImplStatus]="Implemented")+(Recommendations[ImplStatus]="Compensated"))*ISNUMBER(MATCH(Recommendations[Id],H40:AU40,0)))/COUNTIF(H40:AU40,"&lt;&gt;"))</f>
        <v/>
      </c>
      <c r="H40" s="168"/>
      <c r="I40" s="168"/>
      <c r="J40" s="168"/>
      <c r="K40" s="168"/>
      <c r="L40" s="168"/>
      <c r="M40" s="168"/>
      <c r="N40" s="168"/>
      <c r="O40" s="168"/>
      <c r="P40" s="168"/>
      <c r="Q40" s="168"/>
      <c r="R40" s="168"/>
      <c r="S40" s="168"/>
      <c r="T40" s="168"/>
      <c r="U40" s="168"/>
      <c r="V40" s="168"/>
      <c r="W40" s="168"/>
      <c r="X40" s="168"/>
      <c r="Y40" s="168"/>
      <c r="Z40" s="168"/>
      <c r="AA40" s="168"/>
      <c r="AB40" s="168"/>
      <c r="AC40" s="168"/>
      <c r="AD40" s="168"/>
      <c r="AE40" s="168"/>
      <c r="AF40" s="168"/>
      <c r="AG40" s="168"/>
      <c r="AH40" s="168"/>
      <c r="AI40" s="168"/>
      <c r="AJ40" s="168"/>
      <c r="AK40" s="168"/>
      <c r="AL40" s="168"/>
      <c r="AM40" s="168"/>
      <c r="AN40" s="168"/>
      <c r="AO40" s="168"/>
      <c r="AP40" s="168"/>
      <c r="AQ40" s="168"/>
      <c r="AR40" s="168"/>
      <c r="AS40" s="168"/>
      <c r="AT40" s="168"/>
      <c r="AU40" s="182"/>
    </row>
    <row r="41" spans="1:47" ht="60" customHeight="1" outlineLevel="1" x14ac:dyDescent="0.35">
      <c r="A41" s="179" t="s">
        <v>3975</v>
      </c>
      <c r="B41" s="153" t="s">
        <v>3978</v>
      </c>
      <c r="C41" s="151" t="s">
        <v>3979</v>
      </c>
      <c r="D41" s="157" t="s">
        <v>3980</v>
      </c>
      <c r="E41" s="160" t="s">
        <v>21</v>
      </c>
      <c r="F41" s="163" t="s">
        <v>21</v>
      </c>
      <c r="G41" s="166" t="str">
        <f>IF(COUNTIF(H41:AU41,"&lt;&gt;")=0,"",SUMPRODUCT(((Recommendations[ImplStatus]="Implemented")+(Recommendations[ImplStatus]="Compensated"))*ISNUMBER(MATCH(Recommendations[Id],H41:AU41,0)))/COUNTIF(H41:AU41,"&lt;&gt;"))</f>
        <v/>
      </c>
      <c r="H41" s="169"/>
      <c r="I41" s="169"/>
      <c r="J41" s="169"/>
      <c r="K41" s="169"/>
      <c r="L41" s="169"/>
      <c r="M41" s="169"/>
      <c r="N41" s="169"/>
      <c r="O41" s="169"/>
      <c r="P41" s="169"/>
      <c r="Q41" s="169"/>
      <c r="R41" s="169"/>
      <c r="S41" s="169"/>
      <c r="T41" s="169"/>
      <c r="U41" s="169"/>
      <c r="V41" s="169"/>
      <c r="W41" s="169"/>
      <c r="X41" s="169"/>
      <c r="Y41" s="169"/>
      <c r="Z41" s="169"/>
      <c r="AA41" s="169"/>
      <c r="AB41" s="169"/>
      <c r="AC41" s="169"/>
      <c r="AD41" s="169"/>
      <c r="AE41" s="169"/>
      <c r="AF41" s="169"/>
      <c r="AG41" s="169"/>
      <c r="AH41" s="169"/>
      <c r="AI41" s="169"/>
      <c r="AJ41" s="169"/>
      <c r="AK41" s="169"/>
      <c r="AL41" s="169"/>
      <c r="AM41" s="169"/>
      <c r="AN41" s="169"/>
      <c r="AO41" s="169"/>
      <c r="AP41" s="169"/>
      <c r="AQ41" s="169"/>
      <c r="AR41" s="169"/>
      <c r="AS41" s="169"/>
      <c r="AT41" s="169"/>
      <c r="AU41" s="183"/>
    </row>
    <row r="42" spans="1:47" ht="60" customHeight="1" x14ac:dyDescent="0.35">
      <c r="A42" s="180" t="s">
        <v>3975</v>
      </c>
      <c r="B42" s="154" t="s">
        <v>3978</v>
      </c>
      <c r="C42" s="155" t="s">
        <v>3981</v>
      </c>
      <c r="D42" s="158" t="s">
        <v>3982</v>
      </c>
      <c r="E42" s="161" t="s">
        <v>3983</v>
      </c>
      <c r="F42" s="164" t="s">
        <v>3867</v>
      </c>
      <c r="G42" s="167" t="str">
        <f>IF(COUNTIF(H42:AU42,"&lt;&gt;")=0,"",SUMPRODUCT(((Recommendations[ImplStatus]="Implemented")+(Recommendations[ImplStatus]="Compensated"))*ISNUMBER(MATCH(Recommendations[Id],H42:AU42,0)))/COUNTIF(H42:AU42,"&lt;&gt;"))</f>
        <v/>
      </c>
      <c r="H42" s="170"/>
      <c r="I42" s="170"/>
      <c r="J42" s="170"/>
      <c r="K42" s="170"/>
      <c r="L42" s="170"/>
      <c r="M42" s="170"/>
      <c r="N42" s="170"/>
      <c r="O42" s="170"/>
      <c r="P42" s="170"/>
      <c r="Q42" s="170"/>
      <c r="R42" s="170"/>
      <c r="S42" s="170"/>
      <c r="T42" s="170"/>
      <c r="U42" s="170"/>
      <c r="V42" s="170"/>
      <c r="W42" s="170"/>
      <c r="X42" s="170"/>
      <c r="Y42" s="170"/>
      <c r="Z42" s="170"/>
      <c r="AA42" s="170"/>
      <c r="AB42" s="170"/>
      <c r="AC42" s="170"/>
      <c r="AD42" s="170"/>
      <c r="AE42" s="170"/>
      <c r="AF42" s="170"/>
      <c r="AG42" s="170"/>
      <c r="AH42" s="170"/>
      <c r="AI42" s="170"/>
      <c r="AJ42" s="170"/>
      <c r="AK42" s="170"/>
      <c r="AL42" s="170"/>
      <c r="AM42" s="170"/>
      <c r="AN42" s="170"/>
      <c r="AO42" s="170"/>
      <c r="AP42" s="170"/>
      <c r="AQ42" s="170"/>
      <c r="AR42" s="170"/>
      <c r="AS42" s="170"/>
      <c r="AT42" s="170"/>
      <c r="AU42" s="184"/>
    </row>
    <row r="43" spans="1:47" ht="60" customHeight="1" x14ac:dyDescent="0.35">
      <c r="A43" s="180" t="s">
        <v>3975</v>
      </c>
      <c r="B43" s="154" t="s">
        <v>3978</v>
      </c>
      <c r="C43" s="155" t="s">
        <v>3984</v>
      </c>
      <c r="D43" s="158" t="s">
        <v>3985</v>
      </c>
      <c r="E43" s="161" t="s">
        <v>3986</v>
      </c>
      <c r="F43" s="164" t="s">
        <v>3867</v>
      </c>
      <c r="G43" s="167" t="str">
        <f>IF(COUNTIF(H43:AU43,"&lt;&gt;")=0,"",SUMPRODUCT(((Recommendations[ImplStatus]="Implemented")+(Recommendations[ImplStatus]="Compensated"))*ISNUMBER(MATCH(Recommendations[Id],H43:AU43,0)))/COUNTIF(H43:AU43,"&lt;&gt;"))</f>
        <v/>
      </c>
      <c r="H43" s="170"/>
      <c r="I43" s="170"/>
      <c r="J43" s="170"/>
      <c r="K43" s="170"/>
      <c r="L43" s="170"/>
      <c r="M43" s="170"/>
      <c r="N43" s="170"/>
      <c r="O43" s="170"/>
      <c r="P43" s="170"/>
      <c r="Q43" s="170"/>
      <c r="R43" s="170"/>
      <c r="S43" s="170"/>
      <c r="T43" s="170"/>
      <c r="U43" s="170"/>
      <c r="V43" s="170"/>
      <c r="W43" s="170"/>
      <c r="X43" s="170"/>
      <c r="Y43" s="170"/>
      <c r="Z43" s="170"/>
      <c r="AA43" s="170"/>
      <c r="AB43" s="170"/>
      <c r="AC43" s="170"/>
      <c r="AD43" s="170"/>
      <c r="AE43" s="170"/>
      <c r="AF43" s="170"/>
      <c r="AG43" s="170"/>
      <c r="AH43" s="170"/>
      <c r="AI43" s="170"/>
      <c r="AJ43" s="170"/>
      <c r="AK43" s="170"/>
      <c r="AL43" s="170"/>
      <c r="AM43" s="170"/>
      <c r="AN43" s="170"/>
      <c r="AO43" s="170"/>
      <c r="AP43" s="170"/>
      <c r="AQ43" s="170"/>
      <c r="AR43" s="170"/>
      <c r="AS43" s="170"/>
      <c r="AT43" s="170"/>
      <c r="AU43" s="184"/>
    </row>
    <row r="44" spans="1:47" ht="60" customHeight="1" x14ac:dyDescent="0.35">
      <c r="A44" s="180" t="s">
        <v>3975</v>
      </c>
      <c r="B44" s="154" t="s">
        <v>3978</v>
      </c>
      <c r="C44" s="155" t="s">
        <v>3987</v>
      </c>
      <c r="D44" s="158" t="s">
        <v>3988</v>
      </c>
      <c r="E44" s="161" t="s">
        <v>3989</v>
      </c>
      <c r="F44" s="164" t="s">
        <v>3871</v>
      </c>
      <c r="G44" s="167" t="str">
        <f>IF(COUNTIF(H44:AU44,"&lt;&gt;")=0,"",SUMPRODUCT(((Recommendations[ImplStatus]="Implemented")+(Recommendations[ImplStatus]="Compensated"))*ISNUMBER(MATCH(Recommendations[Id],H44:AU44,0)))/COUNTIF(H44:AU44,"&lt;&gt;"))</f>
        <v/>
      </c>
      <c r="H44" s="170"/>
      <c r="I44" s="170"/>
      <c r="J44" s="170"/>
      <c r="K44" s="170"/>
      <c r="L44" s="170"/>
      <c r="M44" s="170"/>
      <c r="N44" s="170"/>
      <c r="O44" s="170"/>
      <c r="P44" s="170"/>
      <c r="Q44" s="170"/>
      <c r="R44" s="170"/>
      <c r="S44" s="170"/>
      <c r="T44" s="170"/>
      <c r="U44" s="170"/>
      <c r="V44" s="170"/>
      <c r="W44" s="170"/>
      <c r="X44" s="170"/>
      <c r="Y44" s="170"/>
      <c r="Z44" s="170"/>
      <c r="AA44" s="170"/>
      <c r="AB44" s="170"/>
      <c r="AC44" s="170"/>
      <c r="AD44" s="170"/>
      <c r="AE44" s="170"/>
      <c r="AF44" s="170"/>
      <c r="AG44" s="170"/>
      <c r="AH44" s="170"/>
      <c r="AI44" s="170"/>
      <c r="AJ44" s="170"/>
      <c r="AK44" s="170"/>
      <c r="AL44" s="170"/>
      <c r="AM44" s="170"/>
      <c r="AN44" s="170"/>
      <c r="AO44" s="170"/>
      <c r="AP44" s="170"/>
      <c r="AQ44" s="170"/>
      <c r="AR44" s="170"/>
      <c r="AS44" s="170"/>
      <c r="AT44" s="170"/>
      <c r="AU44" s="184"/>
    </row>
    <row r="45" spans="1:47" ht="60" customHeight="1" x14ac:dyDescent="0.35">
      <c r="A45" s="180" t="s">
        <v>3975</v>
      </c>
      <c r="B45" s="154" t="s">
        <v>3978</v>
      </c>
      <c r="C45" s="155" t="s">
        <v>3990</v>
      </c>
      <c r="D45" s="158" t="s">
        <v>3991</v>
      </c>
      <c r="E45" s="161" t="s">
        <v>3992</v>
      </c>
      <c r="F45" s="164" t="s">
        <v>3881</v>
      </c>
      <c r="G45" s="167" t="str">
        <f>IF(COUNTIF(H45:AU45,"&lt;&gt;")=0,"",SUMPRODUCT(((Recommendations[ImplStatus]="Implemented")+(Recommendations[ImplStatus]="Compensated"))*ISNUMBER(MATCH(Recommendations[Id],H45:AU45,0)))/COUNTIF(H45:AU45,"&lt;&gt;"))</f>
        <v/>
      </c>
      <c r="H45" s="170"/>
      <c r="I45" s="170"/>
      <c r="J45" s="170"/>
      <c r="K45" s="170"/>
      <c r="L45" s="170"/>
      <c r="M45" s="170"/>
      <c r="N45" s="170"/>
      <c r="O45" s="170"/>
      <c r="P45" s="170"/>
      <c r="Q45" s="170"/>
      <c r="R45" s="170"/>
      <c r="S45" s="170"/>
      <c r="T45" s="170"/>
      <c r="U45" s="170"/>
      <c r="V45" s="170"/>
      <c r="W45" s="170"/>
      <c r="X45" s="170"/>
      <c r="Y45" s="170"/>
      <c r="Z45" s="170"/>
      <c r="AA45" s="170"/>
      <c r="AB45" s="170"/>
      <c r="AC45" s="170"/>
      <c r="AD45" s="170"/>
      <c r="AE45" s="170"/>
      <c r="AF45" s="170"/>
      <c r="AG45" s="170"/>
      <c r="AH45" s="170"/>
      <c r="AI45" s="170"/>
      <c r="AJ45" s="170"/>
      <c r="AK45" s="170"/>
      <c r="AL45" s="170"/>
      <c r="AM45" s="170"/>
      <c r="AN45" s="170"/>
      <c r="AO45" s="170"/>
      <c r="AP45" s="170"/>
      <c r="AQ45" s="170"/>
      <c r="AR45" s="170"/>
      <c r="AS45" s="170"/>
      <c r="AT45" s="170"/>
      <c r="AU45" s="184"/>
    </row>
    <row r="46" spans="1:47" ht="60" customHeight="1" x14ac:dyDescent="0.35">
      <c r="A46" s="180" t="s">
        <v>3975</v>
      </c>
      <c r="B46" s="154" t="s">
        <v>3978</v>
      </c>
      <c r="C46" s="155" t="s">
        <v>3993</v>
      </c>
      <c r="D46" s="158" t="s">
        <v>3994</v>
      </c>
      <c r="E46" s="161" t="s">
        <v>3995</v>
      </c>
      <c r="F46" s="164" t="s">
        <v>3867</v>
      </c>
      <c r="G46" s="167" t="str">
        <f>IF(COUNTIF(H46:AU46,"&lt;&gt;")=0,"",SUMPRODUCT(((Recommendations[ImplStatus]="Implemented")+(Recommendations[ImplStatus]="Compensated"))*ISNUMBER(MATCH(Recommendations[Id],H46:AU46,0)))/COUNTIF(H46:AU46,"&lt;&gt;"))</f>
        <v/>
      </c>
      <c r="H46" s="170"/>
      <c r="I46" s="170"/>
      <c r="J46" s="170"/>
      <c r="K46" s="170"/>
      <c r="L46" s="170"/>
      <c r="M46" s="170"/>
      <c r="N46" s="170"/>
      <c r="O46" s="170"/>
      <c r="P46" s="170"/>
      <c r="Q46" s="170"/>
      <c r="R46" s="170"/>
      <c r="S46" s="170"/>
      <c r="T46" s="170"/>
      <c r="U46" s="170"/>
      <c r="V46" s="170"/>
      <c r="W46" s="170"/>
      <c r="X46" s="170"/>
      <c r="Y46" s="170"/>
      <c r="Z46" s="170"/>
      <c r="AA46" s="170"/>
      <c r="AB46" s="170"/>
      <c r="AC46" s="170"/>
      <c r="AD46" s="170"/>
      <c r="AE46" s="170"/>
      <c r="AF46" s="170"/>
      <c r="AG46" s="170"/>
      <c r="AH46" s="170"/>
      <c r="AI46" s="170"/>
      <c r="AJ46" s="170"/>
      <c r="AK46" s="170"/>
      <c r="AL46" s="170"/>
      <c r="AM46" s="170"/>
      <c r="AN46" s="170"/>
      <c r="AO46" s="170"/>
      <c r="AP46" s="170"/>
      <c r="AQ46" s="170"/>
      <c r="AR46" s="170"/>
      <c r="AS46" s="170"/>
      <c r="AT46" s="170"/>
      <c r="AU46" s="184"/>
    </row>
    <row r="47" spans="1:47" ht="60" customHeight="1" x14ac:dyDescent="0.35">
      <c r="A47" s="180" t="s">
        <v>3975</v>
      </c>
      <c r="B47" s="154" t="s">
        <v>3978</v>
      </c>
      <c r="C47" s="155" t="s">
        <v>3996</v>
      </c>
      <c r="D47" s="158" t="s">
        <v>3997</v>
      </c>
      <c r="E47" s="161"/>
      <c r="F47" s="164" t="s">
        <v>21</v>
      </c>
      <c r="G47" s="167" t="str">
        <f>IF(COUNTIF(H47:AU47,"&lt;&gt;")=0,"",SUMPRODUCT(((Recommendations[ImplStatus]="Implemented")+(Recommendations[ImplStatus]="Compensated"))*ISNUMBER(MATCH(Recommendations[Id],H47:AU47,0)))/COUNTIF(H47:AU47,"&lt;&gt;"))</f>
        <v/>
      </c>
      <c r="H47" s="170"/>
      <c r="I47" s="170"/>
      <c r="J47" s="170"/>
      <c r="K47" s="170"/>
      <c r="L47" s="170"/>
      <c r="M47" s="170"/>
      <c r="N47" s="170"/>
      <c r="O47" s="170"/>
      <c r="P47" s="170"/>
      <c r="Q47" s="170"/>
      <c r="R47" s="170"/>
      <c r="S47" s="170"/>
      <c r="T47" s="170"/>
      <c r="U47" s="170"/>
      <c r="V47" s="170"/>
      <c r="W47" s="170"/>
      <c r="X47" s="170"/>
      <c r="Y47" s="170"/>
      <c r="Z47" s="170"/>
      <c r="AA47" s="170"/>
      <c r="AB47" s="170"/>
      <c r="AC47" s="170"/>
      <c r="AD47" s="170"/>
      <c r="AE47" s="170"/>
      <c r="AF47" s="170"/>
      <c r="AG47" s="170"/>
      <c r="AH47" s="170"/>
      <c r="AI47" s="170"/>
      <c r="AJ47" s="170"/>
      <c r="AK47" s="170"/>
      <c r="AL47" s="170"/>
      <c r="AM47" s="170"/>
      <c r="AN47" s="170"/>
      <c r="AO47" s="170"/>
      <c r="AP47" s="170"/>
      <c r="AQ47" s="170"/>
      <c r="AR47" s="170"/>
      <c r="AS47" s="170"/>
      <c r="AT47" s="170"/>
      <c r="AU47" s="184"/>
    </row>
    <row r="48" spans="1:47" ht="60" customHeight="1" x14ac:dyDescent="0.35">
      <c r="A48" s="180" t="s">
        <v>3975</v>
      </c>
      <c r="B48" s="154" t="s">
        <v>3978</v>
      </c>
      <c r="C48" s="155" t="s">
        <v>3998</v>
      </c>
      <c r="D48" s="158" t="s">
        <v>3999</v>
      </c>
      <c r="E48" s="161" t="s">
        <v>4000</v>
      </c>
      <c r="F48" s="164" t="s">
        <v>3867</v>
      </c>
      <c r="G48" s="167" t="str">
        <f>IF(COUNTIF(H48:AU48,"&lt;&gt;")=0,"",SUMPRODUCT(((Recommendations[ImplStatus]="Implemented")+(Recommendations[ImplStatus]="Compensated"))*ISNUMBER(MATCH(Recommendations[Id],H48:AU48,0)))/COUNTIF(H48:AU48,"&lt;&gt;"))</f>
        <v/>
      </c>
      <c r="H48" s="170"/>
      <c r="I48" s="170"/>
      <c r="J48" s="170"/>
      <c r="K48" s="170"/>
      <c r="L48" s="170"/>
      <c r="M48" s="170"/>
      <c r="N48" s="170"/>
      <c r="O48" s="170"/>
      <c r="P48" s="170"/>
      <c r="Q48" s="170"/>
      <c r="R48" s="170"/>
      <c r="S48" s="170"/>
      <c r="T48" s="170"/>
      <c r="U48" s="170"/>
      <c r="V48" s="170"/>
      <c r="W48" s="170"/>
      <c r="X48" s="170"/>
      <c r="Y48" s="170"/>
      <c r="Z48" s="170"/>
      <c r="AA48" s="170"/>
      <c r="AB48" s="170"/>
      <c r="AC48" s="170"/>
      <c r="AD48" s="170"/>
      <c r="AE48" s="170"/>
      <c r="AF48" s="170"/>
      <c r="AG48" s="170"/>
      <c r="AH48" s="170"/>
      <c r="AI48" s="170"/>
      <c r="AJ48" s="170"/>
      <c r="AK48" s="170"/>
      <c r="AL48" s="170"/>
      <c r="AM48" s="170"/>
      <c r="AN48" s="170"/>
      <c r="AO48" s="170"/>
      <c r="AP48" s="170"/>
      <c r="AQ48" s="170"/>
      <c r="AR48" s="170"/>
      <c r="AS48" s="170"/>
      <c r="AT48" s="170"/>
      <c r="AU48" s="184"/>
    </row>
    <row r="49" spans="1:47" ht="60" customHeight="1" x14ac:dyDescent="0.35">
      <c r="A49" s="180" t="s">
        <v>3975</v>
      </c>
      <c r="B49" s="154" t="s">
        <v>3978</v>
      </c>
      <c r="C49" s="155" t="s">
        <v>4001</v>
      </c>
      <c r="D49" s="158" t="s">
        <v>4002</v>
      </c>
      <c r="E49" s="161" t="s">
        <v>4003</v>
      </c>
      <c r="F49" s="164" t="s">
        <v>3871</v>
      </c>
      <c r="G49" s="167" t="str">
        <f>IF(COUNTIF(H49:AU49,"&lt;&gt;")=0,"",SUMPRODUCT(((Recommendations[ImplStatus]="Implemented")+(Recommendations[ImplStatus]="Compensated"))*ISNUMBER(MATCH(Recommendations[Id],H49:AU49,0)))/COUNTIF(H49:AU49,"&lt;&gt;"))</f>
        <v/>
      </c>
      <c r="H49" s="170"/>
      <c r="I49" s="170"/>
      <c r="J49" s="170"/>
      <c r="K49" s="170"/>
      <c r="L49" s="170"/>
      <c r="M49" s="170"/>
      <c r="N49" s="170"/>
      <c r="O49" s="170"/>
      <c r="P49" s="170"/>
      <c r="Q49" s="170"/>
      <c r="R49" s="170"/>
      <c r="S49" s="170"/>
      <c r="T49" s="170"/>
      <c r="U49" s="170"/>
      <c r="V49" s="170"/>
      <c r="W49" s="170"/>
      <c r="X49" s="170"/>
      <c r="Y49" s="170"/>
      <c r="Z49" s="170"/>
      <c r="AA49" s="170"/>
      <c r="AB49" s="170"/>
      <c r="AC49" s="170"/>
      <c r="AD49" s="170"/>
      <c r="AE49" s="170"/>
      <c r="AF49" s="170"/>
      <c r="AG49" s="170"/>
      <c r="AH49" s="170"/>
      <c r="AI49" s="170"/>
      <c r="AJ49" s="170"/>
      <c r="AK49" s="170"/>
      <c r="AL49" s="170"/>
      <c r="AM49" s="170"/>
      <c r="AN49" s="170"/>
      <c r="AO49" s="170"/>
      <c r="AP49" s="170"/>
      <c r="AQ49" s="170"/>
      <c r="AR49" s="170"/>
      <c r="AS49" s="170"/>
      <c r="AT49" s="170"/>
      <c r="AU49" s="184"/>
    </row>
    <row r="50" spans="1:47" ht="60" customHeight="1" outlineLevel="1" x14ac:dyDescent="0.35">
      <c r="A50" s="179" t="s">
        <v>3975</v>
      </c>
      <c r="B50" s="153" t="s">
        <v>4004</v>
      </c>
      <c r="C50" s="151" t="s">
        <v>4005</v>
      </c>
      <c r="D50" s="157"/>
      <c r="E50" s="160" t="s">
        <v>21</v>
      </c>
      <c r="F50" s="163" t="s">
        <v>21</v>
      </c>
      <c r="G50" s="166" t="str">
        <f>IF(COUNTIF(H50:AU50,"&lt;&gt;")=0,"",SUMPRODUCT(((Recommendations[ImplStatus]="Implemented")+(Recommendations[ImplStatus]="Compensated"))*ISNUMBER(MATCH(Recommendations[Id],H50:AU50,0)))/COUNTIF(H50:AU50,"&lt;&gt;"))</f>
        <v/>
      </c>
      <c r="H50" s="169"/>
      <c r="I50" s="169"/>
      <c r="J50" s="169"/>
      <c r="K50" s="169"/>
      <c r="L50" s="169"/>
      <c r="M50" s="169"/>
      <c r="N50" s="169"/>
      <c r="O50" s="169"/>
      <c r="P50" s="169"/>
      <c r="Q50" s="169"/>
      <c r="R50" s="169"/>
      <c r="S50" s="169"/>
      <c r="T50" s="169"/>
      <c r="U50" s="169"/>
      <c r="V50" s="169"/>
      <c r="W50" s="169"/>
      <c r="X50" s="169"/>
      <c r="Y50" s="169"/>
      <c r="Z50" s="169"/>
      <c r="AA50" s="169"/>
      <c r="AB50" s="169"/>
      <c r="AC50" s="169"/>
      <c r="AD50" s="169"/>
      <c r="AE50" s="169"/>
      <c r="AF50" s="169"/>
      <c r="AG50" s="169"/>
      <c r="AH50" s="169"/>
      <c r="AI50" s="169"/>
      <c r="AJ50" s="169"/>
      <c r="AK50" s="169"/>
      <c r="AL50" s="169"/>
      <c r="AM50" s="169"/>
      <c r="AN50" s="169"/>
      <c r="AO50" s="169"/>
      <c r="AP50" s="169"/>
      <c r="AQ50" s="169"/>
      <c r="AR50" s="169"/>
      <c r="AS50" s="169"/>
      <c r="AT50" s="169"/>
      <c r="AU50" s="183"/>
    </row>
    <row r="51" spans="1:47" ht="60" customHeight="1" x14ac:dyDescent="0.35">
      <c r="A51" s="180" t="s">
        <v>3975</v>
      </c>
      <c r="B51" s="154" t="s">
        <v>4004</v>
      </c>
      <c r="C51" s="155" t="s">
        <v>4006</v>
      </c>
      <c r="D51" s="158" t="s">
        <v>4007</v>
      </c>
      <c r="E51" s="161"/>
      <c r="F51" s="164" t="s">
        <v>21</v>
      </c>
      <c r="G51" s="167" t="str">
        <f>IF(COUNTIF(H51:AU51,"&lt;&gt;")=0,"",SUMPRODUCT(((Recommendations[ImplStatus]="Implemented")+(Recommendations[ImplStatus]="Compensated"))*ISNUMBER(MATCH(Recommendations[Id],H51:AU51,0)))/COUNTIF(H51:AU51,"&lt;&gt;"))</f>
        <v/>
      </c>
      <c r="H51" s="170"/>
      <c r="I51" s="170"/>
      <c r="J51" s="170"/>
      <c r="K51" s="170"/>
      <c r="L51" s="170"/>
      <c r="M51" s="170"/>
      <c r="N51" s="170"/>
      <c r="O51" s="170"/>
      <c r="P51" s="170"/>
      <c r="Q51" s="170"/>
      <c r="R51" s="170"/>
      <c r="S51" s="170"/>
      <c r="T51" s="170"/>
      <c r="U51" s="170"/>
      <c r="V51" s="170"/>
      <c r="W51" s="170"/>
      <c r="X51" s="170"/>
      <c r="Y51" s="170"/>
      <c r="Z51" s="170"/>
      <c r="AA51" s="170"/>
      <c r="AB51" s="170"/>
      <c r="AC51" s="170"/>
      <c r="AD51" s="170"/>
      <c r="AE51" s="170"/>
      <c r="AF51" s="170"/>
      <c r="AG51" s="170"/>
      <c r="AH51" s="170"/>
      <c r="AI51" s="170"/>
      <c r="AJ51" s="170"/>
      <c r="AK51" s="170"/>
      <c r="AL51" s="170"/>
      <c r="AM51" s="170"/>
      <c r="AN51" s="170"/>
      <c r="AO51" s="170"/>
      <c r="AP51" s="170"/>
      <c r="AQ51" s="170"/>
      <c r="AR51" s="170"/>
      <c r="AS51" s="170"/>
      <c r="AT51" s="170"/>
      <c r="AU51" s="184"/>
    </row>
    <row r="52" spans="1:47" ht="60" customHeight="1" x14ac:dyDescent="0.35">
      <c r="A52" s="180" t="s">
        <v>3975</v>
      </c>
      <c r="B52" s="154" t="s">
        <v>4004</v>
      </c>
      <c r="C52" s="155" t="s">
        <v>4008</v>
      </c>
      <c r="D52" s="158" t="s">
        <v>4009</v>
      </c>
      <c r="E52" s="161"/>
      <c r="F52" s="164" t="s">
        <v>21</v>
      </c>
      <c r="G52" s="167" t="str">
        <f>IF(COUNTIF(H52:AU52,"&lt;&gt;")=0,"",SUMPRODUCT(((Recommendations[ImplStatus]="Implemented")+(Recommendations[ImplStatus]="Compensated"))*ISNUMBER(MATCH(Recommendations[Id],H52:AU52,0)))/COUNTIF(H52:AU52,"&lt;&gt;"))</f>
        <v/>
      </c>
      <c r="H52" s="170"/>
      <c r="I52" s="170"/>
      <c r="J52" s="170"/>
      <c r="K52" s="170"/>
      <c r="L52" s="170"/>
      <c r="M52" s="170"/>
      <c r="N52" s="170"/>
      <c r="O52" s="170"/>
      <c r="P52" s="170"/>
      <c r="Q52" s="170"/>
      <c r="R52" s="170"/>
      <c r="S52" s="170"/>
      <c r="T52" s="170"/>
      <c r="U52" s="170"/>
      <c r="V52" s="170"/>
      <c r="W52" s="170"/>
      <c r="X52" s="170"/>
      <c r="Y52" s="170"/>
      <c r="Z52" s="170"/>
      <c r="AA52" s="170"/>
      <c r="AB52" s="170"/>
      <c r="AC52" s="170"/>
      <c r="AD52" s="170"/>
      <c r="AE52" s="170"/>
      <c r="AF52" s="170"/>
      <c r="AG52" s="170"/>
      <c r="AH52" s="170"/>
      <c r="AI52" s="170"/>
      <c r="AJ52" s="170"/>
      <c r="AK52" s="170"/>
      <c r="AL52" s="170"/>
      <c r="AM52" s="170"/>
      <c r="AN52" s="170"/>
      <c r="AO52" s="170"/>
      <c r="AP52" s="170"/>
      <c r="AQ52" s="170"/>
      <c r="AR52" s="170"/>
      <c r="AS52" s="170"/>
      <c r="AT52" s="170"/>
      <c r="AU52" s="184"/>
    </row>
    <row r="53" spans="1:47" ht="60" customHeight="1" x14ac:dyDescent="0.35">
      <c r="A53" s="180" t="s">
        <v>3975</v>
      </c>
      <c r="B53" s="154" t="s">
        <v>4004</v>
      </c>
      <c r="C53" s="155" t="s">
        <v>4010</v>
      </c>
      <c r="D53" s="158" t="s">
        <v>4011</v>
      </c>
      <c r="E53" s="161"/>
      <c r="F53" s="164" t="s">
        <v>21</v>
      </c>
      <c r="G53" s="167" t="str">
        <f>IF(COUNTIF(H53:AU53,"&lt;&gt;")=0,"",SUMPRODUCT(((Recommendations[ImplStatus]="Implemented")+(Recommendations[ImplStatus]="Compensated"))*ISNUMBER(MATCH(Recommendations[Id],H53:AU53,0)))/COUNTIF(H53:AU53,"&lt;&gt;"))</f>
        <v/>
      </c>
      <c r="H53" s="170"/>
      <c r="I53" s="170"/>
      <c r="J53" s="170"/>
      <c r="K53" s="170"/>
      <c r="L53" s="170"/>
      <c r="M53" s="170"/>
      <c r="N53" s="170"/>
      <c r="O53" s="170"/>
      <c r="P53" s="170"/>
      <c r="Q53" s="170"/>
      <c r="R53" s="170"/>
      <c r="S53" s="170"/>
      <c r="T53" s="170"/>
      <c r="U53" s="170"/>
      <c r="V53" s="170"/>
      <c r="W53" s="170"/>
      <c r="X53" s="170"/>
      <c r="Y53" s="170"/>
      <c r="Z53" s="170"/>
      <c r="AA53" s="170"/>
      <c r="AB53" s="170"/>
      <c r="AC53" s="170"/>
      <c r="AD53" s="170"/>
      <c r="AE53" s="170"/>
      <c r="AF53" s="170"/>
      <c r="AG53" s="170"/>
      <c r="AH53" s="170"/>
      <c r="AI53" s="170"/>
      <c r="AJ53" s="170"/>
      <c r="AK53" s="170"/>
      <c r="AL53" s="170"/>
      <c r="AM53" s="170"/>
      <c r="AN53" s="170"/>
      <c r="AO53" s="170"/>
      <c r="AP53" s="170"/>
      <c r="AQ53" s="170"/>
      <c r="AR53" s="170"/>
      <c r="AS53" s="170"/>
      <c r="AT53" s="170"/>
      <c r="AU53" s="184"/>
    </row>
    <row r="54" spans="1:47" ht="60" customHeight="1" x14ac:dyDescent="0.35">
      <c r="A54" s="180" t="s">
        <v>3975</v>
      </c>
      <c r="B54" s="154" t="s">
        <v>4004</v>
      </c>
      <c r="C54" s="155" t="s">
        <v>4012</v>
      </c>
      <c r="D54" s="158" t="s">
        <v>4013</v>
      </c>
      <c r="E54" s="161"/>
      <c r="F54" s="164" t="s">
        <v>21</v>
      </c>
      <c r="G54" s="167" t="str">
        <f>IF(COUNTIF(H54:AU54,"&lt;&gt;")=0,"",SUMPRODUCT(((Recommendations[ImplStatus]="Implemented")+(Recommendations[ImplStatus]="Compensated"))*ISNUMBER(MATCH(Recommendations[Id],H54:AU54,0)))/COUNTIF(H54:AU54,"&lt;&gt;"))</f>
        <v/>
      </c>
      <c r="H54" s="170"/>
      <c r="I54" s="170"/>
      <c r="J54" s="170"/>
      <c r="K54" s="170"/>
      <c r="L54" s="170"/>
      <c r="M54" s="170"/>
      <c r="N54" s="170"/>
      <c r="O54" s="170"/>
      <c r="P54" s="170"/>
      <c r="Q54" s="170"/>
      <c r="R54" s="170"/>
      <c r="S54" s="170"/>
      <c r="T54" s="170"/>
      <c r="U54" s="170"/>
      <c r="V54" s="170"/>
      <c r="W54" s="170"/>
      <c r="X54" s="170"/>
      <c r="Y54" s="170"/>
      <c r="Z54" s="170"/>
      <c r="AA54" s="170"/>
      <c r="AB54" s="170"/>
      <c r="AC54" s="170"/>
      <c r="AD54" s="170"/>
      <c r="AE54" s="170"/>
      <c r="AF54" s="170"/>
      <c r="AG54" s="170"/>
      <c r="AH54" s="170"/>
      <c r="AI54" s="170"/>
      <c r="AJ54" s="170"/>
      <c r="AK54" s="170"/>
      <c r="AL54" s="170"/>
      <c r="AM54" s="170"/>
      <c r="AN54" s="170"/>
      <c r="AO54" s="170"/>
      <c r="AP54" s="170"/>
      <c r="AQ54" s="170"/>
      <c r="AR54" s="170"/>
      <c r="AS54" s="170"/>
      <c r="AT54" s="170"/>
      <c r="AU54" s="184"/>
    </row>
    <row r="55" spans="1:47" ht="60" customHeight="1" x14ac:dyDescent="0.35">
      <c r="A55" s="180" t="s">
        <v>3975</v>
      </c>
      <c r="B55" s="154" t="s">
        <v>4004</v>
      </c>
      <c r="C55" s="155" t="s">
        <v>4014</v>
      </c>
      <c r="D55" s="158" t="s">
        <v>4015</v>
      </c>
      <c r="E55" s="161"/>
      <c r="F55" s="164" t="s">
        <v>21</v>
      </c>
      <c r="G55" s="167" t="str">
        <f>IF(COUNTIF(H55:AU55,"&lt;&gt;")=0,"",SUMPRODUCT(((Recommendations[ImplStatus]="Implemented")+(Recommendations[ImplStatus]="Compensated"))*ISNUMBER(MATCH(Recommendations[Id],H55:AU55,0)))/COUNTIF(H55:AU55,"&lt;&gt;"))</f>
        <v/>
      </c>
      <c r="H55" s="170"/>
      <c r="I55" s="170"/>
      <c r="J55" s="170"/>
      <c r="K55" s="170"/>
      <c r="L55" s="170"/>
      <c r="M55" s="170"/>
      <c r="N55" s="170"/>
      <c r="O55" s="170"/>
      <c r="P55" s="170"/>
      <c r="Q55" s="170"/>
      <c r="R55" s="170"/>
      <c r="S55" s="170"/>
      <c r="T55" s="170"/>
      <c r="U55" s="170"/>
      <c r="V55" s="170"/>
      <c r="W55" s="170"/>
      <c r="X55" s="170"/>
      <c r="Y55" s="170"/>
      <c r="Z55" s="170"/>
      <c r="AA55" s="170"/>
      <c r="AB55" s="170"/>
      <c r="AC55" s="170"/>
      <c r="AD55" s="170"/>
      <c r="AE55" s="170"/>
      <c r="AF55" s="170"/>
      <c r="AG55" s="170"/>
      <c r="AH55" s="170"/>
      <c r="AI55" s="170"/>
      <c r="AJ55" s="170"/>
      <c r="AK55" s="170"/>
      <c r="AL55" s="170"/>
      <c r="AM55" s="170"/>
      <c r="AN55" s="170"/>
      <c r="AO55" s="170"/>
      <c r="AP55" s="170"/>
      <c r="AQ55" s="170"/>
      <c r="AR55" s="170"/>
      <c r="AS55" s="170"/>
      <c r="AT55" s="170"/>
      <c r="AU55" s="184"/>
    </row>
    <row r="56" spans="1:47" ht="60" customHeight="1" outlineLevel="1" x14ac:dyDescent="0.35">
      <c r="A56" s="179" t="s">
        <v>3975</v>
      </c>
      <c r="B56" s="153" t="s">
        <v>2129</v>
      </c>
      <c r="C56" s="151" t="s">
        <v>4016</v>
      </c>
      <c r="D56" s="157"/>
      <c r="E56" s="160" t="s">
        <v>21</v>
      </c>
      <c r="F56" s="163" t="s">
        <v>21</v>
      </c>
      <c r="G56" s="166" t="str">
        <f>IF(COUNTIF(H56:AU56,"&lt;&gt;")=0,"",SUMPRODUCT(((Recommendations[ImplStatus]="Implemented")+(Recommendations[ImplStatus]="Compensated"))*ISNUMBER(MATCH(Recommendations[Id],H56:AU56,0)))/COUNTIF(H56:AU56,"&lt;&gt;"))</f>
        <v/>
      </c>
      <c r="H56" s="169"/>
      <c r="I56" s="169"/>
      <c r="J56" s="169"/>
      <c r="K56" s="169"/>
      <c r="L56" s="169"/>
      <c r="M56" s="169"/>
      <c r="N56" s="169"/>
      <c r="O56" s="169"/>
      <c r="P56" s="169"/>
      <c r="Q56" s="169"/>
      <c r="R56" s="169"/>
      <c r="S56" s="169"/>
      <c r="T56" s="169"/>
      <c r="U56" s="169"/>
      <c r="V56" s="169"/>
      <c r="W56" s="169"/>
      <c r="X56" s="169"/>
      <c r="Y56" s="169"/>
      <c r="Z56" s="169"/>
      <c r="AA56" s="169"/>
      <c r="AB56" s="169"/>
      <c r="AC56" s="169"/>
      <c r="AD56" s="169"/>
      <c r="AE56" s="169"/>
      <c r="AF56" s="169"/>
      <c r="AG56" s="169"/>
      <c r="AH56" s="169"/>
      <c r="AI56" s="169"/>
      <c r="AJ56" s="169"/>
      <c r="AK56" s="169"/>
      <c r="AL56" s="169"/>
      <c r="AM56" s="169"/>
      <c r="AN56" s="169"/>
      <c r="AO56" s="169"/>
      <c r="AP56" s="169"/>
      <c r="AQ56" s="169"/>
      <c r="AR56" s="169"/>
      <c r="AS56" s="169"/>
      <c r="AT56" s="169"/>
      <c r="AU56" s="183"/>
    </row>
    <row r="57" spans="1:47" ht="60" customHeight="1" x14ac:dyDescent="0.35">
      <c r="A57" s="180" t="s">
        <v>3975</v>
      </c>
      <c r="B57" s="154" t="s">
        <v>2129</v>
      </c>
      <c r="C57" s="155" t="s">
        <v>4017</v>
      </c>
      <c r="D57" s="158" t="s">
        <v>4018</v>
      </c>
      <c r="E57" s="161"/>
      <c r="F57" s="164" t="s">
        <v>21</v>
      </c>
      <c r="G57" s="167" t="str">
        <f>IF(COUNTIF(H57:AU57,"&lt;&gt;")=0,"",SUMPRODUCT(((Recommendations[ImplStatus]="Implemented")+(Recommendations[ImplStatus]="Compensated"))*ISNUMBER(MATCH(Recommendations[Id],H57:AU57,0)))/COUNTIF(H57:AU57,"&lt;&gt;"))</f>
        <v/>
      </c>
      <c r="H57" s="170"/>
      <c r="I57" s="170"/>
      <c r="J57" s="170"/>
      <c r="K57" s="170"/>
      <c r="L57" s="170"/>
      <c r="M57" s="170"/>
      <c r="N57" s="170"/>
      <c r="O57" s="170"/>
      <c r="P57" s="170"/>
      <c r="Q57" s="170"/>
      <c r="R57" s="170"/>
      <c r="S57" s="170"/>
      <c r="T57" s="170"/>
      <c r="U57" s="170"/>
      <c r="V57" s="170"/>
      <c r="W57" s="170"/>
      <c r="X57" s="170"/>
      <c r="Y57" s="170"/>
      <c r="Z57" s="170"/>
      <c r="AA57" s="170"/>
      <c r="AB57" s="170"/>
      <c r="AC57" s="170"/>
      <c r="AD57" s="170"/>
      <c r="AE57" s="170"/>
      <c r="AF57" s="170"/>
      <c r="AG57" s="170"/>
      <c r="AH57" s="170"/>
      <c r="AI57" s="170"/>
      <c r="AJ57" s="170"/>
      <c r="AK57" s="170"/>
      <c r="AL57" s="170"/>
      <c r="AM57" s="170"/>
      <c r="AN57" s="170"/>
      <c r="AO57" s="170"/>
      <c r="AP57" s="170"/>
      <c r="AQ57" s="170"/>
      <c r="AR57" s="170"/>
      <c r="AS57" s="170"/>
      <c r="AT57" s="170"/>
      <c r="AU57" s="184"/>
    </row>
    <row r="58" spans="1:47" ht="60" customHeight="1" x14ac:dyDescent="0.35">
      <c r="A58" s="180" t="s">
        <v>3975</v>
      </c>
      <c r="B58" s="154" t="s">
        <v>2129</v>
      </c>
      <c r="C58" s="155" t="s">
        <v>4019</v>
      </c>
      <c r="D58" s="158" t="s">
        <v>4020</v>
      </c>
      <c r="E58" s="161"/>
      <c r="F58" s="164" t="s">
        <v>21</v>
      </c>
      <c r="G58" s="167" t="str">
        <f>IF(COUNTIF(H58:AU58,"&lt;&gt;")=0,"",SUMPRODUCT(((Recommendations[ImplStatus]="Implemented")+(Recommendations[ImplStatus]="Compensated"))*ISNUMBER(MATCH(Recommendations[Id],H58:AU58,0)))/COUNTIF(H58:AU58,"&lt;&gt;"))</f>
        <v/>
      </c>
      <c r="H58" s="170"/>
      <c r="I58" s="170"/>
      <c r="J58" s="170"/>
      <c r="K58" s="170"/>
      <c r="L58" s="170"/>
      <c r="M58" s="170"/>
      <c r="N58" s="170"/>
      <c r="O58" s="170"/>
      <c r="P58" s="170"/>
      <c r="Q58" s="170"/>
      <c r="R58" s="170"/>
      <c r="S58" s="170"/>
      <c r="T58" s="170"/>
      <c r="U58" s="170"/>
      <c r="V58" s="170"/>
      <c r="W58" s="170"/>
      <c r="X58" s="170"/>
      <c r="Y58" s="170"/>
      <c r="Z58" s="170"/>
      <c r="AA58" s="170"/>
      <c r="AB58" s="170"/>
      <c r="AC58" s="170"/>
      <c r="AD58" s="170"/>
      <c r="AE58" s="170"/>
      <c r="AF58" s="170"/>
      <c r="AG58" s="170"/>
      <c r="AH58" s="170"/>
      <c r="AI58" s="170"/>
      <c r="AJ58" s="170"/>
      <c r="AK58" s="170"/>
      <c r="AL58" s="170"/>
      <c r="AM58" s="170"/>
      <c r="AN58" s="170"/>
      <c r="AO58" s="170"/>
      <c r="AP58" s="170"/>
      <c r="AQ58" s="170"/>
      <c r="AR58" s="170"/>
      <c r="AS58" s="170"/>
      <c r="AT58" s="170"/>
      <c r="AU58" s="184"/>
    </row>
    <row r="59" spans="1:47" ht="60" customHeight="1" x14ac:dyDescent="0.35">
      <c r="A59" s="180" t="s">
        <v>3975</v>
      </c>
      <c r="B59" s="154" t="s">
        <v>2129</v>
      </c>
      <c r="C59" s="155" t="s">
        <v>4021</v>
      </c>
      <c r="D59" s="158" t="s">
        <v>4022</v>
      </c>
      <c r="E59" s="161"/>
      <c r="F59" s="164" t="s">
        <v>21</v>
      </c>
      <c r="G59" s="167" t="str">
        <f>IF(COUNTIF(H59:AU59,"&lt;&gt;")=0,"",SUMPRODUCT(((Recommendations[ImplStatus]="Implemented")+(Recommendations[ImplStatus]="Compensated"))*ISNUMBER(MATCH(Recommendations[Id],H59:AU59,0)))/COUNTIF(H59:AU59,"&lt;&gt;"))</f>
        <v/>
      </c>
      <c r="H59" s="170"/>
      <c r="I59" s="170"/>
      <c r="J59" s="170"/>
      <c r="K59" s="170"/>
      <c r="L59" s="170"/>
      <c r="M59" s="170"/>
      <c r="N59" s="170"/>
      <c r="O59" s="170"/>
      <c r="P59" s="170"/>
      <c r="Q59" s="170"/>
      <c r="R59" s="170"/>
      <c r="S59" s="170"/>
      <c r="T59" s="170"/>
      <c r="U59" s="170"/>
      <c r="V59" s="170"/>
      <c r="W59" s="170"/>
      <c r="X59" s="170"/>
      <c r="Y59" s="170"/>
      <c r="Z59" s="170"/>
      <c r="AA59" s="170"/>
      <c r="AB59" s="170"/>
      <c r="AC59" s="170"/>
      <c r="AD59" s="170"/>
      <c r="AE59" s="170"/>
      <c r="AF59" s="170"/>
      <c r="AG59" s="170"/>
      <c r="AH59" s="170"/>
      <c r="AI59" s="170"/>
      <c r="AJ59" s="170"/>
      <c r="AK59" s="170"/>
      <c r="AL59" s="170"/>
      <c r="AM59" s="170"/>
      <c r="AN59" s="170"/>
      <c r="AO59" s="170"/>
      <c r="AP59" s="170"/>
      <c r="AQ59" s="170"/>
      <c r="AR59" s="170"/>
      <c r="AS59" s="170"/>
      <c r="AT59" s="170"/>
      <c r="AU59" s="184"/>
    </row>
    <row r="60" spans="1:47" ht="60" customHeight="1" x14ac:dyDescent="0.35">
      <c r="A60" s="180" t="s">
        <v>3975</v>
      </c>
      <c r="B60" s="154" t="s">
        <v>2129</v>
      </c>
      <c r="C60" s="155" t="s">
        <v>4023</v>
      </c>
      <c r="D60" s="158" t="s">
        <v>4024</v>
      </c>
      <c r="E60" s="161"/>
      <c r="F60" s="164" t="s">
        <v>21</v>
      </c>
      <c r="G60" s="167" t="str">
        <f>IF(COUNTIF(H60:AU60,"&lt;&gt;")=0,"",SUMPRODUCT(((Recommendations[ImplStatus]="Implemented")+(Recommendations[ImplStatus]="Compensated"))*ISNUMBER(MATCH(Recommendations[Id],H60:AU60,0)))/COUNTIF(H60:AU60,"&lt;&gt;"))</f>
        <v/>
      </c>
      <c r="H60" s="170"/>
      <c r="I60" s="170"/>
      <c r="J60" s="170"/>
      <c r="K60" s="170"/>
      <c r="L60" s="170"/>
      <c r="M60" s="170"/>
      <c r="N60" s="170"/>
      <c r="O60" s="170"/>
      <c r="P60" s="170"/>
      <c r="Q60" s="170"/>
      <c r="R60" s="170"/>
      <c r="S60" s="170"/>
      <c r="T60" s="170"/>
      <c r="U60" s="170"/>
      <c r="V60" s="170"/>
      <c r="W60" s="170"/>
      <c r="X60" s="170"/>
      <c r="Y60" s="170"/>
      <c r="Z60" s="170"/>
      <c r="AA60" s="170"/>
      <c r="AB60" s="170"/>
      <c r="AC60" s="170"/>
      <c r="AD60" s="170"/>
      <c r="AE60" s="170"/>
      <c r="AF60" s="170"/>
      <c r="AG60" s="170"/>
      <c r="AH60" s="170"/>
      <c r="AI60" s="170"/>
      <c r="AJ60" s="170"/>
      <c r="AK60" s="170"/>
      <c r="AL60" s="170"/>
      <c r="AM60" s="170"/>
      <c r="AN60" s="170"/>
      <c r="AO60" s="170"/>
      <c r="AP60" s="170"/>
      <c r="AQ60" s="170"/>
      <c r="AR60" s="170"/>
      <c r="AS60" s="170"/>
      <c r="AT60" s="170"/>
      <c r="AU60" s="184"/>
    </row>
    <row r="61" spans="1:47" ht="60" customHeight="1" outlineLevel="1" x14ac:dyDescent="0.35">
      <c r="A61" s="179" t="s">
        <v>3975</v>
      </c>
      <c r="B61" s="153" t="s">
        <v>4025</v>
      </c>
      <c r="C61" s="151" t="s">
        <v>4026</v>
      </c>
      <c r="D61" s="157" t="s">
        <v>4027</v>
      </c>
      <c r="E61" s="160" t="s">
        <v>21</v>
      </c>
      <c r="F61" s="163" t="s">
        <v>21</v>
      </c>
      <c r="G61" s="166" t="str">
        <f>IF(COUNTIF(H61:AU61,"&lt;&gt;")=0,"",SUMPRODUCT(((Recommendations[ImplStatus]="Implemented")+(Recommendations[ImplStatus]="Compensated"))*ISNUMBER(MATCH(Recommendations[Id],H61:AU61,0)))/COUNTIF(H61:AU61,"&lt;&gt;"))</f>
        <v/>
      </c>
      <c r="H61" s="169"/>
      <c r="I61" s="169"/>
      <c r="J61" s="169"/>
      <c r="K61" s="169"/>
      <c r="L61" s="169"/>
      <c r="M61" s="169"/>
      <c r="N61" s="169"/>
      <c r="O61" s="169"/>
      <c r="P61" s="169"/>
      <c r="Q61" s="169"/>
      <c r="R61" s="169"/>
      <c r="S61" s="169"/>
      <c r="T61" s="169"/>
      <c r="U61" s="169"/>
      <c r="V61" s="169"/>
      <c r="W61" s="169"/>
      <c r="X61" s="169"/>
      <c r="Y61" s="169"/>
      <c r="Z61" s="169"/>
      <c r="AA61" s="169"/>
      <c r="AB61" s="169"/>
      <c r="AC61" s="169"/>
      <c r="AD61" s="169"/>
      <c r="AE61" s="169"/>
      <c r="AF61" s="169"/>
      <c r="AG61" s="169"/>
      <c r="AH61" s="169"/>
      <c r="AI61" s="169"/>
      <c r="AJ61" s="169"/>
      <c r="AK61" s="169"/>
      <c r="AL61" s="169"/>
      <c r="AM61" s="169"/>
      <c r="AN61" s="169"/>
      <c r="AO61" s="169"/>
      <c r="AP61" s="169"/>
      <c r="AQ61" s="169"/>
      <c r="AR61" s="169"/>
      <c r="AS61" s="169"/>
      <c r="AT61" s="169"/>
      <c r="AU61" s="183"/>
    </row>
    <row r="62" spans="1:47" ht="60" customHeight="1" x14ac:dyDescent="0.35">
      <c r="A62" s="180" t="s">
        <v>3975</v>
      </c>
      <c r="B62" s="154" t="s">
        <v>4025</v>
      </c>
      <c r="C62" s="155" t="s">
        <v>4028</v>
      </c>
      <c r="D62" s="158" t="s">
        <v>4029</v>
      </c>
      <c r="E62" s="161" t="s">
        <v>4030</v>
      </c>
      <c r="F62" s="164" t="s">
        <v>3867</v>
      </c>
      <c r="G62" s="167" t="str">
        <f>IF(COUNTIF(H62:AU62,"&lt;&gt;")=0,"",SUMPRODUCT(((Recommendations[ImplStatus]="Implemented")+(Recommendations[ImplStatus]="Compensated"))*ISNUMBER(MATCH(Recommendations[Id],H62:AU62,0)))/COUNTIF(H62:AU62,"&lt;&gt;"))</f>
        <v/>
      </c>
      <c r="H62" s="170"/>
      <c r="I62" s="170"/>
      <c r="J62" s="170"/>
      <c r="K62" s="170"/>
      <c r="L62" s="170"/>
      <c r="M62" s="170"/>
      <c r="N62" s="170"/>
      <c r="O62" s="170"/>
      <c r="P62" s="170"/>
      <c r="Q62" s="170"/>
      <c r="R62" s="170"/>
      <c r="S62" s="170"/>
      <c r="T62" s="170"/>
      <c r="U62" s="170"/>
      <c r="V62" s="170"/>
      <c r="W62" s="170"/>
      <c r="X62" s="170"/>
      <c r="Y62" s="170"/>
      <c r="Z62" s="170"/>
      <c r="AA62" s="170"/>
      <c r="AB62" s="170"/>
      <c r="AC62" s="170"/>
      <c r="AD62" s="170"/>
      <c r="AE62" s="170"/>
      <c r="AF62" s="170"/>
      <c r="AG62" s="170"/>
      <c r="AH62" s="170"/>
      <c r="AI62" s="170"/>
      <c r="AJ62" s="170"/>
      <c r="AK62" s="170"/>
      <c r="AL62" s="170"/>
      <c r="AM62" s="170"/>
      <c r="AN62" s="170"/>
      <c r="AO62" s="170"/>
      <c r="AP62" s="170"/>
      <c r="AQ62" s="170"/>
      <c r="AR62" s="170"/>
      <c r="AS62" s="170"/>
      <c r="AT62" s="170"/>
      <c r="AU62" s="184"/>
    </row>
    <row r="63" spans="1:47" ht="60" customHeight="1" x14ac:dyDescent="0.35">
      <c r="A63" s="180" t="s">
        <v>3975</v>
      </c>
      <c r="B63" s="154" t="s">
        <v>4025</v>
      </c>
      <c r="C63" s="155" t="s">
        <v>4031</v>
      </c>
      <c r="D63" s="158" t="s">
        <v>4032</v>
      </c>
      <c r="E63" s="161" t="s">
        <v>4033</v>
      </c>
      <c r="F63" s="164" t="s">
        <v>3871</v>
      </c>
      <c r="G63" s="167" t="str">
        <f>IF(COUNTIF(H63:AU63,"&lt;&gt;")=0,"",SUMPRODUCT(((Recommendations[ImplStatus]="Implemented")+(Recommendations[ImplStatus]="Compensated"))*ISNUMBER(MATCH(Recommendations[Id],H63:AU63,0)))/COUNTIF(H63:AU63,"&lt;&gt;"))</f>
        <v/>
      </c>
      <c r="H63" s="170"/>
      <c r="I63" s="170"/>
      <c r="J63" s="170"/>
      <c r="K63" s="170"/>
      <c r="L63" s="170"/>
      <c r="M63" s="170"/>
      <c r="N63" s="170"/>
      <c r="O63" s="170"/>
      <c r="P63" s="170"/>
      <c r="Q63" s="170"/>
      <c r="R63" s="170"/>
      <c r="S63" s="170"/>
      <c r="T63" s="170"/>
      <c r="U63" s="170"/>
      <c r="V63" s="170"/>
      <c r="W63" s="170"/>
      <c r="X63" s="170"/>
      <c r="Y63" s="170"/>
      <c r="Z63" s="170"/>
      <c r="AA63" s="170"/>
      <c r="AB63" s="170"/>
      <c r="AC63" s="170"/>
      <c r="AD63" s="170"/>
      <c r="AE63" s="170"/>
      <c r="AF63" s="170"/>
      <c r="AG63" s="170"/>
      <c r="AH63" s="170"/>
      <c r="AI63" s="170"/>
      <c r="AJ63" s="170"/>
      <c r="AK63" s="170"/>
      <c r="AL63" s="170"/>
      <c r="AM63" s="170"/>
      <c r="AN63" s="170"/>
      <c r="AO63" s="170"/>
      <c r="AP63" s="170"/>
      <c r="AQ63" s="170"/>
      <c r="AR63" s="170"/>
      <c r="AS63" s="170"/>
      <c r="AT63" s="170"/>
      <c r="AU63" s="184"/>
    </row>
    <row r="64" spans="1:47" ht="60" customHeight="1" x14ac:dyDescent="0.35">
      <c r="A64" s="180" t="s">
        <v>3975</v>
      </c>
      <c r="B64" s="154" t="s">
        <v>4025</v>
      </c>
      <c r="C64" s="155" t="s">
        <v>4034</v>
      </c>
      <c r="D64" s="158" t="s">
        <v>4035</v>
      </c>
      <c r="E64" s="161" t="s">
        <v>4036</v>
      </c>
      <c r="F64" s="164" t="s">
        <v>3867</v>
      </c>
      <c r="G64" s="167" t="str">
        <f>IF(COUNTIF(H64:AU64,"&lt;&gt;")=0,"",SUMPRODUCT(((Recommendations[ImplStatus]="Implemented")+(Recommendations[ImplStatus]="Compensated"))*ISNUMBER(MATCH(Recommendations[Id],H64:AU64,0)))/COUNTIF(H64:AU64,"&lt;&gt;"))</f>
        <v/>
      </c>
      <c r="H64" s="170"/>
      <c r="I64" s="170"/>
      <c r="J64" s="170"/>
      <c r="K64" s="170"/>
      <c r="L64" s="170"/>
      <c r="M64" s="170"/>
      <c r="N64" s="170"/>
      <c r="O64" s="170"/>
      <c r="P64" s="170"/>
      <c r="Q64" s="170"/>
      <c r="R64" s="170"/>
      <c r="S64" s="170"/>
      <c r="T64" s="170"/>
      <c r="U64" s="170"/>
      <c r="V64" s="170"/>
      <c r="W64" s="170"/>
      <c r="X64" s="170"/>
      <c r="Y64" s="170"/>
      <c r="Z64" s="170"/>
      <c r="AA64" s="170"/>
      <c r="AB64" s="170"/>
      <c r="AC64" s="170"/>
      <c r="AD64" s="170"/>
      <c r="AE64" s="170"/>
      <c r="AF64" s="170"/>
      <c r="AG64" s="170"/>
      <c r="AH64" s="170"/>
      <c r="AI64" s="170"/>
      <c r="AJ64" s="170"/>
      <c r="AK64" s="170"/>
      <c r="AL64" s="170"/>
      <c r="AM64" s="170"/>
      <c r="AN64" s="170"/>
      <c r="AO64" s="170"/>
      <c r="AP64" s="170"/>
      <c r="AQ64" s="170"/>
      <c r="AR64" s="170"/>
      <c r="AS64" s="170"/>
      <c r="AT64" s="170"/>
      <c r="AU64" s="184"/>
    </row>
    <row r="65" spans="1:47" ht="60" customHeight="1" x14ac:dyDescent="0.35">
      <c r="A65" s="180" t="s">
        <v>3975</v>
      </c>
      <c r="B65" s="154" t="s">
        <v>4025</v>
      </c>
      <c r="C65" s="155" t="s">
        <v>4037</v>
      </c>
      <c r="D65" s="158" t="s">
        <v>4038</v>
      </c>
      <c r="E65" s="161" t="s">
        <v>4039</v>
      </c>
      <c r="F65" s="164" t="s">
        <v>3867</v>
      </c>
      <c r="G65" s="167" t="str">
        <f>IF(COUNTIF(H65:AU65,"&lt;&gt;")=0,"",SUMPRODUCT(((Recommendations[ImplStatus]="Implemented")+(Recommendations[ImplStatus]="Compensated"))*ISNUMBER(MATCH(Recommendations[Id],H65:AU65,0)))/COUNTIF(H65:AU65,"&lt;&gt;"))</f>
        <v/>
      </c>
      <c r="H65" s="170"/>
      <c r="I65" s="170"/>
      <c r="J65" s="170"/>
      <c r="K65" s="170"/>
      <c r="L65" s="170"/>
      <c r="M65" s="170"/>
      <c r="N65" s="170"/>
      <c r="O65" s="170"/>
      <c r="P65" s="170"/>
      <c r="Q65" s="170"/>
      <c r="R65" s="170"/>
      <c r="S65" s="170"/>
      <c r="T65" s="170"/>
      <c r="U65" s="170"/>
      <c r="V65" s="170"/>
      <c r="W65" s="170"/>
      <c r="X65" s="170"/>
      <c r="Y65" s="170"/>
      <c r="Z65" s="170"/>
      <c r="AA65" s="170"/>
      <c r="AB65" s="170"/>
      <c r="AC65" s="170"/>
      <c r="AD65" s="170"/>
      <c r="AE65" s="170"/>
      <c r="AF65" s="170"/>
      <c r="AG65" s="170"/>
      <c r="AH65" s="170"/>
      <c r="AI65" s="170"/>
      <c r="AJ65" s="170"/>
      <c r="AK65" s="170"/>
      <c r="AL65" s="170"/>
      <c r="AM65" s="170"/>
      <c r="AN65" s="170"/>
      <c r="AO65" s="170"/>
      <c r="AP65" s="170"/>
      <c r="AQ65" s="170"/>
      <c r="AR65" s="170"/>
      <c r="AS65" s="170"/>
      <c r="AT65" s="170"/>
      <c r="AU65" s="184"/>
    </row>
    <row r="66" spans="1:47" ht="60" customHeight="1" outlineLevel="1" x14ac:dyDescent="0.35">
      <c r="A66" s="179" t="s">
        <v>3975</v>
      </c>
      <c r="B66" s="153" t="s">
        <v>3633</v>
      </c>
      <c r="C66" s="151" t="s">
        <v>4040</v>
      </c>
      <c r="D66" s="157" t="s">
        <v>4041</v>
      </c>
      <c r="E66" s="160" t="s">
        <v>21</v>
      </c>
      <c r="F66" s="163" t="s">
        <v>21</v>
      </c>
      <c r="G66" s="166" t="str">
        <f>IF(COUNTIF(H66:AU66,"&lt;&gt;")=0,"",SUMPRODUCT(((Recommendations[ImplStatus]="Implemented")+(Recommendations[ImplStatus]="Compensated"))*ISNUMBER(MATCH(Recommendations[Id],H66:AU66,0)))/COUNTIF(H66:AU66,"&lt;&gt;"))</f>
        <v/>
      </c>
      <c r="H66" s="169"/>
      <c r="I66" s="169"/>
      <c r="J66" s="169"/>
      <c r="K66" s="169"/>
      <c r="L66" s="169"/>
      <c r="M66" s="169"/>
      <c r="N66" s="169"/>
      <c r="O66" s="169"/>
      <c r="P66" s="169"/>
      <c r="Q66" s="169"/>
      <c r="R66" s="169"/>
      <c r="S66" s="169"/>
      <c r="T66" s="169"/>
      <c r="U66" s="169"/>
      <c r="V66" s="169"/>
      <c r="W66" s="169"/>
      <c r="X66" s="169"/>
      <c r="Y66" s="169"/>
      <c r="Z66" s="169"/>
      <c r="AA66" s="169"/>
      <c r="AB66" s="169"/>
      <c r="AC66" s="169"/>
      <c r="AD66" s="169"/>
      <c r="AE66" s="169"/>
      <c r="AF66" s="169"/>
      <c r="AG66" s="169"/>
      <c r="AH66" s="169"/>
      <c r="AI66" s="169"/>
      <c r="AJ66" s="169"/>
      <c r="AK66" s="169"/>
      <c r="AL66" s="169"/>
      <c r="AM66" s="169"/>
      <c r="AN66" s="169"/>
      <c r="AO66" s="169"/>
      <c r="AP66" s="169"/>
      <c r="AQ66" s="169"/>
      <c r="AR66" s="169"/>
      <c r="AS66" s="169"/>
      <c r="AT66" s="169"/>
      <c r="AU66" s="183"/>
    </row>
    <row r="67" spans="1:47" ht="60" customHeight="1" x14ac:dyDescent="0.35">
      <c r="A67" s="180" t="s">
        <v>3975</v>
      </c>
      <c r="B67" s="154" t="s">
        <v>3633</v>
      </c>
      <c r="C67" s="155" t="s">
        <v>4042</v>
      </c>
      <c r="D67" s="158" t="s">
        <v>4043</v>
      </c>
      <c r="E67" s="161" t="s">
        <v>4044</v>
      </c>
      <c r="F67" s="164" t="s">
        <v>3867</v>
      </c>
      <c r="G67" s="167" t="str">
        <f>IF(COUNTIF(H67:AU67,"&lt;&gt;")=0,"",SUMPRODUCT(((Recommendations[ImplStatus]="Implemented")+(Recommendations[ImplStatus]="Compensated"))*ISNUMBER(MATCH(Recommendations[Id],H67:AU67,0)))/COUNTIF(H67:AU67,"&lt;&gt;"))</f>
        <v/>
      </c>
      <c r="H67" s="170"/>
      <c r="I67" s="170"/>
      <c r="J67" s="170"/>
      <c r="K67" s="170"/>
      <c r="L67" s="170"/>
      <c r="M67" s="170"/>
      <c r="N67" s="170"/>
      <c r="O67" s="170"/>
      <c r="P67" s="170"/>
      <c r="Q67" s="170"/>
      <c r="R67" s="170"/>
      <c r="S67" s="170"/>
      <c r="T67" s="170"/>
      <c r="U67" s="170"/>
      <c r="V67" s="170"/>
      <c r="W67" s="170"/>
      <c r="X67" s="170"/>
      <c r="Y67" s="170"/>
      <c r="Z67" s="170"/>
      <c r="AA67" s="170"/>
      <c r="AB67" s="170"/>
      <c r="AC67" s="170"/>
      <c r="AD67" s="170"/>
      <c r="AE67" s="170"/>
      <c r="AF67" s="170"/>
      <c r="AG67" s="170"/>
      <c r="AH67" s="170"/>
      <c r="AI67" s="170"/>
      <c r="AJ67" s="170"/>
      <c r="AK67" s="170"/>
      <c r="AL67" s="170"/>
      <c r="AM67" s="170"/>
      <c r="AN67" s="170"/>
      <c r="AO67" s="170"/>
      <c r="AP67" s="170"/>
      <c r="AQ67" s="170"/>
      <c r="AR67" s="170"/>
      <c r="AS67" s="170"/>
      <c r="AT67" s="170"/>
      <c r="AU67" s="184"/>
    </row>
    <row r="68" spans="1:47" ht="60" customHeight="1" x14ac:dyDescent="0.35">
      <c r="A68" s="180" t="s">
        <v>3975</v>
      </c>
      <c r="B68" s="154" t="s">
        <v>3633</v>
      </c>
      <c r="C68" s="155" t="s">
        <v>4045</v>
      </c>
      <c r="D68" s="158" t="s">
        <v>4046</v>
      </c>
      <c r="E68" s="161" t="s">
        <v>4047</v>
      </c>
      <c r="F68" s="164" t="s">
        <v>3867</v>
      </c>
      <c r="G68" s="167" t="str">
        <f>IF(COUNTIF(H68:AU68,"&lt;&gt;")=0,"",SUMPRODUCT(((Recommendations[ImplStatus]="Implemented")+(Recommendations[ImplStatus]="Compensated"))*ISNUMBER(MATCH(Recommendations[Id],H68:AU68,0)))/COUNTIF(H68:AU68,"&lt;&gt;"))</f>
        <v/>
      </c>
      <c r="H68" s="170"/>
      <c r="I68" s="170"/>
      <c r="J68" s="170"/>
      <c r="K68" s="170"/>
      <c r="L68" s="170"/>
      <c r="M68" s="170"/>
      <c r="N68" s="170"/>
      <c r="O68" s="170"/>
      <c r="P68" s="170"/>
      <c r="Q68" s="170"/>
      <c r="R68" s="170"/>
      <c r="S68" s="170"/>
      <c r="T68" s="170"/>
      <c r="U68" s="170"/>
      <c r="V68" s="170"/>
      <c r="W68" s="170"/>
      <c r="X68" s="170"/>
      <c r="Y68" s="170"/>
      <c r="Z68" s="170"/>
      <c r="AA68" s="170"/>
      <c r="AB68" s="170"/>
      <c r="AC68" s="170"/>
      <c r="AD68" s="170"/>
      <c r="AE68" s="170"/>
      <c r="AF68" s="170"/>
      <c r="AG68" s="170"/>
      <c r="AH68" s="170"/>
      <c r="AI68" s="170"/>
      <c r="AJ68" s="170"/>
      <c r="AK68" s="170"/>
      <c r="AL68" s="170"/>
      <c r="AM68" s="170"/>
      <c r="AN68" s="170"/>
      <c r="AO68" s="170"/>
      <c r="AP68" s="170"/>
      <c r="AQ68" s="170"/>
      <c r="AR68" s="170"/>
      <c r="AS68" s="170"/>
      <c r="AT68" s="170"/>
      <c r="AU68" s="184"/>
    </row>
    <row r="69" spans="1:47" ht="60" customHeight="1" x14ac:dyDescent="0.35">
      <c r="A69" s="180" t="s">
        <v>3975</v>
      </c>
      <c r="B69" s="154" t="s">
        <v>3633</v>
      </c>
      <c r="C69" s="155" t="s">
        <v>4048</v>
      </c>
      <c r="D69" s="158" t="s">
        <v>4049</v>
      </c>
      <c r="E69" s="161" t="s">
        <v>4050</v>
      </c>
      <c r="F69" s="164" t="s">
        <v>3871</v>
      </c>
      <c r="G69" s="167" t="str">
        <f>IF(COUNTIF(H69:AU69,"&lt;&gt;")=0,"",SUMPRODUCT(((Recommendations[ImplStatus]="Implemented")+(Recommendations[ImplStatus]="Compensated"))*ISNUMBER(MATCH(Recommendations[Id],H69:AU69,0)))/COUNTIF(H69:AU69,"&lt;&gt;"))</f>
        <v/>
      </c>
      <c r="H69" s="170"/>
      <c r="I69" s="170"/>
      <c r="J69" s="170"/>
      <c r="K69" s="170"/>
      <c r="L69" s="170"/>
      <c r="M69" s="170"/>
      <c r="N69" s="170"/>
      <c r="O69" s="170"/>
      <c r="P69" s="170"/>
      <c r="Q69" s="170"/>
      <c r="R69" s="170"/>
      <c r="S69" s="170"/>
      <c r="T69" s="170"/>
      <c r="U69" s="170"/>
      <c r="V69" s="170"/>
      <c r="W69" s="170"/>
      <c r="X69" s="170"/>
      <c r="Y69" s="170"/>
      <c r="Z69" s="170"/>
      <c r="AA69" s="170"/>
      <c r="AB69" s="170"/>
      <c r="AC69" s="170"/>
      <c r="AD69" s="170"/>
      <c r="AE69" s="170"/>
      <c r="AF69" s="170"/>
      <c r="AG69" s="170"/>
      <c r="AH69" s="170"/>
      <c r="AI69" s="170"/>
      <c r="AJ69" s="170"/>
      <c r="AK69" s="170"/>
      <c r="AL69" s="170"/>
      <c r="AM69" s="170"/>
      <c r="AN69" s="170"/>
      <c r="AO69" s="170"/>
      <c r="AP69" s="170"/>
      <c r="AQ69" s="170"/>
      <c r="AR69" s="170"/>
      <c r="AS69" s="170"/>
      <c r="AT69" s="170"/>
      <c r="AU69" s="184"/>
    </row>
    <row r="70" spans="1:47" ht="60" customHeight="1" x14ac:dyDescent="0.35">
      <c r="A70" s="180" t="s">
        <v>3975</v>
      </c>
      <c r="B70" s="154" t="s">
        <v>3633</v>
      </c>
      <c r="C70" s="155" t="s">
        <v>4051</v>
      </c>
      <c r="D70" s="158" t="s">
        <v>4052</v>
      </c>
      <c r="E70" s="161" t="s">
        <v>4053</v>
      </c>
      <c r="F70" s="164" t="s">
        <v>3867</v>
      </c>
      <c r="G70" s="167" t="str">
        <f>IF(COUNTIF(H70:AU70,"&lt;&gt;")=0,"",SUMPRODUCT(((Recommendations[ImplStatus]="Implemented")+(Recommendations[ImplStatus]="Compensated"))*ISNUMBER(MATCH(Recommendations[Id],H70:AU70,0)))/COUNTIF(H70:AU70,"&lt;&gt;"))</f>
        <v/>
      </c>
      <c r="H70" s="170"/>
      <c r="I70" s="170"/>
      <c r="J70" s="170"/>
      <c r="K70" s="170"/>
      <c r="L70" s="170"/>
      <c r="M70" s="170"/>
      <c r="N70" s="170"/>
      <c r="O70" s="170"/>
      <c r="P70" s="170"/>
      <c r="Q70" s="170"/>
      <c r="R70" s="170"/>
      <c r="S70" s="170"/>
      <c r="T70" s="170"/>
      <c r="U70" s="170"/>
      <c r="V70" s="170"/>
      <c r="W70" s="170"/>
      <c r="X70" s="170"/>
      <c r="Y70" s="170"/>
      <c r="Z70" s="170"/>
      <c r="AA70" s="170"/>
      <c r="AB70" s="170"/>
      <c r="AC70" s="170"/>
      <c r="AD70" s="170"/>
      <c r="AE70" s="170"/>
      <c r="AF70" s="170"/>
      <c r="AG70" s="170"/>
      <c r="AH70" s="170"/>
      <c r="AI70" s="170"/>
      <c r="AJ70" s="170"/>
      <c r="AK70" s="170"/>
      <c r="AL70" s="170"/>
      <c r="AM70" s="170"/>
      <c r="AN70" s="170"/>
      <c r="AO70" s="170"/>
      <c r="AP70" s="170"/>
      <c r="AQ70" s="170"/>
      <c r="AR70" s="170"/>
      <c r="AS70" s="170"/>
      <c r="AT70" s="170"/>
      <c r="AU70" s="184"/>
    </row>
    <row r="71" spans="1:47" ht="60" customHeight="1" x14ac:dyDescent="0.35">
      <c r="A71" s="180" t="s">
        <v>3975</v>
      </c>
      <c r="B71" s="154" t="s">
        <v>3633</v>
      </c>
      <c r="C71" s="155" t="s">
        <v>4054</v>
      </c>
      <c r="D71" s="158" t="s">
        <v>4055</v>
      </c>
      <c r="E71" s="161" t="s">
        <v>4056</v>
      </c>
      <c r="F71" s="164" t="s">
        <v>3867</v>
      </c>
      <c r="G71" s="167" t="str">
        <f>IF(COUNTIF(H71:AU71,"&lt;&gt;")=0,"",SUMPRODUCT(((Recommendations[ImplStatus]="Implemented")+(Recommendations[ImplStatus]="Compensated"))*ISNUMBER(MATCH(Recommendations[Id],H71:AU71,0)))/COUNTIF(H71:AU71,"&lt;&gt;"))</f>
        <v/>
      </c>
      <c r="H71" s="170"/>
      <c r="I71" s="170"/>
      <c r="J71" s="170"/>
      <c r="K71" s="170"/>
      <c r="L71" s="170"/>
      <c r="M71" s="170"/>
      <c r="N71" s="170"/>
      <c r="O71" s="170"/>
      <c r="P71" s="170"/>
      <c r="Q71" s="170"/>
      <c r="R71" s="170"/>
      <c r="S71" s="170"/>
      <c r="T71" s="170"/>
      <c r="U71" s="170"/>
      <c r="V71" s="170"/>
      <c r="W71" s="170"/>
      <c r="X71" s="170"/>
      <c r="Y71" s="170"/>
      <c r="Z71" s="170"/>
      <c r="AA71" s="170"/>
      <c r="AB71" s="170"/>
      <c r="AC71" s="170"/>
      <c r="AD71" s="170"/>
      <c r="AE71" s="170"/>
      <c r="AF71" s="170"/>
      <c r="AG71" s="170"/>
      <c r="AH71" s="170"/>
      <c r="AI71" s="170"/>
      <c r="AJ71" s="170"/>
      <c r="AK71" s="170"/>
      <c r="AL71" s="170"/>
      <c r="AM71" s="170"/>
      <c r="AN71" s="170"/>
      <c r="AO71" s="170"/>
      <c r="AP71" s="170"/>
      <c r="AQ71" s="170"/>
      <c r="AR71" s="170"/>
      <c r="AS71" s="170"/>
      <c r="AT71" s="170"/>
      <c r="AU71" s="184"/>
    </row>
    <row r="72" spans="1:47" ht="60" customHeight="1" x14ac:dyDescent="0.35">
      <c r="A72" s="180" t="s">
        <v>3975</v>
      </c>
      <c r="B72" s="154" t="s">
        <v>3633</v>
      </c>
      <c r="C72" s="155" t="s">
        <v>4057</v>
      </c>
      <c r="D72" s="158" t="s">
        <v>4058</v>
      </c>
      <c r="E72" s="161" t="s">
        <v>4059</v>
      </c>
      <c r="F72" s="164" t="s">
        <v>3867</v>
      </c>
      <c r="G72" s="167" t="str">
        <f>IF(COUNTIF(H72:AU72,"&lt;&gt;")=0,"",SUMPRODUCT(((Recommendations[ImplStatus]="Implemented")+(Recommendations[ImplStatus]="Compensated"))*ISNUMBER(MATCH(Recommendations[Id],H72:AU72,0)))/COUNTIF(H72:AU72,"&lt;&gt;"))</f>
        <v/>
      </c>
      <c r="H72" s="170"/>
      <c r="I72" s="170"/>
      <c r="J72" s="170"/>
      <c r="K72" s="170"/>
      <c r="L72" s="170"/>
      <c r="M72" s="170"/>
      <c r="N72" s="170"/>
      <c r="O72" s="170"/>
      <c r="P72" s="170"/>
      <c r="Q72" s="170"/>
      <c r="R72" s="170"/>
      <c r="S72" s="170"/>
      <c r="T72" s="170"/>
      <c r="U72" s="170"/>
      <c r="V72" s="170"/>
      <c r="W72" s="170"/>
      <c r="X72" s="170"/>
      <c r="Y72" s="170"/>
      <c r="Z72" s="170"/>
      <c r="AA72" s="170"/>
      <c r="AB72" s="170"/>
      <c r="AC72" s="170"/>
      <c r="AD72" s="170"/>
      <c r="AE72" s="170"/>
      <c r="AF72" s="170"/>
      <c r="AG72" s="170"/>
      <c r="AH72" s="170"/>
      <c r="AI72" s="170"/>
      <c r="AJ72" s="170"/>
      <c r="AK72" s="170"/>
      <c r="AL72" s="170"/>
      <c r="AM72" s="170"/>
      <c r="AN72" s="170"/>
      <c r="AO72" s="170"/>
      <c r="AP72" s="170"/>
      <c r="AQ72" s="170"/>
      <c r="AR72" s="170"/>
      <c r="AS72" s="170"/>
      <c r="AT72" s="170"/>
      <c r="AU72" s="184"/>
    </row>
    <row r="73" spans="1:47" ht="60" customHeight="1" x14ac:dyDescent="0.35">
      <c r="A73" s="180" t="s">
        <v>3975</v>
      </c>
      <c r="B73" s="154" t="s">
        <v>3633</v>
      </c>
      <c r="C73" s="155" t="s">
        <v>4060</v>
      </c>
      <c r="D73" s="158" t="s">
        <v>4061</v>
      </c>
      <c r="E73" s="161" t="s">
        <v>4062</v>
      </c>
      <c r="F73" s="164" t="s">
        <v>21</v>
      </c>
      <c r="G73" s="167" t="str">
        <f>IF(COUNTIF(H73:AU73,"&lt;&gt;")=0,"",SUMPRODUCT(((Recommendations[ImplStatus]="Implemented")+(Recommendations[ImplStatus]="Compensated"))*ISNUMBER(MATCH(Recommendations[Id],H73:AU73,0)))/COUNTIF(H73:AU73,"&lt;&gt;"))</f>
        <v/>
      </c>
      <c r="H73" s="170"/>
      <c r="I73" s="170"/>
      <c r="J73" s="170"/>
      <c r="K73" s="170"/>
      <c r="L73" s="170"/>
      <c r="M73" s="170"/>
      <c r="N73" s="170"/>
      <c r="O73" s="170"/>
      <c r="P73" s="170"/>
      <c r="Q73" s="170"/>
      <c r="R73" s="170"/>
      <c r="S73" s="170"/>
      <c r="T73" s="170"/>
      <c r="U73" s="170"/>
      <c r="V73" s="170"/>
      <c r="W73" s="170"/>
      <c r="X73" s="170"/>
      <c r="Y73" s="170"/>
      <c r="Z73" s="170"/>
      <c r="AA73" s="170"/>
      <c r="AB73" s="170"/>
      <c r="AC73" s="170"/>
      <c r="AD73" s="170"/>
      <c r="AE73" s="170"/>
      <c r="AF73" s="170"/>
      <c r="AG73" s="170"/>
      <c r="AH73" s="170"/>
      <c r="AI73" s="170"/>
      <c r="AJ73" s="170"/>
      <c r="AK73" s="170"/>
      <c r="AL73" s="170"/>
      <c r="AM73" s="170"/>
      <c r="AN73" s="170"/>
      <c r="AO73" s="170"/>
      <c r="AP73" s="170"/>
      <c r="AQ73" s="170"/>
      <c r="AR73" s="170"/>
      <c r="AS73" s="170"/>
      <c r="AT73" s="170"/>
      <c r="AU73" s="184"/>
    </row>
    <row r="74" spans="1:47" ht="60" customHeight="1" x14ac:dyDescent="0.35">
      <c r="A74" s="180" t="s">
        <v>3975</v>
      </c>
      <c r="B74" s="154" t="s">
        <v>3633</v>
      </c>
      <c r="C74" s="155" t="s">
        <v>4063</v>
      </c>
      <c r="D74" s="158" t="s">
        <v>4064</v>
      </c>
      <c r="E74" s="161" t="s">
        <v>4065</v>
      </c>
      <c r="F74" s="164" t="s">
        <v>3871</v>
      </c>
      <c r="G74" s="167" t="str">
        <f>IF(COUNTIF(H74:AU74,"&lt;&gt;")=0,"",SUMPRODUCT(((Recommendations[ImplStatus]="Implemented")+(Recommendations[ImplStatus]="Compensated"))*ISNUMBER(MATCH(Recommendations[Id],H74:AU74,0)))/COUNTIF(H74:AU74,"&lt;&gt;"))</f>
        <v/>
      </c>
      <c r="H74" s="170"/>
      <c r="I74" s="170"/>
      <c r="J74" s="170"/>
      <c r="K74" s="170"/>
      <c r="L74" s="170"/>
      <c r="M74" s="170"/>
      <c r="N74" s="170"/>
      <c r="O74" s="170"/>
      <c r="P74" s="170"/>
      <c r="Q74" s="170"/>
      <c r="R74" s="170"/>
      <c r="S74" s="170"/>
      <c r="T74" s="170"/>
      <c r="U74" s="170"/>
      <c r="V74" s="170"/>
      <c r="W74" s="170"/>
      <c r="X74" s="170"/>
      <c r="Y74" s="170"/>
      <c r="Z74" s="170"/>
      <c r="AA74" s="170"/>
      <c r="AB74" s="170"/>
      <c r="AC74" s="170"/>
      <c r="AD74" s="170"/>
      <c r="AE74" s="170"/>
      <c r="AF74" s="170"/>
      <c r="AG74" s="170"/>
      <c r="AH74" s="170"/>
      <c r="AI74" s="170"/>
      <c r="AJ74" s="170"/>
      <c r="AK74" s="170"/>
      <c r="AL74" s="170"/>
      <c r="AM74" s="170"/>
      <c r="AN74" s="170"/>
      <c r="AO74" s="170"/>
      <c r="AP74" s="170"/>
      <c r="AQ74" s="170"/>
      <c r="AR74" s="170"/>
      <c r="AS74" s="170"/>
      <c r="AT74" s="170"/>
      <c r="AU74" s="184"/>
    </row>
    <row r="75" spans="1:47" ht="60" customHeight="1" x14ac:dyDescent="0.35">
      <c r="A75" s="180" t="s">
        <v>3975</v>
      </c>
      <c r="B75" s="154" t="s">
        <v>3633</v>
      </c>
      <c r="C75" s="155" t="s">
        <v>4066</v>
      </c>
      <c r="D75" s="158" t="s">
        <v>4067</v>
      </c>
      <c r="E75" s="161" t="s">
        <v>4068</v>
      </c>
      <c r="F75" s="164" t="s">
        <v>3881</v>
      </c>
      <c r="G75" s="167" t="str">
        <f>IF(COUNTIF(H75:AU75,"&lt;&gt;")=0,"",SUMPRODUCT(((Recommendations[ImplStatus]="Implemented")+(Recommendations[ImplStatus]="Compensated"))*ISNUMBER(MATCH(Recommendations[Id],H75:AU75,0)))/COUNTIF(H75:AU75,"&lt;&gt;"))</f>
        <v/>
      </c>
      <c r="H75" s="170"/>
      <c r="I75" s="170"/>
      <c r="J75" s="170"/>
      <c r="K75" s="170"/>
      <c r="L75" s="170"/>
      <c r="M75" s="170"/>
      <c r="N75" s="170"/>
      <c r="O75" s="170"/>
      <c r="P75" s="170"/>
      <c r="Q75" s="170"/>
      <c r="R75" s="170"/>
      <c r="S75" s="170"/>
      <c r="T75" s="170"/>
      <c r="U75" s="170"/>
      <c r="V75" s="170"/>
      <c r="W75" s="170"/>
      <c r="X75" s="170"/>
      <c r="Y75" s="170"/>
      <c r="Z75" s="170"/>
      <c r="AA75" s="170"/>
      <c r="AB75" s="170"/>
      <c r="AC75" s="170"/>
      <c r="AD75" s="170"/>
      <c r="AE75" s="170"/>
      <c r="AF75" s="170"/>
      <c r="AG75" s="170"/>
      <c r="AH75" s="170"/>
      <c r="AI75" s="170"/>
      <c r="AJ75" s="170"/>
      <c r="AK75" s="170"/>
      <c r="AL75" s="170"/>
      <c r="AM75" s="170"/>
      <c r="AN75" s="170"/>
      <c r="AO75" s="170"/>
      <c r="AP75" s="170"/>
      <c r="AQ75" s="170"/>
      <c r="AR75" s="170"/>
      <c r="AS75" s="170"/>
      <c r="AT75" s="170"/>
      <c r="AU75" s="184"/>
    </row>
    <row r="76" spans="1:47" ht="60" customHeight="1" x14ac:dyDescent="0.35">
      <c r="A76" s="180" t="s">
        <v>3975</v>
      </c>
      <c r="B76" s="154" t="s">
        <v>3633</v>
      </c>
      <c r="C76" s="155" t="s">
        <v>4069</v>
      </c>
      <c r="D76" s="158" t="s">
        <v>4070</v>
      </c>
      <c r="E76" s="161" t="s">
        <v>4071</v>
      </c>
      <c r="F76" s="164" t="s">
        <v>21</v>
      </c>
      <c r="G76" s="167" t="str">
        <f>IF(COUNTIF(H76:AU76,"&lt;&gt;")=0,"",SUMPRODUCT(((Recommendations[ImplStatus]="Implemented")+(Recommendations[ImplStatus]="Compensated"))*ISNUMBER(MATCH(Recommendations[Id],H76:AU76,0)))/COUNTIF(H76:AU76,"&lt;&gt;"))</f>
        <v/>
      </c>
      <c r="H76" s="170"/>
      <c r="I76" s="170"/>
      <c r="J76" s="170"/>
      <c r="K76" s="170"/>
      <c r="L76" s="170"/>
      <c r="M76" s="170"/>
      <c r="N76" s="170"/>
      <c r="O76" s="170"/>
      <c r="P76" s="170"/>
      <c r="Q76" s="170"/>
      <c r="R76" s="170"/>
      <c r="S76" s="170"/>
      <c r="T76" s="170"/>
      <c r="U76" s="170"/>
      <c r="V76" s="170"/>
      <c r="W76" s="170"/>
      <c r="X76" s="170"/>
      <c r="Y76" s="170"/>
      <c r="Z76" s="170"/>
      <c r="AA76" s="170"/>
      <c r="AB76" s="170"/>
      <c r="AC76" s="170"/>
      <c r="AD76" s="170"/>
      <c r="AE76" s="170"/>
      <c r="AF76" s="170"/>
      <c r="AG76" s="170"/>
      <c r="AH76" s="170"/>
      <c r="AI76" s="170"/>
      <c r="AJ76" s="170"/>
      <c r="AK76" s="170"/>
      <c r="AL76" s="170"/>
      <c r="AM76" s="170"/>
      <c r="AN76" s="170"/>
      <c r="AO76" s="170"/>
      <c r="AP76" s="170"/>
      <c r="AQ76" s="170"/>
      <c r="AR76" s="170"/>
      <c r="AS76" s="170"/>
      <c r="AT76" s="170"/>
      <c r="AU76" s="184"/>
    </row>
    <row r="77" spans="1:47" ht="60" customHeight="1" outlineLevel="1" x14ac:dyDescent="0.35">
      <c r="A77" s="179" t="s">
        <v>3975</v>
      </c>
      <c r="B77" s="153" t="s">
        <v>3903</v>
      </c>
      <c r="C77" s="151" t="s">
        <v>4072</v>
      </c>
      <c r="D77" s="157"/>
      <c r="E77" s="160" t="s">
        <v>21</v>
      </c>
      <c r="F77" s="163" t="s">
        <v>21</v>
      </c>
      <c r="G77" s="166" t="str">
        <f>IF(COUNTIF(H77:AU77,"&lt;&gt;")=0,"",SUMPRODUCT(((Recommendations[ImplStatus]="Implemented")+(Recommendations[ImplStatus]="Compensated"))*ISNUMBER(MATCH(Recommendations[Id],H77:AU77,0)))/COUNTIF(H77:AU77,"&lt;&gt;"))</f>
        <v/>
      </c>
      <c r="H77" s="169"/>
      <c r="I77" s="169"/>
      <c r="J77" s="169"/>
      <c r="K77" s="169"/>
      <c r="L77" s="169"/>
      <c r="M77" s="169"/>
      <c r="N77" s="169"/>
      <c r="O77" s="169"/>
      <c r="P77" s="169"/>
      <c r="Q77" s="169"/>
      <c r="R77" s="169"/>
      <c r="S77" s="169"/>
      <c r="T77" s="169"/>
      <c r="U77" s="169"/>
      <c r="V77" s="169"/>
      <c r="W77" s="169"/>
      <c r="X77" s="169"/>
      <c r="Y77" s="169"/>
      <c r="Z77" s="169"/>
      <c r="AA77" s="169"/>
      <c r="AB77" s="169"/>
      <c r="AC77" s="169"/>
      <c r="AD77" s="169"/>
      <c r="AE77" s="169"/>
      <c r="AF77" s="169"/>
      <c r="AG77" s="169"/>
      <c r="AH77" s="169"/>
      <c r="AI77" s="169"/>
      <c r="AJ77" s="169"/>
      <c r="AK77" s="169"/>
      <c r="AL77" s="169"/>
      <c r="AM77" s="169"/>
      <c r="AN77" s="169"/>
      <c r="AO77" s="169"/>
      <c r="AP77" s="169"/>
      <c r="AQ77" s="169"/>
      <c r="AR77" s="169"/>
      <c r="AS77" s="169"/>
      <c r="AT77" s="169"/>
      <c r="AU77" s="183"/>
    </row>
    <row r="78" spans="1:47" ht="60" customHeight="1" x14ac:dyDescent="0.35">
      <c r="A78" s="180" t="s">
        <v>3975</v>
      </c>
      <c r="B78" s="154" t="s">
        <v>3903</v>
      </c>
      <c r="C78" s="155" t="s">
        <v>4073</v>
      </c>
      <c r="D78" s="158" t="s">
        <v>4074</v>
      </c>
      <c r="E78" s="161"/>
      <c r="F78" s="164" t="s">
        <v>21</v>
      </c>
      <c r="G78" s="167" t="str">
        <f>IF(COUNTIF(H78:AU78,"&lt;&gt;")=0,"",SUMPRODUCT(((Recommendations[ImplStatus]="Implemented")+(Recommendations[ImplStatus]="Compensated"))*ISNUMBER(MATCH(Recommendations[Id],H78:AU78,0)))/COUNTIF(H78:AU78,"&lt;&gt;"))</f>
        <v/>
      </c>
      <c r="H78" s="170"/>
      <c r="I78" s="170"/>
      <c r="J78" s="170"/>
      <c r="K78" s="170"/>
      <c r="L78" s="170"/>
      <c r="M78" s="170"/>
      <c r="N78" s="170"/>
      <c r="O78" s="170"/>
      <c r="P78" s="170"/>
      <c r="Q78" s="170"/>
      <c r="R78" s="170"/>
      <c r="S78" s="170"/>
      <c r="T78" s="170"/>
      <c r="U78" s="170"/>
      <c r="V78" s="170"/>
      <c r="W78" s="170"/>
      <c r="X78" s="170"/>
      <c r="Y78" s="170"/>
      <c r="Z78" s="170"/>
      <c r="AA78" s="170"/>
      <c r="AB78" s="170"/>
      <c r="AC78" s="170"/>
      <c r="AD78" s="170"/>
      <c r="AE78" s="170"/>
      <c r="AF78" s="170"/>
      <c r="AG78" s="170"/>
      <c r="AH78" s="170"/>
      <c r="AI78" s="170"/>
      <c r="AJ78" s="170"/>
      <c r="AK78" s="170"/>
      <c r="AL78" s="170"/>
      <c r="AM78" s="170"/>
      <c r="AN78" s="170"/>
      <c r="AO78" s="170"/>
      <c r="AP78" s="170"/>
      <c r="AQ78" s="170"/>
      <c r="AR78" s="170"/>
      <c r="AS78" s="170"/>
      <c r="AT78" s="170"/>
      <c r="AU78" s="184"/>
    </row>
    <row r="79" spans="1:47" ht="60" customHeight="1" x14ac:dyDescent="0.35">
      <c r="A79" s="180" t="s">
        <v>3975</v>
      </c>
      <c r="B79" s="154" t="s">
        <v>3903</v>
      </c>
      <c r="C79" s="155" t="s">
        <v>4075</v>
      </c>
      <c r="D79" s="158" t="s">
        <v>4076</v>
      </c>
      <c r="E79" s="161"/>
      <c r="F79" s="164" t="s">
        <v>21</v>
      </c>
      <c r="G79" s="167" t="str">
        <f>IF(COUNTIF(H79:AU79,"&lt;&gt;")=0,"",SUMPRODUCT(((Recommendations[ImplStatus]="Implemented")+(Recommendations[ImplStatus]="Compensated"))*ISNUMBER(MATCH(Recommendations[Id],H79:AU79,0)))/COUNTIF(H79:AU79,"&lt;&gt;"))</f>
        <v/>
      </c>
      <c r="H79" s="170"/>
      <c r="I79" s="170"/>
      <c r="J79" s="170"/>
      <c r="K79" s="170"/>
      <c r="L79" s="170"/>
      <c r="M79" s="170"/>
      <c r="N79" s="170"/>
      <c r="O79" s="170"/>
      <c r="P79" s="170"/>
      <c r="Q79" s="170"/>
      <c r="R79" s="170"/>
      <c r="S79" s="170"/>
      <c r="T79" s="170"/>
      <c r="U79" s="170"/>
      <c r="V79" s="170"/>
      <c r="W79" s="170"/>
      <c r="X79" s="170"/>
      <c r="Y79" s="170"/>
      <c r="Z79" s="170"/>
      <c r="AA79" s="170"/>
      <c r="AB79" s="170"/>
      <c r="AC79" s="170"/>
      <c r="AD79" s="170"/>
      <c r="AE79" s="170"/>
      <c r="AF79" s="170"/>
      <c r="AG79" s="170"/>
      <c r="AH79" s="170"/>
      <c r="AI79" s="170"/>
      <c r="AJ79" s="170"/>
      <c r="AK79" s="170"/>
      <c r="AL79" s="170"/>
      <c r="AM79" s="170"/>
      <c r="AN79" s="170"/>
      <c r="AO79" s="170"/>
      <c r="AP79" s="170"/>
      <c r="AQ79" s="170"/>
      <c r="AR79" s="170"/>
      <c r="AS79" s="170"/>
      <c r="AT79" s="170"/>
      <c r="AU79" s="184"/>
    </row>
    <row r="80" spans="1:47" ht="60" customHeight="1" x14ac:dyDescent="0.35">
      <c r="A80" s="180" t="s">
        <v>3975</v>
      </c>
      <c r="B80" s="154" t="s">
        <v>3903</v>
      </c>
      <c r="C80" s="155" t="s">
        <v>4077</v>
      </c>
      <c r="D80" s="158" t="s">
        <v>4078</v>
      </c>
      <c r="E80" s="161"/>
      <c r="F80" s="164" t="s">
        <v>21</v>
      </c>
      <c r="G80" s="167" t="str">
        <f>IF(COUNTIF(H80:AU80,"&lt;&gt;")=0,"",SUMPRODUCT(((Recommendations[ImplStatus]="Implemented")+(Recommendations[ImplStatus]="Compensated"))*ISNUMBER(MATCH(Recommendations[Id],H80:AU80,0)))/COUNTIF(H80:AU80,"&lt;&gt;"))</f>
        <v/>
      </c>
      <c r="H80" s="170"/>
      <c r="I80" s="170"/>
      <c r="J80" s="170"/>
      <c r="K80" s="170"/>
      <c r="L80" s="170"/>
      <c r="M80" s="170"/>
      <c r="N80" s="170"/>
      <c r="O80" s="170"/>
      <c r="P80" s="170"/>
      <c r="Q80" s="170"/>
      <c r="R80" s="170"/>
      <c r="S80" s="170"/>
      <c r="T80" s="170"/>
      <c r="U80" s="170"/>
      <c r="V80" s="170"/>
      <c r="W80" s="170"/>
      <c r="X80" s="170"/>
      <c r="Y80" s="170"/>
      <c r="Z80" s="170"/>
      <c r="AA80" s="170"/>
      <c r="AB80" s="170"/>
      <c r="AC80" s="170"/>
      <c r="AD80" s="170"/>
      <c r="AE80" s="170"/>
      <c r="AF80" s="170"/>
      <c r="AG80" s="170"/>
      <c r="AH80" s="170"/>
      <c r="AI80" s="170"/>
      <c r="AJ80" s="170"/>
      <c r="AK80" s="170"/>
      <c r="AL80" s="170"/>
      <c r="AM80" s="170"/>
      <c r="AN80" s="170"/>
      <c r="AO80" s="170"/>
      <c r="AP80" s="170"/>
      <c r="AQ80" s="170"/>
      <c r="AR80" s="170"/>
      <c r="AS80" s="170"/>
      <c r="AT80" s="170"/>
      <c r="AU80" s="184"/>
    </row>
    <row r="81" spans="1:47" ht="60" customHeight="1" outlineLevel="1" x14ac:dyDescent="0.35">
      <c r="A81" s="179" t="s">
        <v>3975</v>
      </c>
      <c r="B81" s="153" t="s">
        <v>3831</v>
      </c>
      <c r="C81" s="151" t="s">
        <v>4079</v>
      </c>
      <c r="D81" s="157"/>
      <c r="E81" s="160" t="s">
        <v>21</v>
      </c>
      <c r="F81" s="163" t="s">
        <v>21</v>
      </c>
      <c r="G81" s="166" t="str">
        <f>IF(COUNTIF(H81:AU81,"&lt;&gt;")=0,"",SUMPRODUCT(((Recommendations[ImplStatus]="Implemented")+(Recommendations[ImplStatus]="Compensated"))*ISNUMBER(MATCH(Recommendations[Id],H81:AU81,0)))/COUNTIF(H81:AU81,"&lt;&gt;"))</f>
        <v/>
      </c>
      <c r="H81" s="169"/>
      <c r="I81" s="169"/>
      <c r="J81" s="169"/>
      <c r="K81" s="169"/>
      <c r="L81" s="169"/>
      <c r="M81" s="169"/>
      <c r="N81" s="169"/>
      <c r="O81" s="169"/>
      <c r="P81" s="169"/>
      <c r="Q81" s="169"/>
      <c r="R81" s="169"/>
      <c r="S81" s="169"/>
      <c r="T81" s="169"/>
      <c r="U81" s="169"/>
      <c r="V81" s="169"/>
      <c r="W81" s="169"/>
      <c r="X81" s="169"/>
      <c r="Y81" s="169"/>
      <c r="Z81" s="169"/>
      <c r="AA81" s="169"/>
      <c r="AB81" s="169"/>
      <c r="AC81" s="169"/>
      <c r="AD81" s="169"/>
      <c r="AE81" s="169"/>
      <c r="AF81" s="169"/>
      <c r="AG81" s="169"/>
      <c r="AH81" s="169"/>
      <c r="AI81" s="169"/>
      <c r="AJ81" s="169"/>
      <c r="AK81" s="169"/>
      <c r="AL81" s="169"/>
      <c r="AM81" s="169"/>
      <c r="AN81" s="169"/>
      <c r="AO81" s="169"/>
      <c r="AP81" s="169"/>
      <c r="AQ81" s="169"/>
      <c r="AR81" s="169"/>
      <c r="AS81" s="169"/>
      <c r="AT81" s="169"/>
      <c r="AU81" s="183"/>
    </row>
    <row r="82" spans="1:47" ht="60" customHeight="1" x14ac:dyDescent="0.35">
      <c r="A82" s="180" t="s">
        <v>3975</v>
      </c>
      <c r="B82" s="154" t="s">
        <v>3831</v>
      </c>
      <c r="C82" s="155" t="s">
        <v>4080</v>
      </c>
      <c r="D82" s="158" t="s">
        <v>4081</v>
      </c>
      <c r="E82" s="161"/>
      <c r="F82" s="164" t="s">
        <v>21</v>
      </c>
      <c r="G82" s="167" t="str">
        <f>IF(COUNTIF(H82:AU82,"&lt;&gt;")=0,"",SUMPRODUCT(((Recommendations[ImplStatus]="Implemented")+(Recommendations[ImplStatus]="Compensated"))*ISNUMBER(MATCH(Recommendations[Id],H82:AU82,0)))/COUNTIF(H82:AU82,"&lt;&gt;"))</f>
        <v/>
      </c>
      <c r="H82" s="170"/>
      <c r="I82" s="170"/>
      <c r="J82" s="170"/>
      <c r="K82" s="170"/>
      <c r="L82" s="170"/>
      <c r="M82" s="170"/>
      <c r="N82" s="170"/>
      <c r="O82" s="170"/>
      <c r="P82" s="170"/>
      <c r="Q82" s="170"/>
      <c r="R82" s="170"/>
      <c r="S82" s="170"/>
      <c r="T82" s="170"/>
      <c r="U82" s="170"/>
      <c r="V82" s="170"/>
      <c r="W82" s="170"/>
      <c r="X82" s="170"/>
      <c r="Y82" s="170"/>
      <c r="Z82" s="170"/>
      <c r="AA82" s="170"/>
      <c r="AB82" s="170"/>
      <c r="AC82" s="170"/>
      <c r="AD82" s="170"/>
      <c r="AE82" s="170"/>
      <c r="AF82" s="170"/>
      <c r="AG82" s="170"/>
      <c r="AH82" s="170"/>
      <c r="AI82" s="170"/>
      <c r="AJ82" s="170"/>
      <c r="AK82" s="170"/>
      <c r="AL82" s="170"/>
      <c r="AM82" s="170"/>
      <c r="AN82" s="170"/>
      <c r="AO82" s="170"/>
      <c r="AP82" s="170"/>
      <c r="AQ82" s="170"/>
      <c r="AR82" s="170"/>
      <c r="AS82" s="170"/>
      <c r="AT82" s="170"/>
      <c r="AU82" s="184"/>
    </row>
    <row r="83" spans="1:47" ht="60" customHeight="1" x14ac:dyDescent="0.35">
      <c r="A83" s="180" t="s">
        <v>3975</v>
      </c>
      <c r="B83" s="154" t="s">
        <v>3831</v>
      </c>
      <c r="C83" s="155" t="s">
        <v>4082</v>
      </c>
      <c r="D83" s="158" t="s">
        <v>4083</v>
      </c>
      <c r="E83" s="161"/>
      <c r="F83" s="164" t="s">
        <v>21</v>
      </c>
      <c r="G83" s="167" t="str">
        <f>IF(COUNTIF(H83:AU83,"&lt;&gt;")=0,"",SUMPRODUCT(((Recommendations[ImplStatus]="Implemented")+(Recommendations[ImplStatus]="Compensated"))*ISNUMBER(MATCH(Recommendations[Id],H83:AU83,0)))/COUNTIF(H83:AU83,"&lt;&gt;"))</f>
        <v/>
      </c>
      <c r="H83" s="170"/>
      <c r="I83" s="170"/>
      <c r="J83" s="170"/>
      <c r="K83" s="170"/>
      <c r="L83" s="170"/>
      <c r="M83" s="170"/>
      <c r="N83" s="170"/>
      <c r="O83" s="170"/>
      <c r="P83" s="170"/>
      <c r="Q83" s="170"/>
      <c r="R83" s="170"/>
      <c r="S83" s="170"/>
      <c r="T83" s="170"/>
      <c r="U83" s="170"/>
      <c r="V83" s="170"/>
      <c r="W83" s="170"/>
      <c r="X83" s="170"/>
      <c r="Y83" s="170"/>
      <c r="Z83" s="170"/>
      <c r="AA83" s="170"/>
      <c r="AB83" s="170"/>
      <c r="AC83" s="170"/>
      <c r="AD83" s="170"/>
      <c r="AE83" s="170"/>
      <c r="AF83" s="170"/>
      <c r="AG83" s="170"/>
      <c r="AH83" s="170"/>
      <c r="AI83" s="170"/>
      <c r="AJ83" s="170"/>
      <c r="AK83" s="170"/>
      <c r="AL83" s="170"/>
      <c r="AM83" s="170"/>
      <c r="AN83" s="170"/>
      <c r="AO83" s="170"/>
      <c r="AP83" s="170"/>
      <c r="AQ83" s="170"/>
      <c r="AR83" s="170"/>
      <c r="AS83" s="170"/>
      <c r="AT83" s="170"/>
      <c r="AU83" s="184"/>
    </row>
    <row r="84" spans="1:47" ht="60" customHeight="1" x14ac:dyDescent="0.35">
      <c r="A84" s="180" t="s">
        <v>3975</v>
      </c>
      <c r="B84" s="154" t="s">
        <v>3831</v>
      </c>
      <c r="C84" s="155" t="s">
        <v>4084</v>
      </c>
      <c r="D84" s="158" t="s">
        <v>4085</v>
      </c>
      <c r="E84" s="161"/>
      <c r="F84" s="164" t="s">
        <v>21</v>
      </c>
      <c r="G84" s="167" t="str">
        <f>IF(COUNTIF(H84:AU84,"&lt;&gt;")=0,"",SUMPRODUCT(((Recommendations[ImplStatus]="Implemented")+(Recommendations[ImplStatus]="Compensated"))*ISNUMBER(MATCH(Recommendations[Id],H84:AU84,0)))/COUNTIF(H84:AU84,"&lt;&gt;"))</f>
        <v/>
      </c>
      <c r="H84" s="170"/>
      <c r="I84" s="170"/>
      <c r="J84" s="170"/>
      <c r="K84" s="170"/>
      <c r="L84" s="170"/>
      <c r="M84" s="170"/>
      <c r="N84" s="170"/>
      <c r="O84" s="170"/>
      <c r="P84" s="170"/>
      <c r="Q84" s="170"/>
      <c r="R84" s="170"/>
      <c r="S84" s="170"/>
      <c r="T84" s="170"/>
      <c r="U84" s="170"/>
      <c r="V84" s="170"/>
      <c r="W84" s="170"/>
      <c r="X84" s="170"/>
      <c r="Y84" s="170"/>
      <c r="Z84" s="170"/>
      <c r="AA84" s="170"/>
      <c r="AB84" s="170"/>
      <c r="AC84" s="170"/>
      <c r="AD84" s="170"/>
      <c r="AE84" s="170"/>
      <c r="AF84" s="170"/>
      <c r="AG84" s="170"/>
      <c r="AH84" s="170"/>
      <c r="AI84" s="170"/>
      <c r="AJ84" s="170"/>
      <c r="AK84" s="170"/>
      <c r="AL84" s="170"/>
      <c r="AM84" s="170"/>
      <c r="AN84" s="170"/>
      <c r="AO84" s="170"/>
      <c r="AP84" s="170"/>
      <c r="AQ84" s="170"/>
      <c r="AR84" s="170"/>
      <c r="AS84" s="170"/>
      <c r="AT84" s="170"/>
      <c r="AU84" s="184"/>
    </row>
    <row r="85" spans="1:47" ht="60" customHeight="1" x14ac:dyDescent="0.35">
      <c r="A85" s="180" t="s">
        <v>3975</v>
      </c>
      <c r="B85" s="154" t="s">
        <v>3831</v>
      </c>
      <c r="C85" s="155" t="s">
        <v>4086</v>
      </c>
      <c r="D85" s="158" t="s">
        <v>4087</v>
      </c>
      <c r="E85" s="161"/>
      <c r="F85" s="164" t="s">
        <v>21</v>
      </c>
      <c r="G85" s="167" t="str">
        <f>IF(COUNTIF(H85:AU85,"&lt;&gt;")=0,"",SUMPRODUCT(((Recommendations[ImplStatus]="Implemented")+(Recommendations[ImplStatus]="Compensated"))*ISNUMBER(MATCH(Recommendations[Id],H85:AU85,0)))/COUNTIF(H85:AU85,"&lt;&gt;"))</f>
        <v/>
      </c>
      <c r="H85" s="170"/>
      <c r="I85" s="170"/>
      <c r="J85" s="170"/>
      <c r="K85" s="170"/>
      <c r="L85" s="170"/>
      <c r="M85" s="170"/>
      <c r="N85" s="170"/>
      <c r="O85" s="170"/>
      <c r="P85" s="170"/>
      <c r="Q85" s="170"/>
      <c r="R85" s="170"/>
      <c r="S85" s="170"/>
      <c r="T85" s="170"/>
      <c r="U85" s="170"/>
      <c r="V85" s="170"/>
      <c r="W85" s="170"/>
      <c r="X85" s="170"/>
      <c r="Y85" s="170"/>
      <c r="Z85" s="170"/>
      <c r="AA85" s="170"/>
      <c r="AB85" s="170"/>
      <c r="AC85" s="170"/>
      <c r="AD85" s="170"/>
      <c r="AE85" s="170"/>
      <c r="AF85" s="170"/>
      <c r="AG85" s="170"/>
      <c r="AH85" s="170"/>
      <c r="AI85" s="170"/>
      <c r="AJ85" s="170"/>
      <c r="AK85" s="170"/>
      <c r="AL85" s="170"/>
      <c r="AM85" s="170"/>
      <c r="AN85" s="170"/>
      <c r="AO85" s="170"/>
      <c r="AP85" s="170"/>
      <c r="AQ85" s="170"/>
      <c r="AR85" s="170"/>
      <c r="AS85" s="170"/>
      <c r="AT85" s="170"/>
      <c r="AU85" s="184"/>
    </row>
    <row r="86" spans="1:47" ht="60" customHeight="1" x14ac:dyDescent="0.35">
      <c r="A86" s="180" t="s">
        <v>3975</v>
      </c>
      <c r="B86" s="154" t="s">
        <v>3831</v>
      </c>
      <c r="C86" s="155" t="s">
        <v>4088</v>
      </c>
      <c r="D86" s="158" t="s">
        <v>4089</v>
      </c>
      <c r="E86" s="161"/>
      <c r="F86" s="164" t="s">
        <v>21</v>
      </c>
      <c r="G86" s="167" t="str">
        <f>IF(COUNTIF(H86:AU86,"&lt;&gt;")=0,"",SUMPRODUCT(((Recommendations[ImplStatus]="Implemented")+(Recommendations[ImplStatus]="Compensated"))*ISNUMBER(MATCH(Recommendations[Id],H86:AU86,0)))/COUNTIF(H86:AU86,"&lt;&gt;"))</f>
        <v/>
      </c>
      <c r="H86" s="170"/>
      <c r="I86" s="170"/>
      <c r="J86" s="170"/>
      <c r="K86" s="170"/>
      <c r="L86" s="170"/>
      <c r="M86" s="170"/>
      <c r="N86" s="170"/>
      <c r="O86" s="170"/>
      <c r="P86" s="170"/>
      <c r="Q86" s="170"/>
      <c r="R86" s="170"/>
      <c r="S86" s="170"/>
      <c r="T86" s="170"/>
      <c r="U86" s="170"/>
      <c r="V86" s="170"/>
      <c r="W86" s="170"/>
      <c r="X86" s="170"/>
      <c r="Y86" s="170"/>
      <c r="Z86" s="170"/>
      <c r="AA86" s="170"/>
      <c r="AB86" s="170"/>
      <c r="AC86" s="170"/>
      <c r="AD86" s="170"/>
      <c r="AE86" s="170"/>
      <c r="AF86" s="170"/>
      <c r="AG86" s="170"/>
      <c r="AH86" s="170"/>
      <c r="AI86" s="170"/>
      <c r="AJ86" s="170"/>
      <c r="AK86" s="170"/>
      <c r="AL86" s="170"/>
      <c r="AM86" s="170"/>
      <c r="AN86" s="170"/>
      <c r="AO86" s="170"/>
      <c r="AP86" s="170"/>
      <c r="AQ86" s="170"/>
      <c r="AR86" s="170"/>
      <c r="AS86" s="170"/>
      <c r="AT86" s="170"/>
      <c r="AU86" s="184"/>
    </row>
    <row r="87" spans="1:47" ht="60" customHeight="1" outlineLevel="1" x14ac:dyDescent="0.35">
      <c r="A87" s="178" t="s">
        <v>4090</v>
      </c>
      <c r="B87" s="152" t="s">
        <v>21</v>
      </c>
      <c r="C87" s="150" t="s">
        <v>4091</v>
      </c>
      <c r="D87" s="156" t="s">
        <v>4092</v>
      </c>
      <c r="E87" s="159" t="s">
        <v>21</v>
      </c>
      <c r="F87" s="162" t="s">
        <v>21</v>
      </c>
      <c r="G87" s="165" t="str">
        <f>IF(COUNTIF(H87:AU87,"&lt;&gt;")=0,"",SUMPRODUCT(((Recommendations[ImplStatus]="Implemented")+(Recommendations[ImplStatus]="Compensated"))*ISNUMBER(MATCH(Recommendations[Id],H87:AU87,0)))/COUNTIF(H87:AU87,"&lt;&gt;"))</f>
        <v/>
      </c>
      <c r="H87" s="168"/>
      <c r="I87" s="168"/>
      <c r="J87" s="168"/>
      <c r="K87" s="168"/>
      <c r="L87" s="168"/>
      <c r="M87" s="168"/>
      <c r="N87" s="168"/>
      <c r="O87" s="168"/>
      <c r="P87" s="168"/>
      <c r="Q87" s="168"/>
      <c r="R87" s="168"/>
      <c r="S87" s="168"/>
      <c r="T87" s="168"/>
      <c r="U87" s="168"/>
      <c r="V87" s="168"/>
      <c r="W87" s="168"/>
      <c r="X87" s="168"/>
      <c r="Y87" s="168"/>
      <c r="Z87" s="168"/>
      <c r="AA87" s="168"/>
      <c r="AB87" s="168"/>
      <c r="AC87" s="168"/>
      <c r="AD87" s="168"/>
      <c r="AE87" s="168"/>
      <c r="AF87" s="168"/>
      <c r="AG87" s="168"/>
      <c r="AH87" s="168"/>
      <c r="AI87" s="168"/>
      <c r="AJ87" s="168"/>
      <c r="AK87" s="168"/>
      <c r="AL87" s="168"/>
      <c r="AM87" s="168"/>
      <c r="AN87" s="168"/>
      <c r="AO87" s="168"/>
      <c r="AP87" s="168"/>
      <c r="AQ87" s="168"/>
      <c r="AR87" s="168"/>
      <c r="AS87" s="168"/>
      <c r="AT87" s="168"/>
      <c r="AU87" s="182"/>
    </row>
    <row r="88" spans="1:47" ht="60" customHeight="1" outlineLevel="1" x14ac:dyDescent="0.35">
      <c r="A88" s="179" t="s">
        <v>4090</v>
      </c>
      <c r="B88" s="153" t="s">
        <v>4093</v>
      </c>
      <c r="C88" s="151" t="s">
        <v>4094</v>
      </c>
      <c r="D88" s="157" t="s">
        <v>4095</v>
      </c>
      <c r="E88" s="160" t="s">
        <v>21</v>
      </c>
      <c r="F88" s="163" t="s">
        <v>21</v>
      </c>
      <c r="G88" s="166" t="str">
        <f>IF(COUNTIF(H88:AU88,"&lt;&gt;")=0,"",SUMPRODUCT(((Recommendations[ImplStatus]="Implemented")+(Recommendations[ImplStatus]="Compensated"))*ISNUMBER(MATCH(Recommendations[Id],H88:AU88,0)))/COUNTIF(H88:AU88,"&lt;&gt;"))</f>
        <v/>
      </c>
      <c r="H88" s="169"/>
      <c r="I88" s="169"/>
      <c r="J88" s="169"/>
      <c r="K88" s="169"/>
      <c r="L88" s="169"/>
      <c r="M88" s="169"/>
      <c r="N88" s="169"/>
      <c r="O88" s="169"/>
      <c r="P88" s="169"/>
      <c r="Q88" s="169"/>
      <c r="R88" s="169"/>
      <c r="S88" s="169"/>
      <c r="T88" s="169"/>
      <c r="U88" s="169"/>
      <c r="V88" s="169"/>
      <c r="W88" s="169"/>
      <c r="X88" s="169"/>
      <c r="Y88" s="169"/>
      <c r="Z88" s="169"/>
      <c r="AA88" s="169"/>
      <c r="AB88" s="169"/>
      <c r="AC88" s="169"/>
      <c r="AD88" s="169"/>
      <c r="AE88" s="169"/>
      <c r="AF88" s="169"/>
      <c r="AG88" s="169"/>
      <c r="AH88" s="169"/>
      <c r="AI88" s="169"/>
      <c r="AJ88" s="169"/>
      <c r="AK88" s="169"/>
      <c r="AL88" s="169"/>
      <c r="AM88" s="169"/>
      <c r="AN88" s="169"/>
      <c r="AO88" s="169"/>
      <c r="AP88" s="169"/>
      <c r="AQ88" s="169"/>
      <c r="AR88" s="169"/>
      <c r="AS88" s="169"/>
      <c r="AT88" s="169"/>
      <c r="AU88" s="183"/>
    </row>
    <row r="89" spans="1:47" ht="60" customHeight="1" x14ac:dyDescent="0.35">
      <c r="A89" s="180" t="s">
        <v>4090</v>
      </c>
      <c r="B89" s="154" t="s">
        <v>4093</v>
      </c>
      <c r="C89" s="155" t="s">
        <v>4096</v>
      </c>
      <c r="D89" s="158" t="s">
        <v>4097</v>
      </c>
      <c r="E89" s="161" t="s">
        <v>4098</v>
      </c>
      <c r="F89" s="164" t="s">
        <v>3867</v>
      </c>
      <c r="G89" s="167">
        <f>IF(COUNTIF(H89:AU89,"&lt;&gt;")=0,"",SUMPRODUCT(((Recommendations[ImplStatus]="Implemented")+(Recommendations[ImplStatus]="Compensated"))*ISNUMBER(MATCH(Recommendations[Id],H89:AU89,0)))/COUNTIF(H89:AU89,"&lt;&gt;"))</f>
        <v>0</v>
      </c>
      <c r="H89" s="170" t="s">
        <v>14</v>
      </c>
      <c r="I89" s="170" t="s">
        <v>156</v>
      </c>
      <c r="J89" s="170" t="s">
        <v>317</v>
      </c>
      <c r="K89" s="170" t="s">
        <v>323</v>
      </c>
      <c r="L89" s="170" t="s">
        <v>337</v>
      </c>
      <c r="M89" s="170" t="s">
        <v>537</v>
      </c>
      <c r="N89" s="170" t="s">
        <v>547</v>
      </c>
      <c r="O89" s="170" t="s">
        <v>551</v>
      </c>
      <c r="P89" s="170" t="s">
        <v>555</v>
      </c>
      <c r="Q89" s="170" t="s">
        <v>560</v>
      </c>
      <c r="R89" s="170" t="s">
        <v>565</v>
      </c>
      <c r="S89" s="170" t="s">
        <v>570</v>
      </c>
      <c r="T89" s="170" t="s">
        <v>574</v>
      </c>
      <c r="U89" s="170" t="s">
        <v>579</v>
      </c>
      <c r="V89" s="170" t="s">
        <v>583</v>
      </c>
      <c r="W89" s="170" t="s">
        <v>588</v>
      </c>
      <c r="X89" s="170" t="s">
        <v>592</v>
      </c>
      <c r="Y89" s="170" t="s">
        <v>830</v>
      </c>
      <c r="Z89" s="170" t="s">
        <v>850</v>
      </c>
      <c r="AA89" s="170" t="s">
        <v>860</v>
      </c>
      <c r="AB89" s="170" t="s">
        <v>865</v>
      </c>
      <c r="AC89" s="170" t="s">
        <v>868</v>
      </c>
      <c r="AD89" s="170" t="s">
        <v>978</v>
      </c>
      <c r="AE89" s="170" t="s">
        <v>1024</v>
      </c>
      <c r="AF89" s="170" t="s">
        <v>1200</v>
      </c>
      <c r="AG89" s="170" t="s">
        <v>1205</v>
      </c>
      <c r="AH89" s="170" t="s">
        <v>1209</v>
      </c>
      <c r="AI89" s="170" t="s">
        <v>1212</v>
      </c>
      <c r="AJ89" s="170" t="s">
        <v>1217</v>
      </c>
      <c r="AK89" s="170" t="s">
        <v>1220</v>
      </c>
      <c r="AL89" s="170"/>
      <c r="AM89" s="170"/>
      <c r="AN89" s="170"/>
      <c r="AO89" s="170"/>
      <c r="AP89" s="170"/>
      <c r="AQ89" s="170"/>
      <c r="AR89" s="170"/>
      <c r="AS89" s="170"/>
      <c r="AT89" s="170"/>
      <c r="AU89" s="184"/>
    </row>
    <row r="90" spans="1:47" ht="60" customHeight="1" x14ac:dyDescent="0.35">
      <c r="A90" s="180" t="s">
        <v>4090</v>
      </c>
      <c r="B90" s="154" t="s">
        <v>4093</v>
      </c>
      <c r="C90" s="155" t="s">
        <v>4099</v>
      </c>
      <c r="D90" s="158" t="s">
        <v>4100</v>
      </c>
      <c r="E90" s="161" t="s">
        <v>4101</v>
      </c>
      <c r="F90" s="164" t="s">
        <v>3871</v>
      </c>
      <c r="G90" s="167" t="str">
        <f>IF(COUNTIF(H90:AU90,"&lt;&gt;")=0,"",SUMPRODUCT(((Recommendations[ImplStatus]="Implemented")+(Recommendations[ImplStatus]="Compensated"))*ISNUMBER(MATCH(Recommendations[Id],H90:AU90,0)))/COUNTIF(H90:AU90,"&lt;&gt;"))</f>
        <v/>
      </c>
      <c r="H90" s="170"/>
      <c r="I90" s="170"/>
      <c r="J90" s="170"/>
      <c r="K90" s="170"/>
      <c r="L90" s="170"/>
      <c r="M90" s="170"/>
      <c r="N90" s="170"/>
      <c r="O90" s="170"/>
      <c r="P90" s="170"/>
      <c r="Q90" s="170"/>
      <c r="R90" s="170"/>
      <c r="S90" s="170"/>
      <c r="T90" s="170"/>
      <c r="U90" s="170"/>
      <c r="V90" s="170"/>
      <c r="W90" s="170"/>
      <c r="X90" s="170"/>
      <c r="Y90" s="170"/>
      <c r="Z90" s="170"/>
      <c r="AA90" s="170"/>
      <c r="AB90" s="170"/>
      <c r="AC90" s="170"/>
      <c r="AD90" s="170"/>
      <c r="AE90" s="170"/>
      <c r="AF90" s="170"/>
      <c r="AG90" s="170"/>
      <c r="AH90" s="170"/>
      <c r="AI90" s="170"/>
      <c r="AJ90" s="170"/>
      <c r="AK90" s="170"/>
      <c r="AL90" s="170"/>
      <c r="AM90" s="170"/>
      <c r="AN90" s="170"/>
      <c r="AO90" s="170"/>
      <c r="AP90" s="170"/>
      <c r="AQ90" s="170"/>
      <c r="AR90" s="170"/>
      <c r="AS90" s="170"/>
      <c r="AT90" s="170"/>
      <c r="AU90" s="184"/>
    </row>
    <row r="91" spans="1:47" ht="60" customHeight="1" x14ac:dyDescent="0.35">
      <c r="A91" s="180" t="s">
        <v>4090</v>
      </c>
      <c r="B91" s="154" t="s">
        <v>4093</v>
      </c>
      <c r="C91" s="155" t="s">
        <v>4102</v>
      </c>
      <c r="D91" s="158" t="s">
        <v>4103</v>
      </c>
      <c r="E91" s="161" t="s">
        <v>4104</v>
      </c>
      <c r="F91" s="164" t="s">
        <v>3867</v>
      </c>
      <c r="G91" s="167">
        <f>IF(COUNTIF(H91:AU91,"&lt;&gt;")=0,"",SUMPRODUCT(((Recommendations[ImplStatus]="Implemented")+(Recommendations[ImplStatus]="Compensated"))*ISNUMBER(MATCH(Recommendations[Id],H91:AU91,0)))/COUNTIF(H91:AU91,"&lt;&gt;"))</f>
        <v>0</v>
      </c>
      <c r="H91" s="170" t="s">
        <v>14</v>
      </c>
      <c r="I91" s="170" t="s">
        <v>147</v>
      </c>
      <c r="J91" s="170" t="s">
        <v>855</v>
      </c>
      <c r="K91" s="170" t="s">
        <v>873</v>
      </c>
      <c r="L91" s="170" t="s">
        <v>1490</v>
      </c>
      <c r="M91" s="170" t="s">
        <v>1495</v>
      </c>
      <c r="N91" s="170" t="s">
        <v>1499</v>
      </c>
      <c r="O91" s="170" t="s">
        <v>1769</v>
      </c>
      <c r="P91" s="170"/>
      <c r="Q91" s="170"/>
      <c r="R91" s="170"/>
      <c r="S91" s="170"/>
      <c r="T91" s="170"/>
      <c r="U91" s="170"/>
      <c r="V91" s="170"/>
      <c r="W91" s="170"/>
      <c r="X91" s="170"/>
      <c r="Y91" s="170"/>
      <c r="Z91" s="170"/>
      <c r="AA91" s="170"/>
      <c r="AB91" s="170"/>
      <c r="AC91" s="170"/>
      <c r="AD91" s="170"/>
      <c r="AE91" s="170"/>
      <c r="AF91" s="170"/>
      <c r="AG91" s="170"/>
      <c r="AH91" s="170"/>
      <c r="AI91" s="170"/>
      <c r="AJ91" s="170"/>
      <c r="AK91" s="170"/>
      <c r="AL91" s="170"/>
      <c r="AM91" s="170"/>
      <c r="AN91" s="170"/>
      <c r="AO91" s="170"/>
      <c r="AP91" s="170"/>
      <c r="AQ91" s="170"/>
      <c r="AR91" s="170"/>
      <c r="AS91" s="170"/>
      <c r="AT91" s="170"/>
      <c r="AU91" s="184"/>
    </row>
    <row r="92" spans="1:47" ht="60" customHeight="1" x14ac:dyDescent="0.35">
      <c r="A92" s="180" t="s">
        <v>4090</v>
      </c>
      <c r="B92" s="154" t="s">
        <v>4093</v>
      </c>
      <c r="C92" s="155" t="s">
        <v>4105</v>
      </c>
      <c r="D92" s="158" t="s">
        <v>4106</v>
      </c>
      <c r="E92" s="161" t="s">
        <v>4107</v>
      </c>
      <c r="F92" s="164" t="s">
        <v>3867</v>
      </c>
      <c r="G92" s="167">
        <f>IF(COUNTIF(H92:AU92,"&lt;&gt;")=0,"",SUMPRODUCT(((Recommendations[ImplStatus]="Implemented")+(Recommendations[ImplStatus]="Compensated"))*ISNUMBER(MATCH(Recommendations[Id],H92:AU92,0)))/COUNTIF(H92:AU92,"&lt;&gt;"))</f>
        <v>0</v>
      </c>
      <c r="H92" s="170" t="s">
        <v>35</v>
      </c>
      <c r="I92" s="170" t="s">
        <v>873</v>
      </c>
      <c r="J92" s="170" t="s">
        <v>1595</v>
      </c>
      <c r="K92" s="170" t="s">
        <v>1675</v>
      </c>
      <c r="L92" s="170" t="s">
        <v>1680</v>
      </c>
      <c r="M92" s="170" t="s">
        <v>1684</v>
      </c>
      <c r="N92" s="170" t="s">
        <v>1902</v>
      </c>
      <c r="O92" s="170" t="s">
        <v>1907</v>
      </c>
      <c r="P92" s="170" t="s">
        <v>1911</v>
      </c>
      <c r="Q92" s="170"/>
      <c r="R92" s="170"/>
      <c r="S92" s="170"/>
      <c r="T92" s="170"/>
      <c r="U92" s="170"/>
      <c r="V92" s="170"/>
      <c r="W92" s="170"/>
      <c r="X92" s="170"/>
      <c r="Y92" s="170"/>
      <c r="Z92" s="170"/>
      <c r="AA92" s="170"/>
      <c r="AB92" s="170"/>
      <c r="AC92" s="170"/>
      <c r="AD92" s="170"/>
      <c r="AE92" s="170"/>
      <c r="AF92" s="170"/>
      <c r="AG92" s="170"/>
      <c r="AH92" s="170"/>
      <c r="AI92" s="170"/>
      <c r="AJ92" s="170"/>
      <c r="AK92" s="170"/>
      <c r="AL92" s="170"/>
      <c r="AM92" s="170"/>
      <c r="AN92" s="170"/>
      <c r="AO92" s="170"/>
      <c r="AP92" s="170"/>
      <c r="AQ92" s="170"/>
      <c r="AR92" s="170"/>
      <c r="AS92" s="170"/>
      <c r="AT92" s="170"/>
      <c r="AU92" s="184"/>
    </row>
    <row r="93" spans="1:47" ht="60" customHeight="1" x14ac:dyDescent="0.35">
      <c r="A93" s="180" t="s">
        <v>4090</v>
      </c>
      <c r="B93" s="154" t="s">
        <v>4093</v>
      </c>
      <c r="C93" s="155" t="s">
        <v>4108</v>
      </c>
      <c r="D93" s="158" t="s">
        <v>4109</v>
      </c>
      <c r="E93" s="161" t="s">
        <v>4110</v>
      </c>
      <c r="F93" s="164" t="s">
        <v>3867</v>
      </c>
      <c r="G93" s="167">
        <f>IF(COUNTIF(H93:AU93,"&lt;&gt;")=0,"",SUMPRODUCT(((Recommendations[ImplStatus]="Implemented")+(Recommendations[ImplStatus]="Compensated"))*ISNUMBER(MATCH(Recommendations[Id],H93:AU93,0)))/COUNTIF(H93:AU93,"&lt;&gt;"))</f>
        <v>0</v>
      </c>
      <c r="H93" s="170" t="s">
        <v>25</v>
      </c>
      <c r="I93" s="170" t="s">
        <v>127</v>
      </c>
      <c r="J93" s="170" t="s">
        <v>132</v>
      </c>
      <c r="K93" s="170" t="s">
        <v>177</v>
      </c>
      <c r="L93" s="170" t="s">
        <v>212</v>
      </c>
      <c r="M93" s="170" t="s">
        <v>347</v>
      </c>
      <c r="N93" s="170" t="s">
        <v>352</v>
      </c>
      <c r="O93" s="170" t="s">
        <v>357</v>
      </c>
      <c r="P93" s="170" t="s">
        <v>835</v>
      </c>
      <c r="Q93" s="170" t="s">
        <v>876</v>
      </c>
      <c r="R93" s="170" t="s">
        <v>889</v>
      </c>
      <c r="S93" s="170" t="s">
        <v>1002</v>
      </c>
      <c r="T93" s="170" t="s">
        <v>1248</v>
      </c>
      <c r="U93" s="170" t="s">
        <v>1253</v>
      </c>
      <c r="V93" s="170" t="s">
        <v>1257</v>
      </c>
      <c r="W93" s="170" t="s">
        <v>1261</v>
      </c>
      <c r="X93" s="170" t="s">
        <v>1266</v>
      </c>
      <c r="Y93" s="170" t="s">
        <v>1271</v>
      </c>
      <c r="Z93" s="170" t="s">
        <v>1600</v>
      </c>
      <c r="AA93" s="170" t="s">
        <v>1605</v>
      </c>
      <c r="AB93" s="170" t="s">
        <v>1618</v>
      </c>
      <c r="AC93" s="170" t="s">
        <v>1623</v>
      </c>
      <c r="AD93" s="170" t="s">
        <v>1626</v>
      </c>
      <c r="AE93" s="170" t="s">
        <v>1629</v>
      </c>
      <c r="AF93" s="170" t="s">
        <v>1634</v>
      </c>
      <c r="AG93" s="170" t="s">
        <v>1637</v>
      </c>
      <c r="AH93" s="170" t="s">
        <v>1755</v>
      </c>
      <c r="AI93" s="170" t="s">
        <v>1760</v>
      </c>
      <c r="AJ93" s="170" t="s">
        <v>1765</v>
      </c>
      <c r="AK93" s="170"/>
      <c r="AL93" s="170"/>
      <c r="AM93" s="170"/>
      <c r="AN93" s="170"/>
      <c r="AO93" s="170"/>
      <c r="AP93" s="170"/>
      <c r="AQ93" s="170"/>
      <c r="AR93" s="170"/>
      <c r="AS93" s="170"/>
      <c r="AT93" s="170"/>
      <c r="AU93" s="184"/>
    </row>
    <row r="94" spans="1:47" ht="60" customHeight="1" x14ac:dyDescent="0.35">
      <c r="A94" s="180" t="s">
        <v>4090</v>
      </c>
      <c r="B94" s="154" t="s">
        <v>4093</v>
      </c>
      <c r="C94" s="155" t="s">
        <v>4111</v>
      </c>
      <c r="D94" s="158" t="s">
        <v>4112</v>
      </c>
      <c r="E94" s="161" t="s">
        <v>4113</v>
      </c>
      <c r="F94" s="164" t="s">
        <v>3871</v>
      </c>
      <c r="G94" s="167" t="str">
        <f>IF(COUNTIF(H94:AU94,"&lt;&gt;")=0,"",SUMPRODUCT(((Recommendations[ImplStatus]="Implemented")+(Recommendations[ImplStatus]="Compensated"))*ISNUMBER(MATCH(Recommendations[Id],H94:AU94,0)))/COUNTIF(H94:AU94,"&lt;&gt;"))</f>
        <v/>
      </c>
      <c r="H94" s="170"/>
      <c r="I94" s="170"/>
      <c r="J94" s="170"/>
      <c r="K94" s="170"/>
      <c r="L94" s="170"/>
      <c r="M94" s="170"/>
      <c r="N94" s="170"/>
      <c r="O94" s="170"/>
      <c r="P94" s="170"/>
      <c r="Q94" s="170"/>
      <c r="R94" s="170"/>
      <c r="S94" s="170"/>
      <c r="T94" s="170"/>
      <c r="U94" s="170"/>
      <c r="V94" s="170"/>
      <c r="W94" s="170"/>
      <c r="X94" s="170"/>
      <c r="Y94" s="170"/>
      <c r="Z94" s="170"/>
      <c r="AA94" s="170"/>
      <c r="AB94" s="170"/>
      <c r="AC94" s="170"/>
      <c r="AD94" s="170"/>
      <c r="AE94" s="170"/>
      <c r="AF94" s="170"/>
      <c r="AG94" s="170"/>
      <c r="AH94" s="170"/>
      <c r="AI94" s="170"/>
      <c r="AJ94" s="170"/>
      <c r="AK94" s="170"/>
      <c r="AL94" s="170"/>
      <c r="AM94" s="170"/>
      <c r="AN94" s="170"/>
      <c r="AO94" s="170"/>
      <c r="AP94" s="170"/>
      <c r="AQ94" s="170"/>
      <c r="AR94" s="170"/>
      <c r="AS94" s="170"/>
      <c r="AT94" s="170"/>
      <c r="AU94" s="184"/>
    </row>
    <row r="95" spans="1:47" ht="60" customHeight="1" outlineLevel="1" x14ac:dyDescent="0.35">
      <c r="A95" s="179" t="s">
        <v>4090</v>
      </c>
      <c r="B95" s="153" t="s">
        <v>4114</v>
      </c>
      <c r="C95" s="151" t="s">
        <v>4115</v>
      </c>
      <c r="D95" s="157"/>
      <c r="E95" s="160" t="s">
        <v>21</v>
      </c>
      <c r="F95" s="163" t="s">
        <v>21</v>
      </c>
      <c r="G95" s="166" t="str">
        <f>IF(COUNTIF(H95:AU95,"&lt;&gt;")=0,"",SUMPRODUCT(((Recommendations[ImplStatus]="Implemented")+(Recommendations[ImplStatus]="Compensated"))*ISNUMBER(MATCH(Recommendations[Id],H95:AU95,0)))/COUNTIF(H95:AU95,"&lt;&gt;"))</f>
        <v/>
      </c>
      <c r="H95" s="169"/>
      <c r="I95" s="169"/>
      <c r="J95" s="169"/>
      <c r="K95" s="169"/>
      <c r="L95" s="169"/>
      <c r="M95" s="169"/>
      <c r="N95" s="169"/>
      <c r="O95" s="169"/>
      <c r="P95" s="169"/>
      <c r="Q95" s="169"/>
      <c r="R95" s="169"/>
      <c r="S95" s="169"/>
      <c r="T95" s="169"/>
      <c r="U95" s="169"/>
      <c r="V95" s="169"/>
      <c r="W95" s="169"/>
      <c r="X95" s="169"/>
      <c r="Y95" s="169"/>
      <c r="Z95" s="169"/>
      <c r="AA95" s="169"/>
      <c r="AB95" s="169"/>
      <c r="AC95" s="169"/>
      <c r="AD95" s="169"/>
      <c r="AE95" s="169"/>
      <c r="AF95" s="169"/>
      <c r="AG95" s="169"/>
      <c r="AH95" s="169"/>
      <c r="AI95" s="169"/>
      <c r="AJ95" s="169"/>
      <c r="AK95" s="169"/>
      <c r="AL95" s="169"/>
      <c r="AM95" s="169"/>
      <c r="AN95" s="169"/>
      <c r="AO95" s="169"/>
      <c r="AP95" s="169"/>
      <c r="AQ95" s="169"/>
      <c r="AR95" s="169"/>
      <c r="AS95" s="169"/>
      <c r="AT95" s="169"/>
      <c r="AU95" s="183"/>
    </row>
    <row r="96" spans="1:47" ht="60" customHeight="1" x14ac:dyDescent="0.35">
      <c r="A96" s="180" t="s">
        <v>4090</v>
      </c>
      <c r="B96" s="154" t="s">
        <v>4114</v>
      </c>
      <c r="C96" s="155" t="s">
        <v>4116</v>
      </c>
      <c r="D96" s="158" t="s">
        <v>4117</v>
      </c>
      <c r="E96" s="161"/>
      <c r="F96" s="164" t="s">
        <v>21</v>
      </c>
      <c r="G96" s="167" t="str">
        <f>IF(COUNTIF(H96:AU96,"&lt;&gt;")=0,"",SUMPRODUCT(((Recommendations[ImplStatus]="Implemented")+(Recommendations[ImplStatus]="Compensated"))*ISNUMBER(MATCH(Recommendations[Id],H96:AU96,0)))/COUNTIF(H96:AU96,"&lt;&gt;"))</f>
        <v/>
      </c>
      <c r="H96" s="170"/>
      <c r="I96" s="170"/>
      <c r="J96" s="170"/>
      <c r="K96" s="170"/>
      <c r="L96" s="170"/>
      <c r="M96" s="170"/>
      <c r="N96" s="170"/>
      <c r="O96" s="170"/>
      <c r="P96" s="170"/>
      <c r="Q96" s="170"/>
      <c r="R96" s="170"/>
      <c r="S96" s="170"/>
      <c r="T96" s="170"/>
      <c r="U96" s="170"/>
      <c r="V96" s="170"/>
      <c r="W96" s="170"/>
      <c r="X96" s="170"/>
      <c r="Y96" s="170"/>
      <c r="Z96" s="170"/>
      <c r="AA96" s="170"/>
      <c r="AB96" s="170"/>
      <c r="AC96" s="170"/>
      <c r="AD96" s="170"/>
      <c r="AE96" s="170"/>
      <c r="AF96" s="170"/>
      <c r="AG96" s="170"/>
      <c r="AH96" s="170"/>
      <c r="AI96" s="170"/>
      <c r="AJ96" s="170"/>
      <c r="AK96" s="170"/>
      <c r="AL96" s="170"/>
      <c r="AM96" s="170"/>
      <c r="AN96" s="170"/>
      <c r="AO96" s="170"/>
      <c r="AP96" s="170"/>
      <c r="AQ96" s="170"/>
      <c r="AR96" s="170"/>
      <c r="AS96" s="170"/>
      <c r="AT96" s="170"/>
      <c r="AU96" s="184"/>
    </row>
    <row r="97" spans="1:47" ht="60" customHeight="1" x14ac:dyDescent="0.35">
      <c r="A97" s="180" t="s">
        <v>4090</v>
      </c>
      <c r="B97" s="154" t="s">
        <v>4114</v>
      </c>
      <c r="C97" s="155" t="s">
        <v>4118</v>
      </c>
      <c r="D97" s="158" t="s">
        <v>4119</v>
      </c>
      <c r="E97" s="161"/>
      <c r="F97" s="164" t="s">
        <v>21</v>
      </c>
      <c r="G97" s="167" t="str">
        <f>IF(COUNTIF(H97:AU97,"&lt;&gt;")=0,"",SUMPRODUCT(((Recommendations[ImplStatus]="Implemented")+(Recommendations[ImplStatus]="Compensated"))*ISNUMBER(MATCH(Recommendations[Id],H97:AU97,0)))/COUNTIF(H97:AU97,"&lt;&gt;"))</f>
        <v/>
      </c>
      <c r="H97" s="170"/>
      <c r="I97" s="170"/>
      <c r="J97" s="170"/>
      <c r="K97" s="170"/>
      <c r="L97" s="170"/>
      <c r="M97" s="170"/>
      <c r="N97" s="170"/>
      <c r="O97" s="170"/>
      <c r="P97" s="170"/>
      <c r="Q97" s="170"/>
      <c r="R97" s="170"/>
      <c r="S97" s="170"/>
      <c r="T97" s="170"/>
      <c r="U97" s="170"/>
      <c r="V97" s="170"/>
      <c r="W97" s="170"/>
      <c r="X97" s="170"/>
      <c r="Y97" s="170"/>
      <c r="Z97" s="170"/>
      <c r="AA97" s="170"/>
      <c r="AB97" s="170"/>
      <c r="AC97" s="170"/>
      <c r="AD97" s="170"/>
      <c r="AE97" s="170"/>
      <c r="AF97" s="170"/>
      <c r="AG97" s="170"/>
      <c r="AH97" s="170"/>
      <c r="AI97" s="170"/>
      <c r="AJ97" s="170"/>
      <c r="AK97" s="170"/>
      <c r="AL97" s="170"/>
      <c r="AM97" s="170"/>
      <c r="AN97" s="170"/>
      <c r="AO97" s="170"/>
      <c r="AP97" s="170"/>
      <c r="AQ97" s="170"/>
      <c r="AR97" s="170"/>
      <c r="AS97" s="170"/>
      <c r="AT97" s="170"/>
      <c r="AU97" s="184"/>
    </row>
    <row r="98" spans="1:47" ht="60" customHeight="1" x14ac:dyDescent="0.35">
      <c r="A98" s="180" t="s">
        <v>4090</v>
      </c>
      <c r="B98" s="154" t="s">
        <v>4114</v>
      </c>
      <c r="C98" s="155" t="s">
        <v>4120</v>
      </c>
      <c r="D98" s="158" t="s">
        <v>4121</v>
      </c>
      <c r="E98" s="161"/>
      <c r="F98" s="164" t="s">
        <v>21</v>
      </c>
      <c r="G98" s="167" t="str">
        <f>IF(COUNTIF(H98:AU98,"&lt;&gt;")=0,"",SUMPRODUCT(((Recommendations[ImplStatus]="Implemented")+(Recommendations[ImplStatus]="Compensated"))*ISNUMBER(MATCH(Recommendations[Id],H98:AU98,0)))/COUNTIF(H98:AU98,"&lt;&gt;"))</f>
        <v/>
      </c>
      <c r="H98" s="170"/>
      <c r="I98" s="170"/>
      <c r="J98" s="170"/>
      <c r="K98" s="170"/>
      <c r="L98" s="170"/>
      <c r="M98" s="170"/>
      <c r="N98" s="170"/>
      <c r="O98" s="170"/>
      <c r="P98" s="170"/>
      <c r="Q98" s="170"/>
      <c r="R98" s="170"/>
      <c r="S98" s="170"/>
      <c r="T98" s="170"/>
      <c r="U98" s="170"/>
      <c r="V98" s="170"/>
      <c r="W98" s="170"/>
      <c r="X98" s="170"/>
      <c r="Y98" s="170"/>
      <c r="Z98" s="170"/>
      <c r="AA98" s="170"/>
      <c r="AB98" s="170"/>
      <c r="AC98" s="170"/>
      <c r="AD98" s="170"/>
      <c r="AE98" s="170"/>
      <c r="AF98" s="170"/>
      <c r="AG98" s="170"/>
      <c r="AH98" s="170"/>
      <c r="AI98" s="170"/>
      <c r="AJ98" s="170"/>
      <c r="AK98" s="170"/>
      <c r="AL98" s="170"/>
      <c r="AM98" s="170"/>
      <c r="AN98" s="170"/>
      <c r="AO98" s="170"/>
      <c r="AP98" s="170"/>
      <c r="AQ98" s="170"/>
      <c r="AR98" s="170"/>
      <c r="AS98" s="170"/>
      <c r="AT98" s="170"/>
      <c r="AU98" s="184"/>
    </row>
    <row r="99" spans="1:47" ht="60" customHeight="1" x14ac:dyDescent="0.35">
      <c r="A99" s="180" t="s">
        <v>4090</v>
      </c>
      <c r="B99" s="154" t="s">
        <v>4114</v>
      </c>
      <c r="C99" s="155" t="s">
        <v>4122</v>
      </c>
      <c r="D99" s="158" t="s">
        <v>4123</v>
      </c>
      <c r="E99" s="161"/>
      <c r="F99" s="164" t="s">
        <v>21</v>
      </c>
      <c r="G99" s="167" t="str">
        <f>IF(COUNTIF(H99:AU99,"&lt;&gt;")=0,"",SUMPRODUCT(((Recommendations[ImplStatus]="Implemented")+(Recommendations[ImplStatus]="Compensated"))*ISNUMBER(MATCH(Recommendations[Id],H99:AU99,0)))/COUNTIF(H99:AU99,"&lt;&gt;"))</f>
        <v/>
      </c>
      <c r="H99" s="170"/>
      <c r="I99" s="170"/>
      <c r="J99" s="170"/>
      <c r="K99" s="170"/>
      <c r="L99" s="170"/>
      <c r="M99" s="170"/>
      <c r="N99" s="170"/>
      <c r="O99" s="170"/>
      <c r="P99" s="170"/>
      <c r="Q99" s="170"/>
      <c r="R99" s="170"/>
      <c r="S99" s="170"/>
      <c r="T99" s="170"/>
      <c r="U99" s="170"/>
      <c r="V99" s="170"/>
      <c r="W99" s="170"/>
      <c r="X99" s="170"/>
      <c r="Y99" s="170"/>
      <c r="Z99" s="170"/>
      <c r="AA99" s="170"/>
      <c r="AB99" s="170"/>
      <c r="AC99" s="170"/>
      <c r="AD99" s="170"/>
      <c r="AE99" s="170"/>
      <c r="AF99" s="170"/>
      <c r="AG99" s="170"/>
      <c r="AH99" s="170"/>
      <c r="AI99" s="170"/>
      <c r="AJ99" s="170"/>
      <c r="AK99" s="170"/>
      <c r="AL99" s="170"/>
      <c r="AM99" s="170"/>
      <c r="AN99" s="170"/>
      <c r="AO99" s="170"/>
      <c r="AP99" s="170"/>
      <c r="AQ99" s="170"/>
      <c r="AR99" s="170"/>
      <c r="AS99" s="170"/>
      <c r="AT99" s="170"/>
      <c r="AU99" s="184"/>
    </row>
    <row r="100" spans="1:47" ht="60" customHeight="1" x14ac:dyDescent="0.35">
      <c r="A100" s="180" t="s">
        <v>4090</v>
      </c>
      <c r="B100" s="154" t="s">
        <v>4114</v>
      </c>
      <c r="C100" s="155" t="s">
        <v>4124</v>
      </c>
      <c r="D100" s="158" t="s">
        <v>4125</v>
      </c>
      <c r="E100" s="161"/>
      <c r="F100" s="164" t="s">
        <v>21</v>
      </c>
      <c r="G100" s="167" t="str">
        <f>IF(COUNTIF(H100:AU100,"&lt;&gt;")=0,"",SUMPRODUCT(((Recommendations[ImplStatus]="Implemented")+(Recommendations[ImplStatus]="Compensated"))*ISNUMBER(MATCH(Recommendations[Id],H100:AU100,0)))/COUNTIF(H100:AU100,"&lt;&gt;"))</f>
        <v/>
      </c>
      <c r="H100" s="170"/>
      <c r="I100" s="170"/>
      <c r="J100" s="170"/>
      <c r="K100" s="170"/>
      <c r="L100" s="170"/>
      <c r="M100" s="170"/>
      <c r="N100" s="170"/>
      <c r="O100" s="170"/>
      <c r="P100" s="170"/>
      <c r="Q100" s="170"/>
      <c r="R100" s="170"/>
      <c r="S100" s="170"/>
      <c r="T100" s="170"/>
      <c r="U100" s="170"/>
      <c r="V100" s="170"/>
      <c r="W100" s="170"/>
      <c r="X100" s="170"/>
      <c r="Y100" s="170"/>
      <c r="Z100" s="170"/>
      <c r="AA100" s="170"/>
      <c r="AB100" s="170"/>
      <c r="AC100" s="170"/>
      <c r="AD100" s="170"/>
      <c r="AE100" s="170"/>
      <c r="AF100" s="170"/>
      <c r="AG100" s="170"/>
      <c r="AH100" s="170"/>
      <c r="AI100" s="170"/>
      <c r="AJ100" s="170"/>
      <c r="AK100" s="170"/>
      <c r="AL100" s="170"/>
      <c r="AM100" s="170"/>
      <c r="AN100" s="170"/>
      <c r="AO100" s="170"/>
      <c r="AP100" s="170"/>
      <c r="AQ100" s="170"/>
      <c r="AR100" s="170"/>
      <c r="AS100" s="170"/>
      <c r="AT100" s="170"/>
      <c r="AU100" s="184"/>
    </row>
    <row r="101" spans="1:47" ht="60" customHeight="1" x14ac:dyDescent="0.35">
      <c r="A101" s="180" t="s">
        <v>4090</v>
      </c>
      <c r="B101" s="154" t="s">
        <v>4114</v>
      </c>
      <c r="C101" s="155" t="s">
        <v>4126</v>
      </c>
      <c r="D101" s="158" t="s">
        <v>4127</v>
      </c>
      <c r="E101" s="161"/>
      <c r="F101" s="164" t="s">
        <v>21</v>
      </c>
      <c r="G101" s="167" t="str">
        <f>IF(COUNTIF(H101:AU101,"&lt;&gt;")=0,"",SUMPRODUCT(((Recommendations[ImplStatus]="Implemented")+(Recommendations[ImplStatus]="Compensated"))*ISNUMBER(MATCH(Recommendations[Id],H101:AU101,0)))/COUNTIF(H101:AU101,"&lt;&gt;"))</f>
        <v/>
      </c>
      <c r="H101" s="170"/>
      <c r="I101" s="170"/>
      <c r="J101" s="170"/>
      <c r="K101" s="170"/>
      <c r="L101" s="170"/>
      <c r="M101" s="170"/>
      <c r="N101" s="170"/>
      <c r="O101" s="170"/>
      <c r="P101" s="170"/>
      <c r="Q101" s="170"/>
      <c r="R101" s="170"/>
      <c r="S101" s="170"/>
      <c r="T101" s="170"/>
      <c r="U101" s="170"/>
      <c r="V101" s="170"/>
      <c r="W101" s="170"/>
      <c r="X101" s="170"/>
      <c r="Y101" s="170"/>
      <c r="Z101" s="170"/>
      <c r="AA101" s="170"/>
      <c r="AB101" s="170"/>
      <c r="AC101" s="170"/>
      <c r="AD101" s="170"/>
      <c r="AE101" s="170"/>
      <c r="AF101" s="170"/>
      <c r="AG101" s="170"/>
      <c r="AH101" s="170"/>
      <c r="AI101" s="170"/>
      <c r="AJ101" s="170"/>
      <c r="AK101" s="170"/>
      <c r="AL101" s="170"/>
      <c r="AM101" s="170"/>
      <c r="AN101" s="170"/>
      <c r="AO101" s="170"/>
      <c r="AP101" s="170"/>
      <c r="AQ101" s="170"/>
      <c r="AR101" s="170"/>
      <c r="AS101" s="170"/>
      <c r="AT101" s="170"/>
      <c r="AU101" s="184"/>
    </row>
    <row r="102" spans="1:47" ht="60" customHeight="1" x14ac:dyDescent="0.35">
      <c r="A102" s="180" t="s">
        <v>4090</v>
      </c>
      <c r="B102" s="154" t="s">
        <v>4114</v>
      </c>
      <c r="C102" s="155" t="s">
        <v>4128</v>
      </c>
      <c r="D102" s="158" t="s">
        <v>4129</v>
      </c>
      <c r="E102" s="161"/>
      <c r="F102" s="164" t="s">
        <v>21</v>
      </c>
      <c r="G102" s="167" t="str">
        <f>IF(COUNTIF(H102:AU102,"&lt;&gt;")=0,"",SUMPRODUCT(((Recommendations[ImplStatus]="Implemented")+(Recommendations[ImplStatus]="Compensated"))*ISNUMBER(MATCH(Recommendations[Id],H102:AU102,0)))/COUNTIF(H102:AU102,"&lt;&gt;"))</f>
        <v/>
      </c>
      <c r="H102" s="170"/>
      <c r="I102" s="170"/>
      <c r="J102" s="170"/>
      <c r="K102" s="170"/>
      <c r="L102" s="170"/>
      <c r="M102" s="170"/>
      <c r="N102" s="170"/>
      <c r="O102" s="170"/>
      <c r="P102" s="170"/>
      <c r="Q102" s="170"/>
      <c r="R102" s="170"/>
      <c r="S102" s="170"/>
      <c r="T102" s="170"/>
      <c r="U102" s="170"/>
      <c r="V102" s="170"/>
      <c r="W102" s="170"/>
      <c r="X102" s="170"/>
      <c r="Y102" s="170"/>
      <c r="Z102" s="170"/>
      <c r="AA102" s="170"/>
      <c r="AB102" s="170"/>
      <c r="AC102" s="170"/>
      <c r="AD102" s="170"/>
      <c r="AE102" s="170"/>
      <c r="AF102" s="170"/>
      <c r="AG102" s="170"/>
      <c r="AH102" s="170"/>
      <c r="AI102" s="170"/>
      <c r="AJ102" s="170"/>
      <c r="AK102" s="170"/>
      <c r="AL102" s="170"/>
      <c r="AM102" s="170"/>
      <c r="AN102" s="170"/>
      <c r="AO102" s="170"/>
      <c r="AP102" s="170"/>
      <c r="AQ102" s="170"/>
      <c r="AR102" s="170"/>
      <c r="AS102" s="170"/>
      <c r="AT102" s="170"/>
      <c r="AU102" s="184"/>
    </row>
    <row r="103" spans="1:47" ht="60" customHeight="1" outlineLevel="1" x14ac:dyDescent="0.35">
      <c r="A103" s="179" t="s">
        <v>4090</v>
      </c>
      <c r="B103" s="153" t="s">
        <v>3274</v>
      </c>
      <c r="C103" s="151" t="s">
        <v>4130</v>
      </c>
      <c r="D103" s="157" t="s">
        <v>4131</v>
      </c>
      <c r="E103" s="160" t="s">
        <v>21</v>
      </c>
      <c r="F103" s="163" t="s">
        <v>21</v>
      </c>
      <c r="G103" s="166" t="str">
        <f>IF(COUNTIF(H103:AU103,"&lt;&gt;")=0,"",SUMPRODUCT(((Recommendations[ImplStatus]="Implemented")+(Recommendations[ImplStatus]="Compensated"))*ISNUMBER(MATCH(Recommendations[Id],H103:AU103,0)))/COUNTIF(H103:AU103,"&lt;&gt;"))</f>
        <v/>
      </c>
      <c r="H103" s="169"/>
      <c r="I103" s="169"/>
      <c r="J103" s="169"/>
      <c r="K103" s="169"/>
      <c r="L103" s="169"/>
      <c r="M103" s="169"/>
      <c r="N103" s="169"/>
      <c r="O103" s="169"/>
      <c r="P103" s="169"/>
      <c r="Q103" s="169"/>
      <c r="R103" s="169"/>
      <c r="S103" s="169"/>
      <c r="T103" s="169"/>
      <c r="U103" s="169"/>
      <c r="V103" s="169"/>
      <c r="W103" s="169"/>
      <c r="X103" s="169"/>
      <c r="Y103" s="169"/>
      <c r="Z103" s="169"/>
      <c r="AA103" s="169"/>
      <c r="AB103" s="169"/>
      <c r="AC103" s="169"/>
      <c r="AD103" s="169"/>
      <c r="AE103" s="169"/>
      <c r="AF103" s="169"/>
      <c r="AG103" s="169"/>
      <c r="AH103" s="169"/>
      <c r="AI103" s="169"/>
      <c r="AJ103" s="169"/>
      <c r="AK103" s="169"/>
      <c r="AL103" s="169"/>
      <c r="AM103" s="169"/>
      <c r="AN103" s="169"/>
      <c r="AO103" s="169"/>
      <c r="AP103" s="169"/>
      <c r="AQ103" s="169"/>
      <c r="AR103" s="169"/>
      <c r="AS103" s="169"/>
      <c r="AT103" s="169"/>
      <c r="AU103" s="183"/>
    </row>
    <row r="104" spans="1:47" ht="60" customHeight="1" x14ac:dyDescent="0.35">
      <c r="A104" s="180" t="s">
        <v>4090</v>
      </c>
      <c r="B104" s="154" t="s">
        <v>3274</v>
      </c>
      <c r="C104" s="155" t="s">
        <v>4132</v>
      </c>
      <c r="D104" s="158" t="s">
        <v>4133</v>
      </c>
      <c r="E104" s="161" t="s">
        <v>4134</v>
      </c>
      <c r="F104" s="164" t="s">
        <v>3867</v>
      </c>
      <c r="G104" s="167" t="str">
        <f>IF(COUNTIF(H104:AU104,"&lt;&gt;")=0,"",SUMPRODUCT(((Recommendations[ImplStatus]="Implemented")+(Recommendations[ImplStatus]="Compensated"))*ISNUMBER(MATCH(Recommendations[Id],H104:AU104,0)))/COUNTIF(H104:AU104,"&lt;&gt;"))</f>
        <v/>
      </c>
      <c r="H104" s="170"/>
      <c r="I104" s="170"/>
      <c r="J104" s="170"/>
      <c r="K104" s="170"/>
      <c r="L104" s="170"/>
      <c r="M104" s="170"/>
      <c r="N104" s="170"/>
      <c r="O104" s="170"/>
      <c r="P104" s="170"/>
      <c r="Q104" s="170"/>
      <c r="R104" s="170"/>
      <c r="S104" s="170"/>
      <c r="T104" s="170"/>
      <c r="U104" s="170"/>
      <c r="V104" s="170"/>
      <c r="W104" s="170"/>
      <c r="X104" s="170"/>
      <c r="Y104" s="170"/>
      <c r="Z104" s="170"/>
      <c r="AA104" s="170"/>
      <c r="AB104" s="170"/>
      <c r="AC104" s="170"/>
      <c r="AD104" s="170"/>
      <c r="AE104" s="170"/>
      <c r="AF104" s="170"/>
      <c r="AG104" s="170"/>
      <c r="AH104" s="170"/>
      <c r="AI104" s="170"/>
      <c r="AJ104" s="170"/>
      <c r="AK104" s="170"/>
      <c r="AL104" s="170"/>
      <c r="AM104" s="170"/>
      <c r="AN104" s="170"/>
      <c r="AO104" s="170"/>
      <c r="AP104" s="170"/>
      <c r="AQ104" s="170"/>
      <c r="AR104" s="170"/>
      <c r="AS104" s="170"/>
      <c r="AT104" s="170"/>
      <c r="AU104" s="184"/>
    </row>
    <row r="105" spans="1:47" ht="60" customHeight="1" x14ac:dyDescent="0.35">
      <c r="A105" s="180" t="s">
        <v>4090</v>
      </c>
      <c r="B105" s="154" t="s">
        <v>3274</v>
      </c>
      <c r="C105" s="155" t="s">
        <v>4135</v>
      </c>
      <c r="D105" s="158" t="s">
        <v>4136</v>
      </c>
      <c r="E105" s="161" t="s">
        <v>4137</v>
      </c>
      <c r="F105" s="164" t="s">
        <v>3871</v>
      </c>
      <c r="G105" s="167" t="str">
        <f>IF(COUNTIF(H105:AU105,"&lt;&gt;")=0,"",SUMPRODUCT(((Recommendations[ImplStatus]="Implemented")+(Recommendations[ImplStatus]="Compensated"))*ISNUMBER(MATCH(Recommendations[Id],H105:AU105,0)))/COUNTIF(H105:AU105,"&lt;&gt;"))</f>
        <v/>
      </c>
      <c r="H105" s="170"/>
      <c r="I105" s="170"/>
      <c r="J105" s="170"/>
      <c r="K105" s="170"/>
      <c r="L105" s="170"/>
      <c r="M105" s="170"/>
      <c r="N105" s="170"/>
      <c r="O105" s="170"/>
      <c r="P105" s="170"/>
      <c r="Q105" s="170"/>
      <c r="R105" s="170"/>
      <c r="S105" s="170"/>
      <c r="T105" s="170"/>
      <c r="U105" s="170"/>
      <c r="V105" s="170"/>
      <c r="W105" s="170"/>
      <c r="X105" s="170"/>
      <c r="Y105" s="170"/>
      <c r="Z105" s="170"/>
      <c r="AA105" s="170"/>
      <c r="AB105" s="170"/>
      <c r="AC105" s="170"/>
      <c r="AD105" s="170"/>
      <c r="AE105" s="170"/>
      <c r="AF105" s="170"/>
      <c r="AG105" s="170"/>
      <c r="AH105" s="170"/>
      <c r="AI105" s="170"/>
      <c r="AJ105" s="170"/>
      <c r="AK105" s="170"/>
      <c r="AL105" s="170"/>
      <c r="AM105" s="170"/>
      <c r="AN105" s="170"/>
      <c r="AO105" s="170"/>
      <c r="AP105" s="170"/>
      <c r="AQ105" s="170"/>
      <c r="AR105" s="170"/>
      <c r="AS105" s="170"/>
      <c r="AT105" s="170"/>
      <c r="AU105" s="184"/>
    </row>
    <row r="106" spans="1:47" ht="60" customHeight="1" x14ac:dyDescent="0.35">
      <c r="A106" s="180" t="s">
        <v>4090</v>
      </c>
      <c r="B106" s="154" t="s">
        <v>3274</v>
      </c>
      <c r="C106" s="155" t="s">
        <v>4138</v>
      </c>
      <c r="D106" s="158" t="s">
        <v>4139</v>
      </c>
      <c r="E106" s="161"/>
      <c r="F106" s="164" t="s">
        <v>21</v>
      </c>
      <c r="G106" s="167" t="str">
        <f>IF(COUNTIF(H106:AU106,"&lt;&gt;")=0,"",SUMPRODUCT(((Recommendations[ImplStatus]="Implemented")+(Recommendations[ImplStatus]="Compensated"))*ISNUMBER(MATCH(Recommendations[Id],H106:AU106,0)))/COUNTIF(H106:AU106,"&lt;&gt;"))</f>
        <v/>
      </c>
      <c r="H106" s="170"/>
      <c r="I106" s="170"/>
      <c r="J106" s="170"/>
      <c r="K106" s="170"/>
      <c r="L106" s="170"/>
      <c r="M106" s="170"/>
      <c r="N106" s="170"/>
      <c r="O106" s="170"/>
      <c r="P106" s="170"/>
      <c r="Q106" s="170"/>
      <c r="R106" s="170"/>
      <c r="S106" s="170"/>
      <c r="T106" s="170"/>
      <c r="U106" s="170"/>
      <c r="V106" s="170"/>
      <c r="W106" s="170"/>
      <c r="X106" s="170"/>
      <c r="Y106" s="170"/>
      <c r="Z106" s="170"/>
      <c r="AA106" s="170"/>
      <c r="AB106" s="170"/>
      <c r="AC106" s="170"/>
      <c r="AD106" s="170"/>
      <c r="AE106" s="170"/>
      <c r="AF106" s="170"/>
      <c r="AG106" s="170"/>
      <c r="AH106" s="170"/>
      <c r="AI106" s="170"/>
      <c r="AJ106" s="170"/>
      <c r="AK106" s="170"/>
      <c r="AL106" s="170"/>
      <c r="AM106" s="170"/>
      <c r="AN106" s="170"/>
      <c r="AO106" s="170"/>
      <c r="AP106" s="170"/>
      <c r="AQ106" s="170"/>
      <c r="AR106" s="170"/>
      <c r="AS106" s="170"/>
      <c r="AT106" s="170"/>
      <c r="AU106" s="184"/>
    </row>
    <row r="107" spans="1:47" ht="60" customHeight="1" x14ac:dyDescent="0.35">
      <c r="A107" s="180" t="s">
        <v>4090</v>
      </c>
      <c r="B107" s="154" t="s">
        <v>3274</v>
      </c>
      <c r="C107" s="155" t="s">
        <v>4140</v>
      </c>
      <c r="D107" s="158" t="s">
        <v>4141</v>
      </c>
      <c r="E107" s="161"/>
      <c r="F107" s="164" t="s">
        <v>21</v>
      </c>
      <c r="G107" s="167" t="str">
        <f>IF(COUNTIF(H107:AU107,"&lt;&gt;")=0,"",SUMPRODUCT(((Recommendations[ImplStatus]="Implemented")+(Recommendations[ImplStatus]="Compensated"))*ISNUMBER(MATCH(Recommendations[Id],H107:AU107,0)))/COUNTIF(H107:AU107,"&lt;&gt;"))</f>
        <v/>
      </c>
      <c r="H107" s="170"/>
      <c r="I107" s="170"/>
      <c r="J107" s="170"/>
      <c r="K107" s="170"/>
      <c r="L107" s="170"/>
      <c r="M107" s="170"/>
      <c r="N107" s="170"/>
      <c r="O107" s="170"/>
      <c r="P107" s="170"/>
      <c r="Q107" s="170"/>
      <c r="R107" s="170"/>
      <c r="S107" s="170"/>
      <c r="T107" s="170"/>
      <c r="U107" s="170"/>
      <c r="V107" s="170"/>
      <c r="W107" s="170"/>
      <c r="X107" s="170"/>
      <c r="Y107" s="170"/>
      <c r="Z107" s="170"/>
      <c r="AA107" s="170"/>
      <c r="AB107" s="170"/>
      <c r="AC107" s="170"/>
      <c r="AD107" s="170"/>
      <c r="AE107" s="170"/>
      <c r="AF107" s="170"/>
      <c r="AG107" s="170"/>
      <c r="AH107" s="170"/>
      <c r="AI107" s="170"/>
      <c r="AJ107" s="170"/>
      <c r="AK107" s="170"/>
      <c r="AL107" s="170"/>
      <c r="AM107" s="170"/>
      <c r="AN107" s="170"/>
      <c r="AO107" s="170"/>
      <c r="AP107" s="170"/>
      <c r="AQ107" s="170"/>
      <c r="AR107" s="170"/>
      <c r="AS107" s="170"/>
      <c r="AT107" s="170"/>
      <c r="AU107" s="184"/>
    </row>
    <row r="108" spans="1:47" ht="60" customHeight="1" x14ac:dyDescent="0.35">
      <c r="A108" s="180" t="s">
        <v>4090</v>
      </c>
      <c r="B108" s="154" t="s">
        <v>3274</v>
      </c>
      <c r="C108" s="155" t="s">
        <v>4142</v>
      </c>
      <c r="D108" s="158" t="s">
        <v>4143</v>
      </c>
      <c r="E108" s="161"/>
      <c r="F108" s="164" t="s">
        <v>21</v>
      </c>
      <c r="G108" s="167" t="str">
        <f>IF(COUNTIF(H108:AU108,"&lt;&gt;")=0,"",SUMPRODUCT(((Recommendations[ImplStatus]="Implemented")+(Recommendations[ImplStatus]="Compensated"))*ISNUMBER(MATCH(Recommendations[Id],H108:AU108,0)))/COUNTIF(H108:AU108,"&lt;&gt;"))</f>
        <v/>
      </c>
      <c r="H108" s="170"/>
      <c r="I108" s="170"/>
      <c r="J108" s="170"/>
      <c r="K108" s="170"/>
      <c r="L108" s="170"/>
      <c r="M108" s="170"/>
      <c r="N108" s="170"/>
      <c r="O108" s="170"/>
      <c r="P108" s="170"/>
      <c r="Q108" s="170"/>
      <c r="R108" s="170"/>
      <c r="S108" s="170"/>
      <c r="T108" s="170"/>
      <c r="U108" s="170"/>
      <c r="V108" s="170"/>
      <c r="W108" s="170"/>
      <c r="X108" s="170"/>
      <c r="Y108" s="170"/>
      <c r="Z108" s="170"/>
      <c r="AA108" s="170"/>
      <c r="AB108" s="170"/>
      <c r="AC108" s="170"/>
      <c r="AD108" s="170"/>
      <c r="AE108" s="170"/>
      <c r="AF108" s="170"/>
      <c r="AG108" s="170"/>
      <c r="AH108" s="170"/>
      <c r="AI108" s="170"/>
      <c r="AJ108" s="170"/>
      <c r="AK108" s="170"/>
      <c r="AL108" s="170"/>
      <c r="AM108" s="170"/>
      <c r="AN108" s="170"/>
      <c r="AO108" s="170"/>
      <c r="AP108" s="170"/>
      <c r="AQ108" s="170"/>
      <c r="AR108" s="170"/>
      <c r="AS108" s="170"/>
      <c r="AT108" s="170"/>
      <c r="AU108" s="184"/>
    </row>
    <row r="109" spans="1:47" ht="60" customHeight="1" outlineLevel="1" x14ac:dyDescent="0.35">
      <c r="A109" s="179" t="s">
        <v>4090</v>
      </c>
      <c r="B109" s="153" t="s">
        <v>4144</v>
      </c>
      <c r="C109" s="151" t="s">
        <v>4145</v>
      </c>
      <c r="D109" s="157" t="s">
        <v>4146</v>
      </c>
      <c r="E109" s="160" t="s">
        <v>21</v>
      </c>
      <c r="F109" s="163" t="s">
        <v>21</v>
      </c>
      <c r="G109" s="166" t="str">
        <f>IF(COUNTIF(H109:AU109,"&lt;&gt;")=0,"",SUMPRODUCT(((Recommendations[ImplStatus]="Implemented")+(Recommendations[ImplStatus]="Compensated"))*ISNUMBER(MATCH(Recommendations[Id],H109:AU109,0)))/COUNTIF(H109:AU109,"&lt;&gt;"))</f>
        <v/>
      </c>
      <c r="H109" s="169"/>
      <c r="I109" s="169"/>
      <c r="J109" s="169"/>
      <c r="K109" s="169"/>
      <c r="L109" s="169"/>
      <c r="M109" s="169"/>
      <c r="N109" s="169"/>
      <c r="O109" s="169"/>
      <c r="P109" s="169"/>
      <c r="Q109" s="169"/>
      <c r="R109" s="169"/>
      <c r="S109" s="169"/>
      <c r="T109" s="169"/>
      <c r="U109" s="169"/>
      <c r="V109" s="169"/>
      <c r="W109" s="169"/>
      <c r="X109" s="169"/>
      <c r="Y109" s="169"/>
      <c r="Z109" s="169"/>
      <c r="AA109" s="169"/>
      <c r="AB109" s="169"/>
      <c r="AC109" s="169"/>
      <c r="AD109" s="169"/>
      <c r="AE109" s="169"/>
      <c r="AF109" s="169"/>
      <c r="AG109" s="169"/>
      <c r="AH109" s="169"/>
      <c r="AI109" s="169"/>
      <c r="AJ109" s="169"/>
      <c r="AK109" s="169"/>
      <c r="AL109" s="169"/>
      <c r="AM109" s="169"/>
      <c r="AN109" s="169"/>
      <c r="AO109" s="169"/>
      <c r="AP109" s="169"/>
      <c r="AQ109" s="169"/>
      <c r="AR109" s="169"/>
      <c r="AS109" s="169"/>
      <c r="AT109" s="169"/>
      <c r="AU109" s="183"/>
    </row>
    <row r="110" spans="1:47" ht="60" customHeight="1" x14ac:dyDescent="0.35">
      <c r="A110" s="180" t="s">
        <v>4090</v>
      </c>
      <c r="B110" s="154" t="s">
        <v>4144</v>
      </c>
      <c r="C110" s="155" t="s">
        <v>4147</v>
      </c>
      <c r="D110" s="158" t="s">
        <v>4148</v>
      </c>
      <c r="E110" s="161" t="s">
        <v>4149</v>
      </c>
      <c r="F110" s="164" t="s">
        <v>3867</v>
      </c>
      <c r="G110" s="167" t="str">
        <f>IF(COUNTIF(H110:AU110,"&lt;&gt;")=0,"",SUMPRODUCT(((Recommendations[ImplStatus]="Implemented")+(Recommendations[ImplStatus]="Compensated"))*ISNUMBER(MATCH(Recommendations[Id],H110:AU110,0)))/COUNTIF(H110:AU110,"&lt;&gt;"))</f>
        <v/>
      </c>
      <c r="H110" s="170"/>
      <c r="I110" s="170"/>
      <c r="J110" s="170"/>
      <c r="K110" s="170"/>
      <c r="L110" s="170"/>
      <c r="M110" s="170"/>
      <c r="N110" s="170"/>
      <c r="O110" s="170"/>
      <c r="P110" s="170"/>
      <c r="Q110" s="170"/>
      <c r="R110" s="170"/>
      <c r="S110" s="170"/>
      <c r="T110" s="170"/>
      <c r="U110" s="170"/>
      <c r="V110" s="170"/>
      <c r="W110" s="170"/>
      <c r="X110" s="170"/>
      <c r="Y110" s="170"/>
      <c r="Z110" s="170"/>
      <c r="AA110" s="170"/>
      <c r="AB110" s="170"/>
      <c r="AC110" s="170"/>
      <c r="AD110" s="170"/>
      <c r="AE110" s="170"/>
      <c r="AF110" s="170"/>
      <c r="AG110" s="170"/>
      <c r="AH110" s="170"/>
      <c r="AI110" s="170"/>
      <c r="AJ110" s="170"/>
      <c r="AK110" s="170"/>
      <c r="AL110" s="170"/>
      <c r="AM110" s="170"/>
      <c r="AN110" s="170"/>
      <c r="AO110" s="170"/>
      <c r="AP110" s="170"/>
      <c r="AQ110" s="170"/>
      <c r="AR110" s="170"/>
      <c r="AS110" s="170"/>
      <c r="AT110" s="170"/>
      <c r="AU110" s="184"/>
    </row>
    <row r="111" spans="1:47" ht="60" customHeight="1" x14ac:dyDescent="0.35">
      <c r="A111" s="180" t="s">
        <v>4090</v>
      </c>
      <c r="B111" s="154" t="s">
        <v>4144</v>
      </c>
      <c r="C111" s="155" t="s">
        <v>4150</v>
      </c>
      <c r="D111" s="158" t="s">
        <v>4151</v>
      </c>
      <c r="E111" s="161" t="s">
        <v>4152</v>
      </c>
      <c r="F111" s="164" t="s">
        <v>3867</v>
      </c>
      <c r="G111" s="167">
        <f>IF(COUNTIF(H111:AU111,"&lt;&gt;")=0,"",SUMPRODUCT(((Recommendations[ImplStatus]="Implemented")+(Recommendations[ImplStatus]="Compensated"))*ISNUMBER(MATCH(Recommendations[Id],H111:AU111,0)))/COUNTIF(H111:AU111,"&lt;&gt;"))</f>
        <v>0</v>
      </c>
      <c r="H111" s="170" t="s">
        <v>161</v>
      </c>
      <c r="I111" s="170" t="s">
        <v>299</v>
      </c>
      <c r="J111" s="170" t="s">
        <v>303</v>
      </c>
      <c r="K111" s="170" t="s">
        <v>306</v>
      </c>
      <c r="L111" s="170" t="s">
        <v>366</v>
      </c>
      <c r="M111" s="170" t="s">
        <v>371</v>
      </c>
      <c r="N111" s="170" t="s">
        <v>997</v>
      </c>
      <c r="O111" s="170" t="s">
        <v>1081</v>
      </c>
      <c r="P111" s="170" t="s">
        <v>1085</v>
      </c>
      <c r="Q111" s="170" t="s">
        <v>1090</v>
      </c>
      <c r="R111" s="170" t="s">
        <v>1093</v>
      </c>
      <c r="S111" s="170" t="s">
        <v>1196</v>
      </c>
      <c r="T111" s="170" t="s">
        <v>1289</v>
      </c>
      <c r="U111" s="170" t="s">
        <v>1294</v>
      </c>
      <c r="V111" s="170" t="s">
        <v>1298</v>
      </c>
      <c r="W111" s="170" t="s">
        <v>1303</v>
      </c>
      <c r="X111" s="170" t="s">
        <v>1308</v>
      </c>
      <c r="Y111" s="170" t="s">
        <v>1312</v>
      </c>
      <c r="Z111" s="170" t="s">
        <v>1582</v>
      </c>
      <c r="AA111" s="170" t="s">
        <v>1587</v>
      </c>
      <c r="AB111" s="170" t="s">
        <v>1592</v>
      </c>
      <c r="AC111" s="170" t="s">
        <v>1610</v>
      </c>
      <c r="AD111" s="170" t="s">
        <v>1613</v>
      </c>
      <c r="AE111" s="170" t="s">
        <v>1616</v>
      </c>
      <c r="AF111" s="170" t="s">
        <v>1774</v>
      </c>
      <c r="AG111" s="170" t="s">
        <v>1779</v>
      </c>
      <c r="AH111" s="170" t="s">
        <v>1783</v>
      </c>
      <c r="AI111" s="170" t="s">
        <v>1850</v>
      </c>
      <c r="AJ111" s="170" t="s">
        <v>1855</v>
      </c>
      <c r="AK111" s="170" t="s">
        <v>1860</v>
      </c>
      <c r="AL111" s="170" t="s">
        <v>1879</v>
      </c>
      <c r="AM111" s="170" t="s">
        <v>1884</v>
      </c>
      <c r="AN111" s="170" t="s">
        <v>1888</v>
      </c>
      <c r="AO111" s="170" t="s">
        <v>1892</v>
      </c>
      <c r="AP111" s="170" t="s">
        <v>1895</v>
      </c>
      <c r="AQ111" s="170" t="s">
        <v>1898</v>
      </c>
      <c r="AR111" s="170" t="s">
        <v>1915</v>
      </c>
      <c r="AS111" s="170" t="s">
        <v>1920</v>
      </c>
      <c r="AT111" s="170" t="s">
        <v>1924</v>
      </c>
      <c r="AU111" s="184" t="s">
        <v>1928</v>
      </c>
    </row>
    <row r="112" spans="1:47" ht="60" customHeight="1" x14ac:dyDescent="0.35">
      <c r="A112" s="180" t="s">
        <v>4090</v>
      </c>
      <c r="B112" s="154" t="s">
        <v>4144</v>
      </c>
      <c r="C112" s="155" t="s">
        <v>4153</v>
      </c>
      <c r="D112" s="158" t="s">
        <v>4154</v>
      </c>
      <c r="E112" s="161"/>
      <c r="F112" s="164" t="s">
        <v>21</v>
      </c>
      <c r="G112" s="167" t="str">
        <f>IF(COUNTIF(H112:AU112,"&lt;&gt;")=0,"",SUMPRODUCT(((Recommendations[ImplStatus]="Implemented")+(Recommendations[ImplStatus]="Compensated"))*ISNUMBER(MATCH(Recommendations[Id],H112:AU112,0)))/COUNTIF(H112:AU112,"&lt;&gt;"))</f>
        <v/>
      </c>
      <c r="H112" s="170"/>
      <c r="I112" s="170"/>
      <c r="J112" s="170"/>
      <c r="K112" s="170"/>
      <c r="L112" s="170"/>
      <c r="M112" s="170"/>
      <c r="N112" s="170"/>
      <c r="O112" s="170"/>
      <c r="P112" s="170"/>
      <c r="Q112" s="170"/>
      <c r="R112" s="170"/>
      <c r="S112" s="170"/>
      <c r="T112" s="170"/>
      <c r="U112" s="170"/>
      <c r="V112" s="170"/>
      <c r="W112" s="170"/>
      <c r="X112" s="170"/>
      <c r="Y112" s="170"/>
      <c r="Z112" s="170"/>
      <c r="AA112" s="170"/>
      <c r="AB112" s="170"/>
      <c r="AC112" s="170"/>
      <c r="AD112" s="170"/>
      <c r="AE112" s="170"/>
      <c r="AF112" s="170"/>
      <c r="AG112" s="170"/>
      <c r="AH112" s="170"/>
      <c r="AI112" s="170"/>
      <c r="AJ112" s="170"/>
      <c r="AK112" s="170"/>
      <c r="AL112" s="170"/>
      <c r="AM112" s="170"/>
      <c r="AN112" s="170"/>
      <c r="AO112" s="170"/>
      <c r="AP112" s="170"/>
      <c r="AQ112" s="170"/>
      <c r="AR112" s="170"/>
      <c r="AS112" s="170"/>
      <c r="AT112" s="170"/>
      <c r="AU112" s="184"/>
    </row>
    <row r="113" spans="1:47" ht="60" customHeight="1" x14ac:dyDescent="0.35">
      <c r="A113" s="180" t="s">
        <v>4090</v>
      </c>
      <c r="B113" s="154" t="s">
        <v>4144</v>
      </c>
      <c r="C113" s="155" t="s">
        <v>4155</v>
      </c>
      <c r="D113" s="158" t="s">
        <v>4156</v>
      </c>
      <c r="E113" s="161"/>
      <c r="F113" s="164" t="s">
        <v>21</v>
      </c>
      <c r="G113" s="167">
        <f>IF(COUNTIF(H113:AU113,"&lt;&gt;")=0,"",SUMPRODUCT(((Recommendations[ImplStatus]="Implemented")+(Recommendations[ImplStatus]="Compensated"))*ISNUMBER(MATCH(Recommendations[Id],H113:AU113,0)))/COUNTIF(H113:AU113,"&lt;&gt;"))</f>
        <v>0</v>
      </c>
      <c r="H113" s="170" t="s">
        <v>45</v>
      </c>
      <c r="I113" s="170" t="s">
        <v>881</v>
      </c>
      <c r="J113" s="170" t="s">
        <v>886</v>
      </c>
      <c r="K113" s="170" t="s">
        <v>1233</v>
      </c>
      <c r="L113" s="170" t="s">
        <v>1239</v>
      </c>
      <c r="M113" s="170" t="s">
        <v>1244</v>
      </c>
      <c r="N113" s="170" t="s">
        <v>1546</v>
      </c>
      <c r="O113" s="170" t="s">
        <v>1551</v>
      </c>
      <c r="P113" s="170" t="s">
        <v>1555</v>
      </c>
      <c r="Q113" s="170"/>
      <c r="R113" s="170"/>
      <c r="S113" s="170"/>
      <c r="T113" s="170"/>
      <c r="U113" s="170"/>
      <c r="V113" s="170"/>
      <c r="W113" s="170"/>
      <c r="X113" s="170"/>
      <c r="Y113" s="170"/>
      <c r="Z113" s="170"/>
      <c r="AA113" s="170"/>
      <c r="AB113" s="170"/>
      <c r="AC113" s="170"/>
      <c r="AD113" s="170"/>
      <c r="AE113" s="170"/>
      <c r="AF113" s="170"/>
      <c r="AG113" s="170"/>
      <c r="AH113" s="170"/>
      <c r="AI113" s="170"/>
      <c r="AJ113" s="170"/>
      <c r="AK113" s="170"/>
      <c r="AL113" s="170"/>
      <c r="AM113" s="170"/>
      <c r="AN113" s="170"/>
      <c r="AO113" s="170"/>
      <c r="AP113" s="170"/>
      <c r="AQ113" s="170"/>
      <c r="AR113" s="170"/>
      <c r="AS113" s="170"/>
      <c r="AT113" s="170"/>
      <c r="AU113" s="184"/>
    </row>
    <row r="114" spans="1:47" ht="60" customHeight="1" x14ac:dyDescent="0.35">
      <c r="A114" s="180" t="s">
        <v>4090</v>
      </c>
      <c r="B114" s="154" t="s">
        <v>4144</v>
      </c>
      <c r="C114" s="155" t="s">
        <v>4157</v>
      </c>
      <c r="D114" s="158" t="s">
        <v>4158</v>
      </c>
      <c r="E114" s="161"/>
      <c r="F114" s="164" t="s">
        <v>21</v>
      </c>
      <c r="G114" s="167" t="str">
        <f>IF(COUNTIF(H114:AU114,"&lt;&gt;")=0,"",SUMPRODUCT(((Recommendations[ImplStatus]="Implemented")+(Recommendations[ImplStatus]="Compensated"))*ISNUMBER(MATCH(Recommendations[Id],H114:AU114,0)))/COUNTIF(H114:AU114,"&lt;&gt;"))</f>
        <v/>
      </c>
      <c r="H114" s="170"/>
      <c r="I114" s="170"/>
      <c r="J114" s="170"/>
      <c r="K114" s="170"/>
      <c r="L114" s="170"/>
      <c r="M114" s="170"/>
      <c r="N114" s="170"/>
      <c r="O114" s="170"/>
      <c r="P114" s="170"/>
      <c r="Q114" s="170"/>
      <c r="R114" s="170"/>
      <c r="S114" s="170"/>
      <c r="T114" s="170"/>
      <c r="U114" s="170"/>
      <c r="V114" s="170"/>
      <c r="W114" s="170"/>
      <c r="X114" s="170"/>
      <c r="Y114" s="170"/>
      <c r="Z114" s="170"/>
      <c r="AA114" s="170"/>
      <c r="AB114" s="170"/>
      <c r="AC114" s="170"/>
      <c r="AD114" s="170"/>
      <c r="AE114" s="170"/>
      <c r="AF114" s="170"/>
      <c r="AG114" s="170"/>
      <c r="AH114" s="170"/>
      <c r="AI114" s="170"/>
      <c r="AJ114" s="170"/>
      <c r="AK114" s="170"/>
      <c r="AL114" s="170"/>
      <c r="AM114" s="170"/>
      <c r="AN114" s="170"/>
      <c r="AO114" s="170"/>
      <c r="AP114" s="170"/>
      <c r="AQ114" s="170"/>
      <c r="AR114" s="170"/>
      <c r="AS114" s="170"/>
      <c r="AT114" s="170"/>
      <c r="AU114" s="184"/>
    </row>
    <row r="115" spans="1:47" ht="60" customHeight="1" x14ac:dyDescent="0.35">
      <c r="A115" s="180" t="s">
        <v>4090</v>
      </c>
      <c r="B115" s="154" t="s">
        <v>4144</v>
      </c>
      <c r="C115" s="155" t="s">
        <v>4159</v>
      </c>
      <c r="D115" s="158" t="s">
        <v>4160</v>
      </c>
      <c r="E115" s="161"/>
      <c r="F115" s="164" t="s">
        <v>21</v>
      </c>
      <c r="G115" s="167">
        <f>IF(COUNTIF(H115:AU115,"&lt;&gt;")=0,"",SUMPRODUCT(((Recommendations[ImplStatus]="Implemented")+(Recommendations[ImplStatus]="Compensated"))*ISNUMBER(MATCH(Recommendations[Id],H115:AU115,0)))/COUNTIF(H115:AU115,"&lt;&gt;"))</f>
        <v>0</v>
      </c>
      <c r="H115" s="170" t="s">
        <v>1071</v>
      </c>
      <c r="I115" s="170" t="s">
        <v>1480</v>
      </c>
      <c r="J115" s="170" t="s">
        <v>1485</v>
      </c>
      <c r="K115" s="170"/>
      <c r="L115" s="170"/>
      <c r="M115" s="170"/>
      <c r="N115" s="170"/>
      <c r="O115" s="170"/>
      <c r="P115" s="170"/>
      <c r="Q115" s="170"/>
      <c r="R115" s="170"/>
      <c r="S115" s="170"/>
      <c r="T115" s="170"/>
      <c r="U115" s="170"/>
      <c r="V115" s="170"/>
      <c r="W115" s="170"/>
      <c r="X115" s="170"/>
      <c r="Y115" s="170"/>
      <c r="Z115" s="170"/>
      <c r="AA115" s="170"/>
      <c r="AB115" s="170"/>
      <c r="AC115" s="170"/>
      <c r="AD115" s="170"/>
      <c r="AE115" s="170"/>
      <c r="AF115" s="170"/>
      <c r="AG115" s="170"/>
      <c r="AH115" s="170"/>
      <c r="AI115" s="170"/>
      <c r="AJ115" s="170"/>
      <c r="AK115" s="170"/>
      <c r="AL115" s="170"/>
      <c r="AM115" s="170"/>
      <c r="AN115" s="170"/>
      <c r="AO115" s="170"/>
      <c r="AP115" s="170"/>
      <c r="AQ115" s="170"/>
      <c r="AR115" s="170"/>
      <c r="AS115" s="170"/>
      <c r="AT115" s="170"/>
      <c r="AU115" s="184"/>
    </row>
    <row r="116" spans="1:47" ht="60" customHeight="1" x14ac:dyDescent="0.35">
      <c r="A116" s="180" t="s">
        <v>4090</v>
      </c>
      <c r="B116" s="154" t="s">
        <v>4144</v>
      </c>
      <c r="C116" s="155" t="s">
        <v>4161</v>
      </c>
      <c r="D116" s="158" t="s">
        <v>4162</v>
      </c>
      <c r="E116" s="161"/>
      <c r="F116" s="164" t="s">
        <v>21</v>
      </c>
      <c r="G116" s="167" t="str">
        <f>IF(COUNTIF(H116:AU116,"&lt;&gt;")=0,"",SUMPRODUCT(((Recommendations[ImplStatus]="Implemented")+(Recommendations[ImplStatus]="Compensated"))*ISNUMBER(MATCH(Recommendations[Id],H116:AU116,0)))/COUNTIF(H116:AU116,"&lt;&gt;"))</f>
        <v/>
      </c>
      <c r="H116" s="170"/>
      <c r="I116" s="170"/>
      <c r="J116" s="170"/>
      <c r="K116" s="170"/>
      <c r="L116" s="170"/>
      <c r="M116" s="170"/>
      <c r="N116" s="170"/>
      <c r="O116" s="170"/>
      <c r="P116" s="170"/>
      <c r="Q116" s="170"/>
      <c r="R116" s="170"/>
      <c r="S116" s="170"/>
      <c r="T116" s="170"/>
      <c r="U116" s="170"/>
      <c r="V116" s="170"/>
      <c r="W116" s="170"/>
      <c r="X116" s="170"/>
      <c r="Y116" s="170"/>
      <c r="Z116" s="170"/>
      <c r="AA116" s="170"/>
      <c r="AB116" s="170"/>
      <c r="AC116" s="170"/>
      <c r="AD116" s="170"/>
      <c r="AE116" s="170"/>
      <c r="AF116" s="170"/>
      <c r="AG116" s="170"/>
      <c r="AH116" s="170"/>
      <c r="AI116" s="170"/>
      <c r="AJ116" s="170"/>
      <c r="AK116" s="170"/>
      <c r="AL116" s="170"/>
      <c r="AM116" s="170"/>
      <c r="AN116" s="170"/>
      <c r="AO116" s="170"/>
      <c r="AP116" s="170"/>
      <c r="AQ116" s="170"/>
      <c r="AR116" s="170"/>
      <c r="AS116" s="170"/>
      <c r="AT116" s="170"/>
      <c r="AU116" s="184"/>
    </row>
    <row r="117" spans="1:47" ht="60" customHeight="1" x14ac:dyDescent="0.35">
      <c r="A117" s="180" t="s">
        <v>4090</v>
      </c>
      <c r="B117" s="154" t="s">
        <v>4144</v>
      </c>
      <c r="C117" s="155" t="s">
        <v>4163</v>
      </c>
      <c r="D117" s="158" t="s">
        <v>4164</v>
      </c>
      <c r="E117" s="161"/>
      <c r="F117" s="164" t="s">
        <v>21</v>
      </c>
      <c r="G117" s="167" t="str">
        <f>IF(COUNTIF(H117:AU117,"&lt;&gt;")=0,"",SUMPRODUCT(((Recommendations[ImplStatus]="Implemented")+(Recommendations[ImplStatus]="Compensated"))*ISNUMBER(MATCH(Recommendations[Id],H117:AU117,0)))/COUNTIF(H117:AU117,"&lt;&gt;"))</f>
        <v/>
      </c>
      <c r="H117" s="170"/>
      <c r="I117" s="170"/>
      <c r="J117" s="170"/>
      <c r="K117" s="170"/>
      <c r="L117" s="170"/>
      <c r="M117" s="170"/>
      <c r="N117" s="170"/>
      <c r="O117" s="170"/>
      <c r="P117" s="170"/>
      <c r="Q117" s="170"/>
      <c r="R117" s="170"/>
      <c r="S117" s="170"/>
      <c r="T117" s="170"/>
      <c r="U117" s="170"/>
      <c r="V117" s="170"/>
      <c r="W117" s="170"/>
      <c r="X117" s="170"/>
      <c r="Y117" s="170"/>
      <c r="Z117" s="170"/>
      <c r="AA117" s="170"/>
      <c r="AB117" s="170"/>
      <c r="AC117" s="170"/>
      <c r="AD117" s="170"/>
      <c r="AE117" s="170"/>
      <c r="AF117" s="170"/>
      <c r="AG117" s="170"/>
      <c r="AH117" s="170"/>
      <c r="AI117" s="170"/>
      <c r="AJ117" s="170"/>
      <c r="AK117" s="170"/>
      <c r="AL117" s="170"/>
      <c r="AM117" s="170"/>
      <c r="AN117" s="170"/>
      <c r="AO117" s="170"/>
      <c r="AP117" s="170"/>
      <c r="AQ117" s="170"/>
      <c r="AR117" s="170"/>
      <c r="AS117" s="170"/>
      <c r="AT117" s="170"/>
      <c r="AU117" s="184"/>
    </row>
    <row r="118" spans="1:47" ht="60" customHeight="1" x14ac:dyDescent="0.35">
      <c r="A118" s="180" t="s">
        <v>4090</v>
      </c>
      <c r="B118" s="154" t="s">
        <v>4144</v>
      </c>
      <c r="C118" s="155" t="s">
        <v>4165</v>
      </c>
      <c r="D118" s="158" t="s">
        <v>4166</v>
      </c>
      <c r="E118" s="161" t="s">
        <v>4167</v>
      </c>
      <c r="F118" s="164" t="s">
        <v>3867</v>
      </c>
      <c r="G118" s="167" t="str">
        <f>IF(COUNTIF(H118:AU118,"&lt;&gt;")=0,"",SUMPRODUCT(((Recommendations[ImplStatus]="Implemented")+(Recommendations[ImplStatus]="Compensated"))*ISNUMBER(MATCH(Recommendations[Id],H118:AU118,0)))/COUNTIF(H118:AU118,"&lt;&gt;"))</f>
        <v/>
      </c>
      <c r="H118" s="170"/>
      <c r="I118" s="170"/>
      <c r="J118" s="170"/>
      <c r="K118" s="170"/>
      <c r="L118" s="170"/>
      <c r="M118" s="170"/>
      <c r="N118" s="170"/>
      <c r="O118" s="170"/>
      <c r="P118" s="170"/>
      <c r="Q118" s="170"/>
      <c r="R118" s="170"/>
      <c r="S118" s="170"/>
      <c r="T118" s="170"/>
      <c r="U118" s="170"/>
      <c r="V118" s="170"/>
      <c r="W118" s="170"/>
      <c r="X118" s="170"/>
      <c r="Y118" s="170"/>
      <c r="Z118" s="170"/>
      <c r="AA118" s="170"/>
      <c r="AB118" s="170"/>
      <c r="AC118" s="170"/>
      <c r="AD118" s="170"/>
      <c r="AE118" s="170"/>
      <c r="AF118" s="170"/>
      <c r="AG118" s="170"/>
      <c r="AH118" s="170"/>
      <c r="AI118" s="170"/>
      <c r="AJ118" s="170"/>
      <c r="AK118" s="170"/>
      <c r="AL118" s="170"/>
      <c r="AM118" s="170"/>
      <c r="AN118" s="170"/>
      <c r="AO118" s="170"/>
      <c r="AP118" s="170"/>
      <c r="AQ118" s="170"/>
      <c r="AR118" s="170"/>
      <c r="AS118" s="170"/>
      <c r="AT118" s="170"/>
      <c r="AU118" s="184"/>
    </row>
    <row r="119" spans="1:47" ht="60" customHeight="1" x14ac:dyDescent="0.35">
      <c r="A119" s="180" t="s">
        <v>4090</v>
      </c>
      <c r="B119" s="154" t="s">
        <v>4144</v>
      </c>
      <c r="C119" s="155" t="s">
        <v>4168</v>
      </c>
      <c r="D119" s="158" t="s">
        <v>4169</v>
      </c>
      <c r="E119" s="161" t="s">
        <v>4170</v>
      </c>
      <c r="F119" s="164" t="s">
        <v>3867</v>
      </c>
      <c r="G119" s="167" t="str">
        <f>IF(COUNTIF(H119:AU119,"&lt;&gt;")=0,"",SUMPRODUCT(((Recommendations[ImplStatus]="Implemented")+(Recommendations[ImplStatus]="Compensated"))*ISNUMBER(MATCH(Recommendations[Id],H119:AU119,0)))/COUNTIF(H119:AU119,"&lt;&gt;"))</f>
        <v/>
      </c>
      <c r="H119" s="170"/>
      <c r="I119" s="170"/>
      <c r="J119" s="170"/>
      <c r="K119" s="170"/>
      <c r="L119" s="170"/>
      <c r="M119" s="170"/>
      <c r="N119" s="170"/>
      <c r="O119" s="170"/>
      <c r="P119" s="170"/>
      <c r="Q119" s="170"/>
      <c r="R119" s="170"/>
      <c r="S119" s="170"/>
      <c r="T119" s="170"/>
      <c r="U119" s="170"/>
      <c r="V119" s="170"/>
      <c r="W119" s="170"/>
      <c r="X119" s="170"/>
      <c r="Y119" s="170"/>
      <c r="Z119" s="170"/>
      <c r="AA119" s="170"/>
      <c r="AB119" s="170"/>
      <c r="AC119" s="170"/>
      <c r="AD119" s="170"/>
      <c r="AE119" s="170"/>
      <c r="AF119" s="170"/>
      <c r="AG119" s="170"/>
      <c r="AH119" s="170"/>
      <c r="AI119" s="170"/>
      <c r="AJ119" s="170"/>
      <c r="AK119" s="170"/>
      <c r="AL119" s="170"/>
      <c r="AM119" s="170"/>
      <c r="AN119" s="170"/>
      <c r="AO119" s="170"/>
      <c r="AP119" s="170"/>
      <c r="AQ119" s="170"/>
      <c r="AR119" s="170"/>
      <c r="AS119" s="170"/>
      <c r="AT119" s="170"/>
      <c r="AU119" s="184"/>
    </row>
    <row r="120" spans="1:47" ht="60" customHeight="1" outlineLevel="1" x14ac:dyDescent="0.35">
      <c r="A120" s="179" t="s">
        <v>4090</v>
      </c>
      <c r="B120" s="153" t="s">
        <v>4171</v>
      </c>
      <c r="C120" s="151" t="s">
        <v>4172</v>
      </c>
      <c r="D120" s="157"/>
      <c r="E120" s="160" t="s">
        <v>21</v>
      </c>
      <c r="F120" s="163" t="s">
        <v>21</v>
      </c>
      <c r="G120" s="166" t="str">
        <f>IF(COUNTIF(H120:AU120,"&lt;&gt;")=0,"",SUMPRODUCT(((Recommendations[ImplStatus]="Implemented")+(Recommendations[ImplStatus]="Compensated"))*ISNUMBER(MATCH(Recommendations[Id],H120:AU120,0)))/COUNTIF(H120:AU120,"&lt;&gt;"))</f>
        <v/>
      </c>
      <c r="H120" s="169"/>
      <c r="I120" s="169"/>
      <c r="J120" s="169"/>
      <c r="K120" s="169"/>
      <c r="L120" s="169"/>
      <c r="M120" s="169"/>
      <c r="N120" s="169"/>
      <c r="O120" s="169"/>
      <c r="P120" s="169"/>
      <c r="Q120" s="169"/>
      <c r="R120" s="169"/>
      <c r="S120" s="169"/>
      <c r="T120" s="169"/>
      <c r="U120" s="169"/>
      <c r="V120" s="169"/>
      <c r="W120" s="169"/>
      <c r="X120" s="169"/>
      <c r="Y120" s="169"/>
      <c r="Z120" s="169"/>
      <c r="AA120" s="169"/>
      <c r="AB120" s="169"/>
      <c r="AC120" s="169"/>
      <c r="AD120" s="169"/>
      <c r="AE120" s="169"/>
      <c r="AF120" s="169"/>
      <c r="AG120" s="169"/>
      <c r="AH120" s="169"/>
      <c r="AI120" s="169"/>
      <c r="AJ120" s="169"/>
      <c r="AK120" s="169"/>
      <c r="AL120" s="169"/>
      <c r="AM120" s="169"/>
      <c r="AN120" s="169"/>
      <c r="AO120" s="169"/>
      <c r="AP120" s="169"/>
      <c r="AQ120" s="169"/>
      <c r="AR120" s="169"/>
      <c r="AS120" s="169"/>
      <c r="AT120" s="169"/>
      <c r="AU120" s="183"/>
    </row>
    <row r="121" spans="1:47" ht="60" customHeight="1" x14ac:dyDescent="0.35">
      <c r="A121" s="180" t="s">
        <v>4090</v>
      </c>
      <c r="B121" s="154" t="s">
        <v>4171</v>
      </c>
      <c r="C121" s="155" t="s">
        <v>4173</v>
      </c>
      <c r="D121" s="158" t="s">
        <v>4174</v>
      </c>
      <c r="E121" s="161"/>
      <c r="F121" s="164" t="s">
        <v>21</v>
      </c>
      <c r="G121" s="167" t="str">
        <f>IF(COUNTIF(H121:AU121,"&lt;&gt;")=0,"",SUMPRODUCT(((Recommendations[ImplStatus]="Implemented")+(Recommendations[ImplStatus]="Compensated"))*ISNUMBER(MATCH(Recommendations[Id],H121:AU121,0)))/COUNTIF(H121:AU121,"&lt;&gt;"))</f>
        <v/>
      </c>
      <c r="H121" s="170"/>
      <c r="I121" s="170"/>
      <c r="J121" s="170"/>
      <c r="K121" s="170"/>
      <c r="L121" s="170"/>
      <c r="M121" s="170"/>
      <c r="N121" s="170"/>
      <c r="O121" s="170"/>
      <c r="P121" s="170"/>
      <c r="Q121" s="170"/>
      <c r="R121" s="170"/>
      <c r="S121" s="170"/>
      <c r="T121" s="170"/>
      <c r="U121" s="170"/>
      <c r="V121" s="170"/>
      <c r="W121" s="170"/>
      <c r="X121" s="170"/>
      <c r="Y121" s="170"/>
      <c r="Z121" s="170"/>
      <c r="AA121" s="170"/>
      <c r="AB121" s="170"/>
      <c r="AC121" s="170"/>
      <c r="AD121" s="170"/>
      <c r="AE121" s="170"/>
      <c r="AF121" s="170"/>
      <c r="AG121" s="170"/>
      <c r="AH121" s="170"/>
      <c r="AI121" s="170"/>
      <c r="AJ121" s="170"/>
      <c r="AK121" s="170"/>
      <c r="AL121" s="170"/>
      <c r="AM121" s="170"/>
      <c r="AN121" s="170"/>
      <c r="AO121" s="170"/>
      <c r="AP121" s="170"/>
      <c r="AQ121" s="170"/>
      <c r="AR121" s="170"/>
      <c r="AS121" s="170"/>
      <c r="AT121" s="170"/>
      <c r="AU121" s="184"/>
    </row>
    <row r="122" spans="1:47" ht="60" customHeight="1" x14ac:dyDescent="0.35">
      <c r="A122" s="180" t="s">
        <v>4090</v>
      </c>
      <c r="B122" s="154" t="s">
        <v>4171</v>
      </c>
      <c r="C122" s="155" t="s">
        <v>4175</v>
      </c>
      <c r="D122" s="158" t="s">
        <v>4176</v>
      </c>
      <c r="E122" s="161"/>
      <c r="F122" s="164" t="s">
        <v>21</v>
      </c>
      <c r="G122" s="167" t="str">
        <f>IF(COUNTIF(H122:AU122,"&lt;&gt;")=0,"",SUMPRODUCT(((Recommendations[ImplStatus]="Implemented")+(Recommendations[ImplStatus]="Compensated"))*ISNUMBER(MATCH(Recommendations[Id],H122:AU122,0)))/COUNTIF(H122:AU122,"&lt;&gt;"))</f>
        <v/>
      </c>
      <c r="H122" s="170"/>
      <c r="I122" s="170"/>
      <c r="J122" s="170"/>
      <c r="K122" s="170"/>
      <c r="L122" s="170"/>
      <c r="M122" s="170"/>
      <c r="N122" s="170"/>
      <c r="O122" s="170"/>
      <c r="P122" s="170"/>
      <c r="Q122" s="170"/>
      <c r="R122" s="170"/>
      <c r="S122" s="170"/>
      <c r="T122" s="170"/>
      <c r="U122" s="170"/>
      <c r="V122" s="170"/>
      <c r="W122" s="170"/>
      <c r="X122" s="170"/>
      <c r="Y122" s="170"/>
      <c r="Z122" s="170"/>
      <c r="AA122" s="170"/>
      <c r="AB122" s="170"/>
      <c r="AC122" s="170"/>
      <c r="AD122" s="170"/>
      <c r="AE122" s="170"/>
      <c r="AF122" s="170"/>
      <c r="AG122" s="170"/>
      <c r="AH122" s="170"/>
      <c r="AI122" s="170"/>
      <c r="AJ122" s="170"/>
      <c r="AK122" s="170"/>
      <c r="AL122" s="170"/>
      <c r="AM122" s="170"/>
      <c r="AN122" s="170"/>
      <c r="AO122" s="170"/>
      <c r="AP122" s="170"/>
      <c r="AQ122" s="170"/>
      <c r="AR122" s="170"/>
      <c r="AS122" s="170"/>
      <c r="AT122" s="170"/>
      <c r="AU122" s="184"/>
    </row>
    <row r="123" spans="1:47" ht="60" customHeight="1" x14ac:dyDescent="0.35">
      <c r="A123" s="180" t="s">
        <v>4090</v>
      </c>
      <c r="B123" s="154" t="s">
        <v>4171</v>
      </c>
      <c r="C123" s="155" t="s">
        <v>4177</v>
      </c>
      <c r="D123" s="158" t="s">
        <v>4178</v>
      </c>
      <c r="E123" s="161"/>
      <c r="F123" s="164" t="s">
        <v>21</v>
      </c>
      <c r="G123" s="167" t="str">
        <f>IF(COUNTIF(H123:AU123,"&lt;&gt;")=0,"",SUMPRODUCT(((Recommendations[ImplStatus]="Implemented")+(Recommendations[ImplStatus]="Compensated"))*ISNUMBER(MATCH(Recommendations[Id],H123:AU123,0)))/COUNTIF(H123:AU123,"&lt;&gt;"))</f>
        <v/>
      </c>
      <c r="H123" s="170"/>
      <c r="I123" s="170"/>
      <c r="J123" s="170"/>
      <c r="K123" s="170"/>
      <c r="L123" s="170"/>
      <c r="M123" s="170"/>
      <c r="N123" s="170"/>
      <c r="O123" s="170"/>
      <c r="P123" s="170"/>
      <c r="Q123" s="170"/>
      <c r="R123" s="170"/>
      <c r="S123" s="170"/>
      <c r="T123" s="170"/>
      <c r="U123" s="170"/>
      <c r="V123" s="170"/>
      <c r="W123" s="170"/>
      <c r="X123" s="170"/>
      <c r="Y123" s="170"/>
      <c r="Z123" s="170"/>
      <c r="AA123" s="170"/>
      <c r="AB123" s="170"/>
      <c r="AC123" s="170"/>
      <c r="AD123" s="170"/>
      <c r="AE123" s="170"/>
      <c r="AF123" s="170"/>
      <c r="AG123" s="170"/>
      <c r="AH123" s="170"/>
      <c r="AI123" s="170"/>
      <c r="AJ123" s="170"/>
      <c r="AK123" s="170"/>
      <c r="AL123" s="170"/>
      <c r="AM123" s="170"/>
      <c r="AN123" s="170"/>
      <c r="AO123" s="170"/>
      <c r="AP123" s="170"/>
      <c r="AQ123" s="170"/>
      <c r="AR123" s="170"/>
      <c r="AS123" s="170"/>
      <c r="AT123" s="170"/>
      <c r="AU123" s="184"/>
    </row>
    <row r="124" spans="1:47" ht="60" customHeight="1" x14ac:dyDescent="0.35">
      <c r="A124" s="180" t="s">
        <v>4090</v>
      </c>
      <c r="B124" s="154" t="s">
        <v>4171</v>
      </c>
      <c r="C124" s="155" t="s">
        <v>4179</v>
      </c>
      <c r="D124" s="158" t="s">
        <v>4180</v>
      </c>
      <c r="E124" s="161"/>
      <c r="F124" s="164" t="s">
        <v>21</v>
      </c>
      <c r="G124" s="167" t="str">
        <f>IF(COUNTIF(H124:AU124,"&lt;&gt;")=0,"",SUMPRODUCT(((Recommendations[ImplStatus]="Implemented")+(Recommendations[ImplStatus]="Compensated"))*ISNUMBER(MATCH(Recommendations[Id],H124:AU124,0)))/COUNTIF(H124:AU124,"&lt;&gt;"))</f>
        <v/>
      </c>
      <c r="H124" s="170"/>
      <c r="I124" s="170"/>
      <c r="J124" s="170"/>
      <c r="K124" s="170"/>
      <c r="L124" s="170"/>
      <c r="M124" s="170"/>
      <c r="N124" s="170"/>
      <c r="O124" s="170"/>
      <c r="P124" s="170"/>
      <c r="Q124" s="170"/>
      <c r="R124" s="170"/>
      <c r="S124" s="170"/>
      <c r="T124" s="170"/>
      <c r="U124" s="170"/>
      <c r="V124" s="170"/>
      <c r="W124" s="170"/>
      <c r="X124" s="170"/>
      <c r="Y124" s="170"/>
      <c r="Z124" s="170"/>
      <c r="AA124" s="170"/>
      <c r="AB124" s="170"/>
      <c r="AC124" s="170"/>
      <c r="AD124" s="170"/>
      <c r="AE124" s="170"/>
      <c r="AF124" s="170"/>
      <c r="AG124" s="170"/>
      <c r="AH124" s="170"/>
      <c r="AI124" s="170"/>
      <c r="AJ124" s="170"/>
      <c r="AK124" s="170"/>
      <c r="AL124" s="170"/>
      <c r="AM124" s="170"/>
      <c r="AN124" s="170"/>
      <c r="AO124" s="170"/>
      <c r="AP124" s="170"/>
      <c r="AQ124" s="170"/>
      <c r="AR124" s="170"/>
      <c r="AS124" s="170"/>
      <c r="AT124" s="170"/>
      <c r="AU124" s="184"/>
    </row>
    <row r="125" spans="1:47" ht="60" customHeight="1" x14ac:dyDescent="0.35">
      <c r="A125" s="180" t="s">
        <v>4090</v>
      </c>
      <c r="B125" s="154" t="s">
        <v>4171</v>
      </c>
      <c r="C125" s="155" t="s">
        <v>4181</v>
      </c>
      <c r="D125" s="158" t="s">
        <v>4182</v>
      </c>
      <c r="E125" s="161"/>
      <c r="F125" s="164" t="s">
        <v>21</v>
      </c>
      <c r="G125" s="167" t="str">
        <f>IF(COUNTIF(H125:AU125,"&lt;&gt;")=0,"",SUMPRODUCT(((Recommendations[ImplStatus]="Implemented")+(Recommendations[ImplStatus]="Compensated"))*ISNUMBER(MATCH(Recommendations[Id],H125:AU125,0)))/COUNTIF(H125:AU125,"&lt;&gt;"))</f>
        <v/>
      </c>
      <c r="H125" s="170"/>
      <c r="I125" s="170"/>
      <c r="J125" s="170"/>
      <c r="K125" s="170"/>
      <c r="L125" s="170"/>
      <c r="M125" s="170"/>
      <c r="N125" s="170"/>
      <c r="O125" s="170"/>
      <c r="P125" s="170"/>
      <c r="Q125" s="170"/>
      <c r="R125" s="170"/>
      <c r="S125" s="170"/>
      <c r="T125" s="170"/>
      <c r="U125" s="170"/>
      <c r="V125" s="170"/>
      <c r="W125" s="170"/>
      <c r="X125" s="170"/>
      <c r="Y125" s="170"/>
      <c r="Z125" s="170"/>
      <c r="AA125" s="170"/>
      <c r="AB125" s="170"/>
      <c r="AC125" s="170"/>
      <c r="AD125" s="170"/>
      <c r="AE125" s="170"/>
      <c r="AF125" s="170"/>
      <c r="AG125" s="170"/>
      <c r="AH125" s="170"/>
      <c r="AI125" s="170"/>
      <c r="AJ125" s="170"/>
      <c r="AK125" s="170"/>
      <c r="AL125" s="170"/>
      <c r="AM125" s="170"/>
      <c r="AN125" s="170"/>
      <c r="AO125" s="170"/>
      <c r="AP125" s="170"/>
      <c r="AQ125" s="170"/>
      <c r="AR125" s="170"/>
      <c r="AS125" s="170"/>
      <c r="AT125" s="170"/>
      <c r="AU125" s="184"/>
    </row>
    <row r="126" spans="1:47" ht="60" customHeight="1" x14ac:dyDescent="0.35">
      <c r="A126" s="180" t="s">
        <v>4090</v>
      </c>
      <c r="B126" s="154" t="s">
        <v>4171</v>
      </c>
      <c r="C126" s="155" t="s">
        <v>4183</v>
      </c>
      <c r="D126" s="158" t="s">
        <v>4184</v>
      </c>
      <c r="E126" s="161"/>
      <c r="F126" s="164" t="s">
        <v>21</v>
      </c>
      <c r="G126" s="167" t="str">
        <f>IF(COUNTIF(H126:AU126,"&lt;&gt;")=0,"",SUMPRODUCT(((Recommendations[ImplStatus]="Implemented")+(Recommendations[ImplStatus]="Compensated"))*ISNUMBER(MATCH(Recommendations[Id],H126:AU126,0)))/COUNTIF(H126:AU126,"&lt;&gt;"))</f>
        <v/>
      </c>
      <c r="H126" s="170"/>
      <c r="I126" s="170"/>
      <c r="J126" s="170"/>
      <c r="K126" s="170"/>
      <c r="L126" s="170"/>
      <c r="M126" s="170"/>
      <c r="N126" s="170"/>
      <c r="O126" s="170"/>
      <c r="P126" s="170"/>
      <c r="Q126" s="170"/>
      <c r="R126" s="170"/>
      <c r="S126" s="170"/>
      <c r="T126" s="170"/>
      <c r="U126" s="170"/>
      <c r="V126" s="170"/>
      <c r="W126" s="170"/>
      <c r="X126" s="170"/>
      <c r="Y126" s="170"/>
      <c r="Z126" s="170"/>
      <c r="AA126" s="170"/>
      <c r="AB126" s="170"/>
      <c r="AC126" s="170"/>
      <c r="AD126" s="170"/>
      <c r="AE126" s="170"/>
      <c r="AF126" s="170"/>
      <c r="AG126" s="170"/>
      <c r="AH126" s="170"/>
      <c r="AI126" s="170"/>
      <c r="AJ126" s="170"/>
      <c r="AK126" s="170"/>
      <c r="AL126" s="170"/>
      <c r="AM126" s="170"/>
      <c r="AN126" s="170"/>
      <c r="AO126" s="170"/>
      <c r="AP126" s="170"/>
      <c r="AQ126" s="170"/>
      <c r="AR126" s="170"/>
      <c r="AS126" s="170"/>
      <c r="AT126" s="170"/>
      <c r="AU126" s="184"/>
    </row>
    <row r="127" spans="1:47" ht="60" customHeight="1" x14ac:dyDescent="0.35">
      <c r="A127" s="180" t="s">
        <v>4090</v>
      </c>
      <c r="B127" s="154" t="s">
        <v>4171</v>
      </c>
      <c r="C127" s="155" t="s">
        <v>4185</v>
      </c>
      <c r="D127" s="158" t="s">
        <v>4186</v>
      </c>
      <c r="E127" s="161"/>
      <c r="F127" s="164" t="s">
        <v>21</v>
      </c>
      <c r="G127" s="167" t="str">
        <f>IF(COUNTIF(H127:AU127,"&lt;&gt;")=0,"",SUMPRODUCT(((Recommendations[ImplStatus]="Implemented")+(Recommendations[ImplStatus]="Compensated"))*ISNUMBER(MATCH(Recommendations[Id],H127:AU127,0)))/COUNTIF(H127:AU127,"&lt;&gt;"))</f>
        <v/>
      </c>
      <c r="H127" s="170"/>
      <c r="I127" s="170"/>
      <c r="J127" s="170"/>
      <c r="K127" s="170"/>
      <c r="L127" s="170"/>
      <c r="M127" s="170"/>
      <c r="N127" s="170"/>
      <c r="O127" s="170"/>
      <c r="P127" s="170"/>
      <c r="Q127" s="170"/>
      <c r="R127" s="170"/>
      <c r="S127" s="170"/>
      <c r="T127" s="170"/>
      <c r="U127" s="170"/>
      <c r="V127" s="170"/>
      <c r="W127" s="170"/>
      <c r="X127" s="170"/>
      <c r="Y127" s="170"/>
      <c r="Z127" s="170"/>
      <c r="AA127" s="170"/>
      <c r="AB127" s="170"/>
      <c r="AC127" s="170"/>
      <c r="AD127" s="170"/>
      <c r="AE127" s="170"/>
      <c r="AF127" s="170"/>
      <c r="AG127" s="170"/>
      <c r="AH127" s="170"/>
      <c r="AI127" s="170"/>
      <c r="AJ127" s="170"/>
      <c r="AK127" s="170"/>
      <c r="AL127" s="170"/>
      <c r="AM127" s="170"/>
      <c r="AN127" s="170"/>
      <c r="AO127" s="170"/>
      <c r="AP127" s="170"/>
      <c r="AQ127" s="170"/>
      <c r="AR127" s="170"/>
      <c r="AS127" s="170"/>
      <c r="AT127" s="170"/>
      <c r="AU127" s="184"/>
    </row>
    <row r="128" spans="1:47" ht="60" customHeight="1" x14ac:dyDescent="0.35">
      <c r="A128" s="180" t="s">
        <v>4090</v>
      </c>
      <c r="B128" s="154" t="s">
        <v>4171</v>
      </c>
      <c r="C128" s="155" t="s">
        <v>4187</v>
      </c>
      <c r="D128" s="158" t="s">
        <v>4188</v>
      </c>
      <c r="E128" s="161"/>
      <c r="F128" s="164" t="s">
        <v>21</v>
      </c>
      <c r="G128" s="167" t="str">
        <f>IF(COUNTIF(H128:AU128,"&lt;&gt;")=0,"",SUMPRODUCT(((Recommendations[ImplStatus]="Implemented")+(Recommendations[ImplStatus]="Compensated"))*ISNUMBER(MATCH(Recommendations[Id],H128:AU128,0)))/COUNTIF(H128:AU128,"&lt;&gt;"))</f>
        <v/>
      </c>
      <c r="H128" s="170"/>
      <c r="I128" s="170"/>
      <c r="J128" s="170"/>
      <c r="K128" s="170"/>
      <c r="L128" s="170"/>
      <c r="M128" s="170"/>
      <c r="N128" s="170"/>
      <c r="O128" s="170"/>
      <c r="P128" s="170"/>
      <c r="Q128" s="170"/>
      <c r="R128" s="170"/>
      <c r="S128" s="170"/>
      <c r="T128" s="170"/>
      <c r="U128" s="170"/>
      <c r="V128" s="170"/>
      <c r="W128" s="170"/>
      <c r="X128" s="170"/>
      <c r="Y128" s="170"/>
      <c r="Z128" s="170"/>
      <c r="AA128" s="170"/>
      <c r="AB128" s="170"/>
      <c r="AC128" s="170"/>
      <c r="AD128" s="170"/>
      <c r="AE128" s="170"/>
      <c r="AF128" s="170"/>
      <c r="AG128" s="170"/>
      <c r="AH128" s="170"/>
      <c r="AI128" s="170"/>
      <c r="AJ128" s="170"/>
      <c r="AK128" s="170"/>
      <c r="AL128" s="170"/>
      <c r="AM128" s="170"/>
      <c r="AN128" s="170"/>
      <c r="AO128" s="170"/>
      <c r="AP128" s="170"/>
      <c r="AQ128" s="170"/>
      <c r="AR128" s="170"/>
      <c r="AS128" s="170"/>
      <c r="AT128" s="170"/>
      <c r="AU128" s="184"/>
    </row>
    <row r="129" spans="1:47" ht="60" customHeight="1" x14ac:dyDescent="0.35">
      <c r="A129" s="180" t="s">
        <v>4090</v>
      </c>
      <c r="B129" s="154" t="s">
        <v>4171</v>
      </c>
      <c r="C129" s="155" t="s">
        <v>4189</v>
      </c>
      <c r="D129" s="158" t="s">
        <v>4190</v>
      </c>
      <c r="E129" s="161"/>
      <c r="F129" s="164" t="s">
        <v>21</v>
      </c>
      <c r="G129" s="167" t="str">
        <f>IF(COUNTIF(H129:AU129,"&lt;&gt;")=0,"",SUMPRODUCT(((Recommendations[ImplStatus]="Implemented")+(Recommendations[ImplStatus]="Compensated"))*ISNUMBER(MATCH(Recommendations[Id],H129:AU129,0)))/COUNTIF(H129:AU129,"&lt;&gt;"))</f>
        <v/>
      </c>
      <c r="H129" s="170"/>
      <c r="I129" s="170"/>
      <c r="J129" s="170"/>
      <c r="K129" s="170"/>
      <c r="L129" s="170"/>
      <c r="M129" s="170"/>
      <c r="N129" s="170"/>
      <c r="O129" s="170"/>
      <c r="P129" s="170"/>
      <c r="Q129" s="170"/>
      <c r="R129" s="170"/>
      <c r="S129" s="170"/>
      <c r="T129" s="170"/>
      <c r="U129" s="170"/>
      <c r="V129" s="170"/>
      <c r="W129" s="170"/>
      <c r="X129" s="170"/>
      <c r="Y129" s="170"/>
      <c r="Z129" s="170"/>
      <c r="AA129" s="170"/>
      <c r="AB129" s="170"/>
      <c r="AC129" s="170"/>
      <c r="AD129" s="170"/>
      <c r="AE129" s="170"/>
      <c r="AF129" s="170"/>
      <c r="AG129" s="170"/>
      <c r="AH129" s="170"/>
      <c r="AI129" s="170"/>
      <c r="AJ129" s="170"/>
      <c r="AK129" s="170"/>
      <c r="AL129" s="170"/>
      <c r="AM129" s="170"/>
      <c r="AN129" s="170"/>
      <c r="AO129" s="170"/>
      <c r="AP129" s="170"/>
      <c r="AQ129" s="170"/>
      <c r="AR129" s="170"/>
      <c r="AS129" s="170"/>
      <c r="AT129" s="170"/>
      <c r="AU129" s="184"/>
    </row>
    <row r="130" spans="1:47" ht="60" customHeight="1" x14ac:dyDescent="0.35">
      <c r="A130" s="180" t="s">
        <v>4090</v>
      </c>
      <c r="B130" s="154" t="s">
        <v>4171</v>
      </c>
      <c r="C130" s="155" t="s">
        <v>4191</v>
      </c>
      <c r="D130" s="158" t="s">
        <v>4192</v>
      </c>
      <c r="E130" s="161"/>
      <c r="F130" s="164" t="s">
        <v>21</v>
      </c>
      <c r="G130" s="167" t="str">
        <f>IF(COUNTIF(H130:AU130,"&lt;&gt;")=0,"",SUMPRODUCT(((Recommendations[ImplStatus]="Implemented")+(Recommendations[ImplStatus]="Compensated"))*ISNUMBER(MATCH(Recommendations[Id],H130:AU130,0)))/COUNTIF(H130:AU130,"&lt;&gt;"))</f>
        <v/>
      </c>
      <c r="H130" s="170"/>
      <c r="I130" s="170"/>
      <c r="J130" s="170"/>
      <c r="K130" s="170"/>
      <c r="L130" s="170"/>
      <c r="M130" s="170"/>
      <c r="N130" s="170"/>
      <c r="O130" s="170"/>
      <c r="P130" s="170"/>
      <c r="Q130" s="170"/>
      <c r="R130" s="170"/>
      <c r="S130" s="170"/>
      <c r="T130" s="170"/>
      <c r="U130" s="170"/>
      <c r="V130" s="170"/>
      <c r="W130" s="170"/>
      <c r="X130" s="170"/>
      <c r="Y130" s="170"/>
      <c r="Z130" s="170"/>
      <c r="AA130" s="170"/>
      <c r="AB130" s="170"/>
      <c r="AC130" s="170"/>
      <c r="AD130" s="170"/>
      <c r="AE130" s="170"/>
      <c r="AF130" s="170"/>
      <c r="AG130" s="170"/>
      <c r="AH130" s="170"/>
      <c r="AI130" s="170"/>
      <c r="AJ130" s="170"/>
      <c r="AK130" s="170"/>
      <c r="AL130" s="170"/>
      <c r="AM130" s="170"/>
      <c r="AN130" s="170"/>
      <c r="AO130" s="170"/>
      <c r="AP130" s="170"/>
      <c r="AQ130" s="170"/>
      <c r="AR130" s="170"/>
      <c r="AS130" s="170"/>
      <c r="AT130" s="170"/>
      <c r="AU130" s="184"/>
    </row>
    <row r="131" spans="1:47" ht="60" customHeight="1" x14ac:dyDescent="0.35">
      <c r="A131" s="180" t="s">
        <v>4090</v>
      </c>
      <c r="B131" s="154" t="s">
        <v>4171</v>
      </c>
      <c r="C131" s="155" t="s">
        <v>4193</v>
      </c>
      <c r="D131" s="158" t="s">
        <v>4194</v>
      </c>
      <c r="E131" s="161"/>
      <c r="F131" s="164" t="s">
        <v>21</v>
      </c>
      <c r="G131" s="167" t="str">
        <f>IF(COUNTIF(H131:AU131,"&lt;&gt;")=0,"",SUMPRODUCT(((Recommendations[ImplStatus]="Implemented")+(Recommendations[ImplStatus]="Compensated"))*ISNUMBER(MATCH(Recommendations[Id],H131:AU131,0)))/COUNTIF(H131:AU131,"&lt;&gt;"))</f>
        <v/>
      </c>
      <c r="H131" s="170"/>
      <c r="I131" s="170"/>
      <c r="J131" s="170"/>
      <c r="K131" s="170"/>
      <c r="L131" s="170"/>
      <c r="M131" s="170"/>
      <c r="N131" s="170"/>
      <c r="O131" s="170"/>
      <c r="P131" s="170"/>
      <c r="Q131" s="170"/>
      <c r="R131" s="170"/>
      <c r="S131" s="170"/>
      <c r="T131" s="170"/>
      <c r="U131" s="170"/>
      <c r="V131" s="170"/>
      <c r="W131" s="170"/>
      <c r="X131" s="170"/>
      <c r="Y131" s="170"/>
      <c r="Z131" s="170"/>
      <c r="AA131" s="170"/>
      <c r="AB131" s="170"/>
      <c r="AC131" s="170"/>
      <c r="AD131" s="170"/>
      <c r="AE131" s="170"/>
      <c r="AF131" s="170"/>
      <c r="AG131" s="170"/>
      <c r="AH131" s="170"/>
      <c r="AI131" s="170"/>
      <c r="AJ131" s="170"/>
      <c r="AK131" s="170"/>
      <c r="AL131" s="170"/>
      <c r="AM131" s="170"/>
      <c r="AN131" s="170"/>
      <c r="AO131" s="170"/>
      <c r="AP131" s="170"/>
      <c r="AQ131" s="170"/>
      <c r="AR131" s="170"/>
      <c r="AS131" s="170"/>
      <c r="AT131" s="170"/>
      <c r="AU131" s="184"/>
    </row>
    <row r="132" spans="1:47" ht="60" customHeight="1" x14ac:dyDescent="0.35">
      <c r="A132" s="180" t="s">
        <v>4090</v>
      </c>
      <c r="B132" s="154" t="s">
        <v>4171</v>
      </c>
      <c r="C132" s="155" t="s">
        <v>4195</v>
      </c>
      <c r="D132" s="158" t="s">
        <v>4196</v>
      </c>
      <c r="E132" s="161"/>
      <c r="F132" s="164" t="s">
        <v>21</v>
      </c>
      <c r="G132" s="167" t="str">
        <f>IF(COUNTIF(H132:AU132,"&lt;&gt;")=0,"",SUMPRODUCT(((Recommendations[ImplStatus]="Implemented")+(Recommendations[ImplStatus]="Compensated"))*ISNUMBER(MATCH(Recommendations[Id],H132:AU132,0)))/COUNTIF(H132:AU132,"&lt;&gt;"))</f>
        <v/>
      </c>
      <c r="H132" s="170"/>
      <c r="I132" s="170"/>
      <c r="J132" s="170"/>
      <c r="K132" s="170"/>
      <c r="L132" s="170"/>
      <c r="M132" s="170"/>
      <c r="N132" s="170"/>
      <c r="O132" s="170"/>
      <c r="P132" s="170"/>
      <c r="Q132" s="170"/>
      <c r="R132" s="170"/>
      <c r="S132" s="170"/>
      <c r="T132" s="170"/>
      <c r="U132" s="170"/>
      <c r="V132" s="170"/>
      <c r="W132" s="170"/>
      <c r="X132" s="170"/>
      <c r="Y132" s="170"/>
      <c r="Z132" s="170"/>
      <c r="AA132" s="170"/>
      <c r="AB132" s="170"/>
      <c r="AC132" s="170"/>
      <c r="AD132" s="170"/>
      <c r="AE132" s="170"/>
      <c r="AF132" s="170"/>
      <c r="AG132" s="170"/>
      <c r="AH132" s="170"/>
      <c r="AI132" s="170"/>
      <c r="AJ132" s="170"/>
      <c r="AK132" s="170"/>
      <c r="AL132" s="170"/>
      <c r="AM132" s="170"/>
      <c r="AN132" s="170"/>
      <c r="AO132" s="170"/>
      <c r="AP132" s="170"/>
      <c r="AQ132" s="170"/>
      <c r="AR132" s="170"/>
      <c r="AS132" s="170"/>
      <c r="AT132" s="170"/>
      <c r="AU132" s="184"/>
    </row>
    <row r="133" spans="1:47" ht="60" customHeight="1" outlineLevel="1" x14ac:dyDescent="0.35">
      <c r="A133" s="179" t="s">
        <v>4090</v>
      </c>
      <c r="B133" s="153" t="s">
        <v>4197</v>
      </c>
      <c r="C133" s="151" t="s">
        <v>4198</v>
      </c>
      <c r="D133" s="157" t="s">
        <v>4199</v>
      </c>
      <c r="E133" s="160" t="s">
        <v>21</v>
      </c>
      <c r="F133" s="163" t="s">
        <v>21</v>
      </c>
      <c r="G133" s="166" t="str">
        <f>IF(COUNTIF(H133:AU133,"&lt;&gt;")=0,"",SUMPRODUCT(((Recommendations[ImplStatus]="Implemented")+(Recommendations[ImplStatus]="Compensated"))*ISNUMBER(MATCH(Recommendations[Id],H133:AU133,0)))/COUNTIF(H133:AU133,"&lt;&gt;"))</f>
        <v/>
      </c>
      <c r="H133" s="169"/>
      <c r="I133" s="169"/>
      <c r="J133" s="169"/>
      <c r="K133" s="169"/>
      <c r="L133" s="169"/>
      <c r="M133" s="169"/>
      <c r="N133" s="169"/>
      <c r="O133" s="169"/>
      <c r="P133" s="169"/>
      <c r="Q133" s="169"/>
      <c r="R133" s="169"/>
      <c r="S133" s="169"/>
      <c r="T133" s="169"/>
      <c r="U133" s="169"/>
      <c r="V133" s="169"/>
      <c r="W133" s="169"/>
      <c r="X133" s="169"/>
      <c r="Y133" s="169"/>
      <c r="Z133" s="169"/>
      <c r="AA133" s="169"/>
      <c r="AB133" s="169"/>
      <c r="AC133" s="169"/>
      <c r="AD133" s="169"/>
      <c r="AE133" s="169"/>
      <c r="AF133" s="169"/>
      <c r="AG133" s="169"/>
      <c r="AH133" s="169"/>
      <c r="AI133" s="169"/>
      <c r="AJ133" s="169"/>
      <c r="AK133" s="169"/>
      <c r="AL133" s="169"/>
      <c r="AM133" s="169"/>
      <c r="AN133" s="169"/>
      <c r="AO133" s="169"/>
      <c r="AP133" s="169"/>
      <c r="AQ133" s="169"/>
      <c r="AR133" s="169"/>
      <c r="AS133" s="169"/>
      <c r="AT133" s="169"/>
      <c r="AU133" s="183"/>
    </row>
    <row r="134" spans="1:47" ht="60" customHeight="1" x14ac:dyDescent="0.35">
      <c r="A134" s="180" t="s">
        <v>4090</v>
      </c>
      <c r="B134" s="154" t="s">
        <v>4197</v>
      </c>
      <c r="C134" s="155" t="s">
        <v>4200</v>
      </c>
      <c r="D134" s="158" t="s">
        <v>4201</v>
      </c>
      <c r="E134" s="161" t="s">
        <v>4202</v>
      </c>
      <c r="F134" s="164" t="s">
        <v>3871</v>
      </c>
      <c r="G134" s="167" t="str">
        <f>IF(COUNTIF(H134:AU134,"&lt;&gt;")=0,"",SUMPRODUCT(((Recommendations[ImplStatus]="Implemented")+(Recommendations[ImplStatus]="Compensated"))*ISNUMBER(MATCH(Recommendations[Id],H134:AU134,0)))/COUNTIF(H134:AU134,"&lt;&gt;"))</f>
        <v/>
      </c>
      <c r="H134" s="170"/>
      <c r="I134" s="170"/>
      <c r="J134" s="170"/>
      <c r="K134" s="170"/>
      <c r="L134" s="170"/>
      <c r="M134" s="170"/>
      <c r="N134" s="170"/>
      <c r="O134" s="170"/>
      <c r="P134" s="170"/>
      <c r="Q134" s="170"/>
      <c r="R134" s="170"/>
      <c r="S134" s="170"/>
      <c r="T134" s="170"/>
      <c r="U134" s="170"/>
      <c r="V134" s="170"/>
      <c r="W134" s="170"/>
      <c r="X134" s="170"/>
      <c r="Y134" s="170"/>
      <c r="Z134" s="170"/>
      <c r="AA134" s="170"/>
      <c r="AB134" s="170"/>
      <c r="AC134" s="170"/>
      <c r="AD134" s="170"/>
      <c r="AE134" s="170"/>
      <c r="AF134" s="170"/>
      <c r="AG134" s="170"/>
      <c r="AH134" s="170"/>
      <c r="AI134" s="170"/>
      <c r="AJ134" s="170"/>
      <c r="AK134" s="170"/>
      <c r="AL134" s="170"/>
      <c r="AM134" s="170"/>
      <c r="AN134" s="170"/>
      <c r="AO134" s="170"/>
      <c r="AP134" s="170"/>
      <c r="AQ134" s="170"/>
      <c r="AR134" s="170"/>
      <c r="AS134" s="170"/>
      <c r="AT134" s="170"/>
      <c r="AU134" s="184"/>
    </row>
    <row r="135" spans="1:47" ht="60" customHeight="1" x14ac:dyDescent="0.35">
      <c r="A135" s="180" t="s">
        <v>4090</v>
      </c>
      <c r="B135" s="154" t="s">
        <v>4197</v>
      </c>
      <c r="C135" s="155" t="s">
        <v>4203</v>
      </c>
      <c r="D135" s="158" t="s">
        <v>4204</v>
      </c>
      <c r="E135" s="161" t="s">
        <v>4205</v>
      </c>
      <c r="F135" s="164" t="s">
        <v>3871</v>
      </c>
      <c r="G135" s="167" t="str">
        <f>IF(COUNTIF(H135:AU135,"&lt;&gt;")=0,"",SUMPRODUCT(((Recommendations[ImplStatus]="Implemented")+(Recommendations[ImplStatus]="Compensated"))*ISNUMBER(MATCH(Recommendations[Id],H135:AU135,0)))/COUNTIF(H135:AU135,"&lt;&gt;"))</f>
        <v/>
      </c>
      <c r="H135" s="170"/>
      <c r="I135" s="170"/>
      <c r="J135" s="170"/>
      <c r="K135" s="170"/>
      <c r="L135" s="170"/>
      <c r="M135" s="170"/>
      <c r="N135" s="170"/>
      <c r="O135" s="170"/>
      <c r="P135" s="170"/>
      <c r="Q135" s="170"/>
      <c r="R135" s="170"/>
      <c r="S135" s="170"/>
      <c r="T135" s="170"/>
      <c r="U135" s="170"/>
      <c r="V135" s="170"/>
      <c r="W135" s="170"/>
      <c r="X135" s="170"/>
      <c r="Y135" s="170"/>
      <c r="Z135" s="170"/>
      <c r="AA135" s="170"/>
      <c r="AB135" s="170"/>
      <c r="AC135" s="170"/>
      <c r="AD135" s="170"/>
      <c r="AE135" s="170"/>
      <c r="AF135" s="170"/>
      <c r="AG135" s="170"/>
      <c r="AH135" s="170"/>
      <c r="AI135" s="170"/>
      <c r="AJ135" s="170"/>
      <c r="AK135" s="170"/>
      <c r="AL135" s="170"/>
      <c r="AM135" s="170"/>
      <c r="AN135" s="170"/>
      <c r="AO135" s="170"/>
      <c r="AP135" s="170"/>
      <c r="AQ135" s="170"/>
      <c r="AR135" s="170"/>
      <c r="AS135" s="170"/>
      <c r="AT135" s="170"/>
      <c r="AU135" s="184"/>
    </row>
    <row r="136" spans="1:47" ht="60" customHeight="1" x14ac:dyDescent="0.35">
      <c r="A136" s="180" t="s">
        <v>4090</v>
      </c>
      <c r="B136" s="154" t="s">
        <v>4197</v>
      </c>
      <c r="C136" s="155" t="s">
        <v>4206</v>
      </c>
      <c r="D136" s="158" t="s">
        <v>4207</v>
      </c>
      <c r="E136" s="161" t="s">
        <v>4208</v>
      </c>
      <c r="F136" s="164" t="s">
        <v>3867</v>
      </c>
      <c r="G136" s="167" t="str">
        <f>IF(COUNTIF(H136:AU136,"&lt;&gt;")=0,"",SUMPRODUCT(((Recommendations[ImplStatus]="Implemented")+(Recommendations[ImplStatus]="Compensated"))*ISNUMBER(MATCH(Recommendations[Id],H136:AU136,0)))/COUNTIF(H136:AU136,"&lt;&gt;"))</f>
        <v/>
      </c>
      <c r="H136" s="170"/>
      <c r="I136" s="170"/>
      <c r="J136" s="170"/>
      <c r="K136" s="170"/>
      <c r="L136" s="170"/>
      <c r="M136" s="170"/>
      <c r="N136" s="170"/>
      <c r="O136" s="170"/>
      <c r="P136" s="170"/>
      <c r="Q136" s="170"/>
      <c r="R136" s="170"/>
      <c r="S136" s="170"/>
      <c r="T136" s="170"/>
      <c r="U136" s="170"/>
      <c r="V136" s="170"/>
      <c r="W136" s="170"/>
      <c r="X136" s="170"/>
      <c r="Y136" s="170"/>
      <c r="Z136" s="170"/>
      <c r="AA136" s="170"/>
      <c r="AB136" s="170"/>
      <c r="AC136" s="170"/>
      <c r="AD136" s="170"/>
      <c r="AE136" s="170"/>
      <c r="AF136" s="170"/>
      <c r="AG136" s="170"/>
      <c r="AH136" s="170"/>
      <c r="AI136" s="170"/>
      <c r="AJ136" s="170"/>
      <c r="AK136" s="170"/>
      <c r="AL136" s="170"/>
      <c r="AM136" s="170"/>
      <c r="AN136" s="170"/>
      <c r="AO136" s="170"/>
      <c r="AP136" s="170"/>
      <c r="AQ136" s="170"/>
      <c r="AR136" s="170"/>
      <c r="AS136" s="170"/>
      <c r="AT136" s="170"/>
      <c r="AU136" s="184"/>
    </row>
    <row r="137" spans="1:47" ht="60" customHeight="1" x14ac:dyDescent="0.35">
      <c r="A137" s="180" t="s">
        <v>4090</v>
      </c>
      <c r="B137" s="154" t="s">
        <v>4197</v>
      </c>
      <c r="C137" s="155" t="s">
        <v>4209</v>
      </c>
      <c r="D137" s="158" t="s">
        <v>4210</v>
      </c>
      <c r="E137" s="161" t="s">
        <v>4211</v>
      </c>
      <c r="F137" s="164" t="s">
        <v>21</v>
      </c>
      <c r="G137" s="167" t="str">
        <f>IF(COUNTIF(H137:AU137,"&lt;&gt;")=0,"",SUMPRODUCT(((Recommendations[ImplStatus]="Implemented")+(Recommendations[ImplStatus]="Compensated"))*ISNUMBER(MATCH(Recommendations[Id],H137:AU137,0)))/COUNTIF(H137:AU137,"&lt;&gt;"))</f>
        <v/>
      </c>
      <c r="H137" s="170"/>
      <c r="I137" s="170"/>
      <c r="J137" s="170"/>
      <c r="K137" s="170"/>
      <c r="L137" s="170"/>
      <c r="M137" s="170"/>
      <c r="N137" s="170"/>
      <c r="O137" s="170"/>
      <c r="P137" s="170"/>
      <c r="Q137" s="170"/>
      <c r="R137" s="170"/>
      <c r="S137" s="170"/>
      <c r="T137" s="170"/>
      <c r="U137" s="170"/>
      <c r="V137" s="170"/>
      <c r="W137" s="170"/>
      <c r="X137" s="170"/>
      <c r="Y137" s="170"/>
      <c r="Z137" s="170"/>
      <c r="AA137" s="170"/>
      <c r="AB137" s="170"/>
      <c r="AC137" s="170"/>
      <c r="AD137" s="170"/>
      <c r="AE137" s="170"/>
      <c r="AF137" s="170"/>
      <c r="AG137" s="170"/>
      <c r="AH137" s="170"/>
      <c r="AI137" s="170"/>
      <c r="AJ137" s="170"/>
      <c r="AK137" s="170"/>
      <c r="AL137" s="170"/>
      <c r="AM137" s="170"/>
      <c r="AN137" s="170"/>
      <c r="AO137" s="170"/>
      <c r="AP137" s="170"/>
      <c r="AQ137" s="170"/>
      <c r="AR137" s="170"/>
      <c r="AS137" s="170"/>
      <c r="AT137" s="170"/>
      <c r="AU137" s="184"/>
    </row>
    <row r="138" spans="1:47" ht="60" customHeight="1" outlineLevel="1" x14ac:dyDescent="0.35">
      <c r="A138" s="179" t="s">
        <v>4090</v>
      </c>
      <c r="B138" s="153" t="s">
        <v>3507</v>
      </c>
      <c r="C138" s="151" t="s">
        <v>4212</v>
      </c>
      <c r="D138" s="157"/>
      <c r="E138" s="160" t="s">
        <v>21</v>
      </c>
      <c r="F138" s="163" t="s">
        <v>21</v>
      </c>
      <c r="G138" s="166" t="str">
        <f>IF(COUNTIF(H138:AU138,"&lt;&gt;")=0,"",SUMPRODUCT(((Recommendations[ImplStatus]="Implemented")+(Recommendations[ImplStatus]="Compensated"))*ISNUMBER(MATCH(Recommendations[Id],H138:AU138,0)))/COUNTIF(H138:AU138,"&lt;&gt;"))</f>
        <v/>
      </c>
      <c r="H138" s="169"/>
      <c r="I138" s="169"/>
      <c r="J138" s="169"/>
      <c r="K138" s="169"/>
      <c r="L138" s="169"/>
      <c r="M138" s="169"/>
      <c r="N138" s="169"/>
      <c r="O138" s="169"/>
      <c r="P138" s="169"/>
      <c r="Q138" s="169"/>
      <c r="R138" s="169"/>
      <c r="S138" s="169"/>
      <c r="T138" s="169"/>
      <c r="U138" s="169"/>
      <c r="V138" s="169"/>
      <c r="W138" s="169"/>
      <c r="X138" s="169"/>
      <c r="Y138" s="169"/>
      <c r="Z138" s="169"/>
      <c r="AA138" s="169"/>
      <c r="AB138" s="169"/>
      <c r="AC138" s="169"/>
      <c r="AD138" s="169"/>
      <c r="AE138" s="169"/>
      <c r="AF138" s="169"/>
      <c r="AG138" s="169"/>
      <c r="AH138" s="169"/>
      <c r="AI138" s="169"/>
      <c r="AJ138" s="169"/>
      <c r="AK138" s="169"/>
      <c r="AL138" s="169"/>
      <c r="AM138" s="169"/>
      <c r="AN138" s="169"/>
      <c r="AO138" s="169"/>
      <c r="AP138" s="169"/>
      <c r="AQ138" s="169"/>
      <c r="AR138" s="169"/>
      <c r="AS138" s="169"/>
      <c r="AT138" s="169"/>
      <c r="AU138" s="183"/>
    </row>
    <row r="139" spans="1:47" ht="60" customHeight="1" x14ac:dyDescent="0.35">
      <c r="A139" s="180" t="s">
        <v>4090</v>
      </c>
      <c r="B139" s="154" t="s">
        <v>3507</v>
      </c>
      <c r="C139" s="155" t="s">
        <v>4213</v>
      </c>
      <c r="D139" s="158" t="s">
        <v>4214</v>
      </c>
      <c r="E139" s="161"/>
      <c r="F139" s="164" t="s">
        <v>21</v>
      </c>
      <c r="G139" s="167" t="str">
        <f>IF(COUNTIF(H139:AU139,"&lt;&gt;")=0,"",SUMPRODUCT(((Recommendations[ImplStatus]="Implemented")+(Recommendations[ImplStatus]="Compensated"))*ISNUMBER(MATCH(Recommendations[Id],H139:AU139,0)))/COUNTIF(H139:AU139,"&lt;&gt;"))</f>
        <v/>
      </c>
      <c r="H139" s="170"/>
      <c r="I139" s="170"/>
      <c r="J139" s="170"/>
      <c r="K139" s="170"/>
      <c r="L139" s="170"/>
      <c r="M139" s="170"/>
      <c r="N139" s="170"/>
      <c r="O139" s="170"/>
      <c r="P139" s="170"/>
      <c r="Q139" s="170"/>
      <c r="R139" s="170"/>
      <c r="S139" s="170"/>
      <c r="T139" s="170"/>
      <c r="U139" s="170"/>
      <c r="V139" s="170"/>
      <c r="W139" s="170"/>
      <c r="X139" s="170"/>
      <c r="Y139" s="170"/>
      <c r="Z139" s="170"/>
      <c r="AA139" s="170"/>
      <c r="AB139" s="170"/>
      <c r="AC139" s="170"/>
      <c r="AD139" s="170"/>
      <c r="AE139" s="170"/>
      <c r="AF139" s="170"/>
      <c r="AG139" s="170"/>
      <c r="AH139" s="170"/>
      <c r="AI139" s="170"/>
      <c r="AJ139" s="170"/>
      <c r="AK139" s="170"/>
      <c r="AL139" s="170"/>
      <c r="AM139" s="170"/>
      <c r="AN139" s="170"/>
      <c r="AO139" s="170"/>
      <c r="AP139" s="170"/>
      <c r="AQ139" s="170"/>
      <c r="AR139" s="170"/>
      <c r="AS139" s="170"/>
      <c r="AT139" s="170"/>
      <c r="AU139" s="184"/>
    </row>
    <row r="140" spans="1:47" ht="60" customHeight="1" x14ac:dyDescent="0.35">
      <c r="A140" s="180" t="s">
        <v>4090</v>
      </c>
      <c r="B140" s="154" t="s">
        <v>3507</v>
      </c>
      <c r="C140" s="155" t="s">
        <v>4215</v>
      </c>
      <c r="D140" s="158" t="s">
        <v>4216</v>
      </c>
      <c r="E140" s="161"/>
      <c r="F140" s="164" t="s">
        <v>21</v>
      </c>
      <c r="G140" s="167" t="str">
        <f>IF(COUNTIF(H140:AU140,"&lt;&gt;")=0,"",SUMPRODUCT(((Recommendations[ImplStatus]="Implemented")+(Recommendations[ImplStatus]="Compensated"))*ISNUMBER(MATCH(Recommendations[Id],H140:AU140,0)))/COUNTIF(H140:AU140,"&lt;&gt;"))</f>
        <v/>
      </c>
      <c r="H140" s="170"/>
      <c r="I140" s="170"/>
      <c r="J140" s="170"/>
      <c r="K140" s="170"/>
      <c r="L140" s="170"/>
      <c r="M140" s="170"/>
      <c r="N140" s="170"/>
      <c r="O140" s="170"/>
      <c r="P140" s="170"/>
      <c r="Q140" s="170"/>
      <c r="R140" s="170"/>
      <c r="S140" s="170"/>
      <c r="T140" s="170"/>
      <c r="U140" s="170"/>
      <c r="V140" s="170"/>
      <c r="W140" s="170"/>
      <c r="X140" s="170"/>
      <c r="Y140" s="170"/>
      <c r="Z140" s="170"/>
      <c r="AA140" s="170"/>
      <c r="AB140" s="170"/>
      <c r="AC140" s="170"/>
      <c r="AD140" s="170"/>
      <c r="AE140" s="170"/>
      <c r="AF140" s="170"/>
      <c r="AG140" s="170"/>
      <c r="AH140" s="170"/>
      <c r="AI140" s="170"/>
      <c r="AJ140" s="170"/>
      <c r="AK140" s="170"/>
      <c r="AL140" s="170"/>
      <c r="AM140" s="170"/>
      <c r="AN140" s="170"/>
      <c r="AO140" s="170"/>
      <c r="AP140" s="170"/>
      <c r="AQ140" s="170"/>
      <c r="AR140" s="170"/>
      <c r="AS140" s="170"/>
      <c r="AT140" s="170"/>
      <c r="AU140" s="184"/>
    </row>
    <row r="141" spans="1:47" ht="60" customHeight="1" outlineLevel="1" x14ac:dyDescent="0.35">
      <c r="A141" s="179" t="s">
        <v>4090</v>
      </c>
      <c r="B141" s="153" t="s">
        <v>4217</v>
      </c>
      <c r="C141" s="151" t="s">
        <v>4218</v>
      </c>
      <c r="D141" s="157" t="s">
        <v>4219</v>
      </c>
      <c r="E141" s="160" t="s">
        <v>21</v>
      </c>
      <c r="F141" s="163" t="s">
        <v>21</v>
      </c>
      <c r="G141" s="166" t="str">
        <f>IF(COUNTIF(H141:AU141,"&lt;&gt;")=0,"",SUMPRODUCT(((Recommendations[ImplStatus]="Implemented")+(Recommendations[ImplStatus]="Compensated"))*ISNUMBER(MATCH(Recommendations[Id],H141:AU141,0)))/COUNTIF(H141:AU141,"&lt;&gt;"))</f>
        <v/>
      </c>
      <c r="H141" s="169"/>
      <c r="I141" s="169"/>
      <c r="J141" s="169"/>
      <c r="K141" s="169"/>
      <c r="L141" s="169"/>
      <c r="M141" s="169"/>
      <c r="N141" s="169"/>
      <c r="O141" s="169"/>
      <c r="P141" s="169"/>
      <c r="Q141" s="169"/>
      <c r="R141" s="169"/>
      <c r="S141" s="169"/>
      <c r="T141" s="169"/>
      <c r="U141" s="169"/>
      <c r="V141" s="169"/>
      <c r="W141" s="169"/>
      <c r="X141" s="169"/>
      <c r="Y141" s="169"/>
      <c r="Z141" s="169"/>
      <c r="AA141" s="169"/>
      <c r="AB141" s="169"/>
      <c r="AC141" s="169"/>
      <c r="AD141" s="169"/>
      <c r="AE141" s="169"/>
      <c r="AF141" s="169"/>
      <c r="AG141" s="169"/>
      <c r="AH141" s="169"/>
      <c r="AI141" s="169"/>
      <c r="AJ141" s="169"/>
      <c r="AK141" s="169"/>
      <c r="AL141" s="169"/>
      <c r="AM141" s="169"/>
      <c r="AN141" s="169"/>
      <c r="AO141" s="169"/>
      <c r="AP141" s="169"/>
      <c r="AQ141" s="169"/>
      <c r="AR141" s="169"/>
      <c r="AS141" s="169"/>
      <c r="AT141" s="169"/>
      <c r="AU141" s="183"/>
    </row>
    <row r="142" spans="1:47" ht="60" customHeight="1" x14ac:dyDescent="0.35">
      <c r="A142" s="180" t="s">
        <v>4090</v>
      </c>
      <c r="B142" s="154" t="s">
        <v>4217</v>
      </c>
      <c r="C142" s="155" t="s">
        <v>4220</v>
      </c>
      <c r="D142" s="158" t="s">
        <v>4221</v>
      </c>
      <c r="E142" s="161" t="s">
        <v>4222</v>
      </c>
      <c r="F142" s="164" t="s">
        <v>3867</v>
      </c>
      <c r="G142" s="167">
        <f>IF(COUNTIF(H142:AU142,"&lt;&gt;")=0,"",SUMPRODUCT(((Recommendations[ImplStatus]="Implemented")+(Recommendations[ImplStatus]="Compensated"))*ISNUMBER(MATCH(Recommendations[Id],H142:AU142,0)))/COUNTIF(H142:AU142,"&lt;&gt;"))</f>
        <v>0</v>
      </c>
      <c r="H142" s="170" t="s">
        <v>30</v>
      </c>
      <c r="I142" s="170" t="s">
        <v>40</v>
      </c>
      <c r="J142" s="170" t="s">
        <v>137</v>
      </c>
      <c r="K142" s="170" t="s">
        <v>167</v>
      </c>
      <c r="L142" s="170" t="s">
        <v>172</v>
      </c>
      <c r="M142" s="170" t="s">
        <v>182</v>
      </c>
      <c r="N142" s="170" t="s">
        <v>215</v>
      </c>
      <c r="O142" s="170" t="s">
        <v>218</v>
      </c>
      <c r="P142" s="170" t="s">
        <v>312</v>
      </c>
      <c r="Q142" s="170" t="s">
        <v>542</v>
      </c>
      <c r="R142" s="170" t="s">
        <v>597</v>
      </c>
      <c r="S142" s="170" t="s">
        <v>602</v>
      </c>
      <c r="T142" s="170" t="s">
        <v>606</v>
      </c>
      <c r="U142" s="170" t="s">
        <v>611</v>
      </c>
      <c r="V142" s="170" t="s">
        <v>616</v>
      </c>
      <c r="W142" s="170" t="s">
        <v>621</v>
      </c>
      <c r="X142" s="170" t="s">
        <v>626</v>
      </c>
      <c r="Y142" s="170" t="s">
        <v>631</v>
      </c>
      <c r="Z142" s="170" t="s">
        <v>635</v>
      </c>
      <c r="AA142" s="170" t="s">
        <v>640</v>
      </c>
      <c r="AB142" s="170" t="s">
        <v>645</v>
      </c>
      <c r="AC142" s="170" t="s">
        <v>650</v>
      </c>
      <c r="AD142" s="170" t="s">
        <v>665</v>
      </c>
      <c r="AE142" s="170" t="s">
        <v>670</v>
      </c>
      <c r="AF142" s="170" t="s">
        <v>675</v>
      </c>
      <c r="AG142" s="170" t="s">
        <v>680</v>
      </c>
      <c r="AH142" s="170" t="s">
        <v>685</v>
      </c>
      <c r="AI142" s="170" t="s">
        <v>690</v>
      </c>
      <c r="AJ142" s="170" t="s">
        <v>695</v>
      </c>
      <c r="AK142" s="170" t="s">
        <v>700</v>
      </c>
      <c r="AL142" s="170" t="s">
        <v>705</v>
      </c>
      <c r="AM142" s="170" t="s">
        <v>710</v>
      </c>
      <c r="AN142" s="170" t="s">
        <v>715</v>
      </c>
      <c r="AO142" s="170" t="s">
        <v>720</v>
      </c>
      <c r="AP142" s="170" t="s">
        <v>725</v>
      </c>
      <c r="AQ142" s="170" t="s">
        <v>730</v>
      </c>
      <c r="AR142" s="170" t="s">
        <v>735</v>
      </c>
      <c r="AS142" s="170" t="s">
        <v>750</v>
      </c>
      <c r="AT142" s="170" t="s">
        <v>755</v>
      </c>
      <c r="AU142" s="184" t="s">
        <v>760</v>
      </c>
    </row>
    <row r="143" spans="1:47" ht="60" customHeight="1" x14ac:dyDescent="0.35">
      <c r="A143" s="180" t="s">
        <v>4090</v>
      </c>
      <c r="B143" s="154" t="s">
        <v>4217</v>
      </c>
      <c r="C143" s="155" t="s">
        <v>4223</v>
      </c>
      <c r="D143" s="158" t="s">
        <v>4224</v>
      </c>
      <c r="E143" s="161" t="s">
        <v>4225</v>
      </c>
      <c r="F143" s="164" t="s">
        <v>3867</v>
      </c>
      <c r="G143" s="167">
        <f>IF(COUNTIF(H143:AU143,"&lt;&gt;")=0,"",SUMPRODUCT(((Recommendations[ImplStatus]="Implemented")+(Recommendations[ImplStatus]="Compensated"))*ISNUMBER(MATCH(Recommendations[Id],H143:AU143,0)))/COUNTIF(H143:AU143,"&lt;&gt;"))</f>
        <v>0</v>
      </c>
      <c r="H143" s="170" t="s">
        <v>223</v>
      </c>
      <c r="I143" s="170" t="s">
        <v>1962</v>
      </c>
      <c r="J143" s="170"/>
      <c r="K143" s="170"/>
      <c r="L143" s="170"/>
      <c r="M143" s="170"/>
      <c r="N143" s="170"/>
      <c r="O143" s="170"/>
      <c r="P143" s="170"/>
      <c r="Q143" s="170"/>
      <c r="R143" s="170"/>
      <c r="S143" s="170"/>
      <c r="T143" s="170"/>
      <c r="U143" s="170"/>
      <c r="V143" s="170"/>
      <c r="W143" s="170"/>
      <c r="X143" s="170"/>
      <c r="Y143" s="170"/>
      <c r="Z143" s="170"/>
      <c r="AA143" s="170"/>
      <c r="AB143" s="170"/>
      <c r="AC143" s="170"/>
      <c r="AD143" s="170"/>
      <c r="AE143" s="170"/>
      <c r="AF143" s="170"/>
      <c r="AG143" s="170"/>
      <c r="AH143" s="170"/>
      <c r="AI143" s="170"/>
      <c r="AJ143" s="170"/>
      <c r="AK143" s="170"/>
      <c r="AL143" s="170"/>
      <c r="AM143" s="170"/>
      <c r="AN143" s="170"/>
      <c r="AO143" s="170"/>
      <c r="AP143" s="170"/>
      <c r="AQ143" s="170"/>
      <c r="AR143" s="170"/>
      <c r="AS143" s="170"/>
      <c r="AT143" s="170"/>
      <c r="AU143" s="184"/>
    </row>
    <row r="144" spans="1:47" ht="60" customHeight="1" x14ac:dyDescent="0.35">
      <c r="A144" s="180" t="s">
        <v>4090</v>
      </c>
      <c r="B144" s="154" t="s">
        <v>4217</v>
      </c>
      <c r="C144" s="155" t="s">
        <v>4226</v>
      </c>
      <c r="D144" s="158" t="s">
        <v>4227</v>
      </c>
      <c r="E144" s="161" t="s">
        <v>4228</v>
      </c>
      <c r="F144" s="164" t="s">
        <v>3871</v>
      </c>
      <c r="G144" s="167" t="str">
        <f>IF(COUNTIF(H144:AU144,"&lt;&gt;")=0,"",SUMPRODUCT(((Recommendations[ImplStatus]="Implemented")+(Recommendations[ImplStatus]="Compensated"))*ISNUMBER(MATCH(Recommendations[Id],H144:AU144,0)))/COUNTIF(H144:AU144,"&lt;&gt;"))</f>
        <v/>
      </c>
      <c r="H144" s="170"/>
      <c r="I144" s="170"/>
      <c r="J144" s="170"/>
      <c r="K144" s="170"/>
      <c r="L144" s="170"/>
      <c r="M144" s="170"/>
      <c r="N144" s="170"/>
      <c r="O144" s="170"/>
      <c r="P144" s="170"/>
      <c r="Q144" s="170"/>
      <c r="R144" s="170"/>
      <c r="S144" s="170"/>
      <c r="T144" s="170"/>
      <c r="U144" s="170"/>
      <c r="V144" s="170"/>
      <c r="W144" s="170"/>
      <c r="X144" s="170"/>
      <c r="Y144" s="170"/>
      <c r="Z144" s="170"/>
      <c r="AA144" s="170"/>
      <c r="AB144" s="170"/>
      <c r="AC144" s="170"/>
      <c r="AD144" s="170"/>
      <c r="AE144" s="170"/>
      <c r="AF144" s="170"/>
      <c r="AG144" s="170"/>
      <c r="AH144" s="170"/>
      <c r="AI144" s="170"/>
      <c r="AJ144" s="170"/>
      <c r="AK144" s="170"/>
      <c r="AL144" s="170"/>
      <c r="AM144" s="170"/>
      <c r="AN144" s="170"/>
      <c r="AO144" s="170"/>
      <c r="AP144" s="170"/>
      <c r="AQ144" s="170"/>
      <c r="AR144" s="170"/>
      <c r="AS144" s="170"/>
      <c r="AT144" s="170"/>
      <c r="AU144" s="184"/>
    </row>
    <row r="145" spans="1:47" ht="60" customHeight="1" x14ac:dyDescent="0.35">
      <c r="A145" s="180" t="s">
        <v>4090</v>
      </c>
      <c r="B145" s="154" t="s">
        <v>4217</v>
      </c>
      <c r="C145" s="155" t="s">
        <v>4229</v>
      </c>
      <c r="D145" s="158" t="s">
        <v>4230</v>
      </c>
      <c r="E145" s="161" t="s">
        <v>4231</v>
      </c>
      <c r="F145" s="164" t="s">
        <v>3867</v>
      </c>
      <c r="G145" s="167">
        <f>IF(COUNTIF(H145:AU145,"&lt;&gt;")=0,"",SUMPRODUCT(((Recommendations[ImplStatus]="Implemented")+(Recommendations[ImplStatus]="Compensated"))*ISNUMBER(MATCH(Recommendations[Id],H145:AU145,0)))/COUNTIF(H145:AU145,"&lt;&gt;"))</f>
        <v>0</v>
      </c>
      <c r="H145" s="170" t="s">
        <v>51</v>
      </c>
      <c r="I145" s="170" t="s">
        <v>61</v>
      </c>
      <c r="J145" s="170" t="s">
        <v>66</v>
      </c>
      <c r="K145" s="170" t="s">
        <v>69</v>
      </c>
      <c r="L145" s="170" t="s">
        <v>72</v>
      </c>
      <c r="M145" s="170" t="s">
        <v>76</v>
      </c>
      <c r="N145" s="170" t="s">
        <v>79</v>
      </c>
      <c r="O145" s="170" t="s">
        <v>82</v>
      </c>
      <c r="P145" s="170" t="s">
        <v>85</v>
      </c>
      <c r="Q145" s="170" t="s">
        <v>88</v>
      </c>
      <c r="R145" s="170" t="s">
        <v>91</v>
      </c>
      <c r="S145" s="170" t="s">
        <v>94</v>
      </c>
      <c r="T145" s="170" t="s">
        <v>110</v>
      </c>
      <c r="U145" s="170" t="s">
        <v>142</v>
      </c>
      <c r="V145" s="170" t="s">
        <v>152</v>
      </c>
      <c r="W145" s="170" t="s">
        <v>187</v>
      </c>
      <c r="X145" s="170" t="s">
        <v>192</v>
      </c>
      <c r="Y145" s="170" t="s">
        <v>203</v>
      </c>
      <c r="Z145" s="170" t="s">
        <v>208</v>
      </c>
      <c r="AA145" s="170" t="s">
        <v>228</v>
      </c>
      <c r="AB145" s="170" t="s">
        <v>232</v>
      </c>
      <c r="AC145" s="170" t="s">
        <v>235</v>
      </c>
      <c r="AD145" s="170" t="s">
        <v>238</v>
      </c>
      <c r="AE145" s="170" t="s">
        <v>241</v>
      </c>
      <c r="AF145" s="170" t="s">
        <v>244</v>
      </c>
      <c r="AG145" s="170" t="s">
        <v>247</v>
      </c>
      <c r="AH145" s="170" t="s">
        <v>250</v>
      </c>
      <c r="AI145" s="170" t="s">
        <v>253</v>
      </c>
      <c r="AJ145" s="170" t="s">
        <v>256</v>
      </c>
      <c r="AK145" s="170" t="s">
        <v>259</v>
      </c>
      <c r="AL145" s="170" t="s">
        <v>262</v>
      </c>
      <c r="AM145" s="170" t="s">
        <v>265</v>
      </c>
      <c r="AN145" s="170" t="s">
        <v>268</v>
      </c>
      <c r="AO145" s="170" t="s">
        <v>273</v>
      </c>
      <c r="AP145" s="170" t="s">
        <v>278</v>
      </c>
      <c r="AQ145" s="170" t="s">
        <v>281</v>
      </c>
      <c r="AR145" s="170" t="s">
        <v>284</v>
      </c>
      <c r="AS145" s="170" t="s">
        <v>287</v>
      </c>
      <c r="AT145" s="170" t="s">
        <v>290</v>
      </c>
      <c r="AU145" s="184" t="s">
        <v>293</v>
      </c>
    </row>
    <row r="146" spans="1:47" ht="60" customHeight="1" x14ac:dyDescent="0.35">
      <c r="A146" s="180" t="s">
        <v>4090</v>
      </c>
      <c r="B146" s="154" t="s">
        <v>4217</v>
      </c>
      <c r="C146" s="155" t="s">
        <v>4232</v>
      </c>
      <c r="D146" s="158" t="s">
        <v>4233</v>
      </c>
      <c r="E146" s="161" t="s">
        <v>4234</v>
      </c>
      <c r="F146" s="164" t="s">
        <v>3867</v>
      </c>
      <c r="G146" s="167" t="str">
        <f>IF(COUNTIF(H146:AU146,"&lt;&gt;")=0,"",SUMPRODUCT(((Recommendations[ImplStatus]="Implemented")+(Recommendations[ImplStatus]="Compensated"))*ISNUMBER(MATCH(Recommendations[Id],H146:AU146,0)))/COUNTIF(H146:AU146,"&lt;&gt;"))</f>
        <v/>
      </c>
      <c r="H146" s="170"/>
      <c r="I146" s="170"/>
      <c r="J146" s="170"/>
      <c r="K146" s="170"/>
      <c r="L146" s="170"/>
      <c r="M146" s="170"/>
      <c r="N146" s="170"/>
      <c r="O146" s="170"/>
      <c r="P146" s="170"/>
      <c r="Q146" s="170"/>
      <c r="R146" s="170"/>
      <c r="S146" s="170"/>
      <c r="T146" s="170"/>
      <c r="U146" s="170"/>
      <c r="V146" s="170"/>
      <c r="W146" s="170"/>
      <c r="X146" s="170"/>
      <c r="Y146" s="170"/>
      <c r="Z146" s="170"/>
      <c r="AA146" s="170"/>
      <c r="AB146" s="170"/>
      <c r="AC146" s="170"/>
      <c r="AD146" s="170"/>
      <c r="AE146" s="170"/>
      <c r="AF146" s="170"/>
      <c r="AG146" s="170"/>
      <c r="AH146" s="170"/>
      <c r="AI146" s="170"/>
      <c r="AJ146" s="170"/>
      <c r="AK146" s="170"/>
      <c r="AL146" s="170"/>
      <c r="AM146" s="170"/>
      <c r="AN146" s="170"/>
      <c r="AO146" s="170"/>
      <c r="AP146" s="170"/>
      <c r="AQ146" s="170"/>
      <c r="AR146" s="170"/>
      <c r="AS146" s="170"/>
      <c r="AT146" s="170"/>
      <c r="AU146" s="184"/>
    </row>
    <row r="147" spans="1:47" ht="60" customHeight="1" x14ac:dyDescent="0.35">
      <c r="A147" s="180" t="s">
        <v>4090</v>
      </c>
      <c r="B147" s="154" t="s">
        <v>4217</v>
      </c>
      <c r="C147" s="155" t="s">
        <v>4235</v>
      </c>
      <c r="D147" s="158" t="s">
        <v>4236</v>
      </c>
      <c r="E147" s="161" t="s">
        <v>4237</v>
      </c>
      <c r="F147" s="164" t="s">
        <v>3867</v>
      </c>
      <c r="G147" s="167" t="str">
        <f>IF(COUNTIF(H147:AU147,"&lt;&gt;")=0,"",SUMPRODUCT(((Recommendations[ImplStatus]="Implemented")+(Recommendations[ImplStatus]="Compensated"))*ISNUMBER(MATCH(Recommendations[Id],H147:AU147,0)))/COUNTIF(H147:AU147,"&lt;&gt;"))</f>
        <v/>
      </c>
      <c r="H147" s="170"/>
      <c r="I147" s="170"/>
      <c r="J147" s="170"/>
      <c r="K147" s="170"/>
      <c r="L147" s="170"/>
      <c r="M147" s="170"/>
      <c r="N147" s="170"/>
      <c r="O147" s="170"/>
      <c r="P147" s="170"/>
      <c r="Q147" s="170"/>
      <c r="R147" s="170"/>
      <c r="S147" s="170"/>
      <c r="T147" s="170"/>
      <c r="U147" s="170"/>
      <c r="V147" s="170"/>
      <c r="W147" s="170"/>
      <c r="X147" s="170"/>
      <c r="Y147" s="170"/>
      <c r="Z147" s="170"/>
      <c r="AA147" s="170"/>
      <c r="AB147" s="170"/>
      <c r="AC147" s="170"/>
      <c r="AD147" s="170"/>
      <c r="AE147" s="170"/>
      <c r="AF147" s="170"/>
      <c r="AG147" s="170"/>
      <c r="AH147" s="170"/>
      <c r="AI147" s="170"/>
      <c r="AJ147" s="170"/>
      <c r="AK147" s="170"/>
      <c r="AL147" s="170"/>
      <c r="AM147" s="170"/>
      <c r="AN147" s="170"/>
      <c r="AO147" s="170"/>
      <c r="AP147" s="170"/>
      <c r="AQ147" s="170"/>
      <c r="AR147" s="170"/>
      <c r="AS147" s="170"/>
      <c r="AT147" s="170"/>
      <c r="AU147" s="184"/>
    </row>
    <row r="148" spans="1:47" ht="60" customHeight="1" outlineLevel="1" x14ac:dyDescent="0.35">
      <c r="A148" s="179" t="s">
        <v>4090</v>
      </c>
      <c r="B148" s="153" t="s">
        <v>4238</v>
      </c>
      <c r="C148" s="151" t="s">
        <v>4239</v>
      </c>
      <c r="D148" s="157"/>
      <c r="E148" s="160" t="s">
        <v>21</v>
      </c>
      <c r="F148" s="163" t="s">
        <v>21</v>
      </c>
      <c r="G148" s="166" t="str">
        <f>IF(COUNTIF(H148:AU148,"&lt;&gt;")=0,"",SUMPRODUCT(((Recommendations[ImplStatus]="Implemented")+(Recommendations[ImplStatus]="Compensated"))*ISNUMBER(MATCH(Recommendations[Id],H148:AU148,0)))/COUNTIF(H148:AU148,"&lt;&gt;"))</f>
        <v/>
      </c>
      <c r="H148" s="169"/>
      <c r="I148" s="169"/>
      <c r="J148" s="169"/>
      <c r="K148" s="169"/>
      <c r="L148" s="169"/>
      <c r="M148" s="169"/>
      <c r="N148" s="169"/>
      <c r="O148" s="169"/>
      <c r="P148" s="169"/>
      <c r="Q148" s="169"/>
      <c r="R148" s="169"/>
      <c r="S148" s="169"/>
      <c r="T148" s="169"/>
      <c r="U148" s="169"/>
      <c r="V148" s="169"/>
      <c r="W148" s="169"/>
      <c r="X148" s="169"/>
      <c r="Y148" s="169"/>
      <c r="Z148" s="169"/>
      <c r="AA148" s="169"/>
      <c r="AB148" s="169"/>
      <c r="AC148" s="169"/>
      <c r="AD148" s="169"/>
      <c r="AE148" s="169"/>
      <c r="AF148" s="169"/>
      <c r="AG148" s="169"/>
      <c r="AH148" s="169"/>
      <c r="AI148" s="169"/>
      <c r="AJ148" s="169"/>
      <c r="AK148" s="169"/>
      <c r="AL148" s="169"/>
      <c r="AM148" s="169"/>
      <c r="AN148" s="169"/>
      <c r="AO148" s="169"/>
      <c r="AP148" s="169"/>
      <c r="AQ148" s="169"/>
      <c r="AR148" s="169"/>
      <c r="AS148" s="169"/>
      <c r="AT148" s="169"/>
      <c r="AU148" s="183"/>
    </row>
    <row r="149" spans="1:47" ht="60" customHeight="1" x14ac:dyDescent="0.35">
      <c r="A149" s="180" t="s">
        <v>4090</v>
      </c>
      <c r="B149" s="154" t="s">
        <v>4238</v>
      </c>
      <c r="C149" s="155" t="s">
        <v>4240</v>
      </c>
      <c r="D149" s="158" t="s">
        <v>4241</v>
      </c>
      <c r="E149" s="161"/>
      <c r="F149" s="164" t="s">
        <v>21</v>
      </c>
      <c r="G149" s="167" t="str">
        <f>IF(COUNTIF(H149:AU149,"&lt;&gt;")=0,"",SUMPRODUCT(((Recommendations[ImplStatus]="Implemented")+(Recommendations[ImplStatus]="Compensated"))*ISNUMBER(MATCH(Recommendations[Id],H149:AU149,0)))/COUNTIF(H149:AU149,"&lt;&gt;"))</f>
        <v/>
      </c>
      <c r="H149" s="170"/>
      <c r="I149" s="170"/>
      <c r="J149" s="170"/>
      <c r="K149" s="170"/>
      <c r="L149" s="170"/>
      <c r="M149" s="170"/>
      <c r="N149" s="170"/>
      <c r="O149" s="170"/>
      <c r="P149" s="170"/>
      <c r="Q149" s="170"/>
      <c r="R149" s="170"/>
      <c r="S149" s="170"/>
      <c r="T149" s="170"/>
      <c r="U149" s="170"/>
      <c r="V149" s="170"/>
      <c r="W149" s="170"/>
      <c r="X149" s="170"/>
      <c r="Y149" s="170"/>
      <c r="Z149" s="170"/>
      <c r="AA149" s="170"/>
      <c r="AB149" s="170"/>
      <c r="AC149" s="170"/>
      <c r="AD149" s="170"/>
      <c r="AE149" s="170"/>
      <c r="AF149" s="170"/>
      <c r="AG149" s="170"/>
      <c r="AH149" s="170"/>
      <c r="AI149" s="170"/>
      <c r="AJ149" s="170"/>
      <c r="AK149" s="170"/>
      <c r="AL149" s="170"/>
      <c r="AM149" s="170"/>
      <c r="AN149" s="170"/>
      <c r="AO149" s="170"/>
      <c r="AP149" s="170"/>
      <c r="AQ149" s="170"/>
      <c r="AR149" s="170"/>
      <c r="AS149" s="170"/>
      <c r="AT149" s="170"/>
      <c r="AU149" s="184"/>
    </row>
    <row r="150" spans="1:47" ht="60" customHeight="1" x14ac:dyDescent="0.35">
      <c r="A150" s="180" t="s">
        <v>4090</v>
      </c>
      <c r="B150" s="154" t="s">
        <v>4238</v>
      </c>
      <c r="C150" s="155" t="s">
        <v>4242</v>
      </c>
      <c r="D150" s="158" t="s">
        <v>4243</v>
      </c>
      <c r="E150" s="161"/>
      <c r="F150" s="164" t="s">
        <v>21</v>
      </c>
      <c r="G150" s="167" t="str">
        <f>IF(COUNTIF(H150:AU150,"&lt;&gt;")=0,"",SUMPRODUCT(((Recommendations[ImplStatus]="Implemented")+(Recommendations[ImplStatus]="Compensated"))*ISNUMBER(MATCH(Recommendations[Id],H150:AU150,0)))/COUNTIF(H150:AU150,"&lt;&gt;"))</f>
        <v/>
      </c>
      <c r="H150" s="170"/>
      <c r="I150" s="170"/>
      <c r="J150" s="170"/>
      <c r="K150" s="170"/>
      <c r="L150" s="170"/>
      <c r="M150" s="170"/>
      <c r="N150" s="170"/>
      <c r="O150" s="170"/>
      <c r="P150" s="170"/>
      <c r="Q150" s="170"/>
      <c r="R150" s="170"/>
      <c r="S150" s="170"/>
      <c r="T150" s="170"/>
      <c r="U150" s="170"/>
      <c r="V150" s="170"/>
      <c r="W150" s="170"/>
      <c r="X150" s="170"/>
      <c r="Y150" s="170"/>
      <c r="Z150" s="170"/>
      <c r="AA150" s="170"/>
      <c r="AB150" s="170"/>
      <c r="AC150" s="170"/>
      <c r="AD150" s="170"/>
      <c r="AE150" s="170"/>
      <c r="AF150" s="170"/>
      <c r="AG150" s="170"/>
      <c r="AH150" s="170"/>
      <c r="AI150" s="170"/>
      <c r="AJ150" s="170"/>
      <c r="AK150" s="170"/>
      <c r="AL150" s="170"/>
      <c r="AM150" s="170"/>
      <c r="AN150" s="170"/>
      <c r="AO150" s="170"/>
      <c r="AP150" s="170"/>
      <c r="AQ150" s="170"/>
      <c r="AR150" s="170"/>
      <c r="AS150" s="170"/>
      <c r="AT150" s="170"/>
      <c r="AU150" s="184"/>
    </row>
    <row r="151" spans="1:47" ht="60" customHeight="1" x14ac:dyDescent="0.35">
      <c r="A151" s="180" t="s">
        <v>4090</v>
      </c>
      <c r="B151" s="154" t="s">
        <v>4238</v>
      </c>
      <c r="C151" s="155" t="s">
        <v>4244</v>
      </c>
      <c r="D151" s="158" t="s">
        <v>4245</v>
      </c>
      <c r="E151" s="161"/>
      <c r="F151" s="164" t="s">
        <v>21</v>
      </c>
      <c r="G151" s="167" t="str">
        <f>IF(COUNTIF(H151:AU151,"&lt;&gt;")=0,"",SUMPRODUCT(((Recommendations[ImplStatus]="Implemented")+(Recommendations[ImplStatus]="Compensated"))*ISNUMBER(MATCH(Recommendations[Id],H151:AU151,0)))/COUNTIF(H151:AU151,"&lt;&gt;"))</f>
        <v/>
      </c>
      <c r="H151" s="170"/>
      <c r="I151" s="170"/>
      <c r="J151" s="170"/>
      <c r="K151" s="170"/>
      <c r="L151" s="170"/>
      <c r="M151" s="170"/>
      <c r="N151" s="170"/>
      <c r="O151" s="170"/>
      <c r="P151" s="170"/>
      <c r="Q151" s="170"/>
      <c r="R151" s="170"/>
      <c r="S151" s="170"/>
      <c r="T151" s="170"/>
      <c r="U151" s="170"/>
      <c r="V151" s="170"/>
      <c r="W151" s="170"/>
      <c r="X151" s="170"/>
      <c r="Y151" s="170"/>
      <c r="Z151" s="170"/>
      <c r="AA151" s="170"/>
      <c r="AB151" s="170"/>
      <c r="AC151" s="170"/>
      <c r="AD151" s="170"/>
      <c r="AE151" s="170"/>
      <c r="AF151" s="170"/>
      <c r="AG151" s="170"/>
      <c r="AH151" s="170"/>
      <c r="AI151" s="170"/>
      <c r="AJ151" s="170"/>
      <c r="AK151" s="170"/>
      <c r="AL151" s="170"/>
      <c r="AM151" s="170"/>
      <c r="AN151" s="170"/>
      <c r="AO151" s="170"/>
      <c r="AP151" s="170"/>
      <c r="AQ151" s="170"/>
      <c r="AR151" s="170"/>
      <c r="AS151" s="170"/>
      <c r="AT151" s="170"/>
      <c r="AU151" s="184"/>
    </row>
    <row r="152" spans="1:47" ht="60" customHeight="1" x14ac:dyDescent="0.35">
      <c r="A152" s="180" t="s">
        <v>4090</v>
      </c>
      <c r="B152" s="154" t="s">
        <v>4238</v>
      </c>
      <c r="C152" s="155" t="s">
        <v>4246</v>
      </c>
      <c r="D152" s="158" t="s">
        <v>4247</v>
      </c>
      <c r="E152" s="161"/>
      <c r="F152" s="164" t="s">
        <v>21</v>
      </c>
      <c r="G152" s="167" t="str">
        <f>IF(COUNTIF(H152:AU152,"&lt;&gt;")=0,"",SUMPRODUCT(((Recommendations[ImplStatus]="Implemented")+(Recommendations[ImplStatus]="Compensated"))*ISNUMBER(MATCH(Recommendations[Id],H152:AU152,0)))/COUNTIF(H152:AU152,"&lt;&gt;"))</f>
        <v/>
      </c>
      <c r="H152" s="170"/>
      <c r="I152" s="170"/>
      <c r="J152" s="170"/>
      <c r="K152" s="170"/>
      <c r="L152" s="170"/>
      <c r="M152" s="170"/>
      <c r="N152" s="170"/>
      <c r="O152" s="170"/>
      <c r="P152" s="170"/>
      <c r="Q152" s="170"/>
      <c r="R152" s="170"/>
      <c r="S152" s="170"/>
      <c r="T152" s="170"/>
      <c r="U152" s="170"/>
      <c r="V152" s="170"/>
      <c r="W152" s="170"/>
      <c r="X152" s="170"/>
      <c r="Y152" s="170"/>
      <c r="Z152" s="170"/>
      <c r="AA152" s="170"/>
      <c r="AB152" s="170"/>
      <c r="AC152" s="170"/>
      <c r="AD152" s="170"/>
      <c r="AE152" s="170"/>
      <c r="AF152" s="170"/>
      <c r="AG152" s="170"/>
      <c r="AH152" s="170"/>
      <c r="AI152" s="170"/>
      <c r="AJ152" s="170"/>
      <c r="AK152" s="170"/>
      <c r="AL152" s="170"/>
      <c r="AM152" s="170"/>
      <c r="AN152" s="170"/>
      <c r="AO152" s="170"/>
      <c r="AP152" s="170"/>
      <c r="AQ152" s="170"/>
      <c r="AR152" s="170"/>
      <c r="AS152" s="170"/>
      <c r="AT152" s="170"/>
      <c r="AU152" s="184"/>
    </row>
    <row r="153" spans="1:47" ht="60" customHeight="1" x14ac:dyDescent="0.35">
      <c r="A153" s="180" t="s">
        <v>4090</v>
      </c>
      <c r="B153" s="154" t="s">
        <v>4238</v>
      </c>
      <c r="C153" s="155" t="s">
        <v>4248</v>
      </c>
      <c r="D153" s="158" t="s">
        <v>4249</v>
      </c>
      <c r="E153" s="161"/>
      <c r="F153" s="164" t="s">
        <v>21</v>
      </c>
      <c r="G153" s="167" t="str">
        <f>IF(COUNTIF(H153:AU153,"&lt;&gt;")=0,"",SUMPRODUCT(((Recommendations[ImplStatus]="Implemented")+(Recommendations[ImplStatus]="Compensated"))*ISNUMBER(MATCH(Recommendations[Id],H153:AU153,0)))/COUNTIF(H153:AU153,"&lt;&gt;"))</f>
        <v/>
      </c>
      <c r="H153" s="170"/>
      <c r="I153" s="170"/>
      <c r="J153" s="170"/>
      <c r="K153" s="170"/>
      <c r="L153" s="170"/>
      <c r="M153" s="170"/>
      <c r="N153" s="170"/>
      <c r="O153" s="170"/>
      <c r="P153" s="170"/>
      <c r="Q153" s="170"/>
      <c r="R153" s="170"/>
      <c r="S153" s="170"/>
      <c r="T153" s="170"/>
      <c r="U153" s="170"/>
      <c r="V153" s="170"/>
      <c r="W153" s="170"/>
      <c r="X153" s="170"/>
      <c r="Y153" s="170"/>
      <c r="Z153" s="170"/>
      <c r="AA153" s="170"/>
      <c r="AB153" s="170"/>
      <c r="AC153" s="170"/>
      <c r="AD153" s="170"/>
      <c r="AE153" s="170"/>
      <c r="AF153" s="170"/>
      <c r="AG153" s="170"/>
      <c r="AH153" s="170"/>
      <c r="AI153" s="170"/>
      <c r="AJ153" s="170"/>
      <c r="AK153" s="170"/>
      <c r="AL153" s="170"/>
      <c r="AM153" s="170"/>
      <c r="AN153" s="170"/>
      <c r="AO153" s="170"/>
      <c r="AP153" s="170"/>
      <c r="AQ153" s="170"/>
      <c r="AR153" s="170"/>
      <c r="AS153" s="170"/>
      <c r="AT153" s="170"/>
      <c r="AU153" s="184"/>
    </row>
    <row r="154" spans="1:47" ht="60" customHeight="1" outlineLevel="1" x14ac:dyDescent="0.35">
      <c r="A154" s="178" t="s">
        <v>4250</v>
      </c>
      <c r="B154" s="152" t="s">
        <v>21</v>
      </c>
      <c r="C154" s="150" t="s">
        <v>4251</v>
      </c>
      <c r="D154" s="156" t="s">
        <v>4252</v>
      </c>
      <c r="E154" s="159" t="s">
        <v>21</v>
      </c>
      <c r="F154" s="162" t="s">
        <v>21</v>
      </c>
      <c r="G154" s="165" t="str">
        <f>IF(COUNTIF(H154:AU154,"&lt;&gt;")=0,"",SUMPRODUCT(((Recommendations[ImplStatus]="Implemented")+(Recommendations[ImplStatus]="Compensated"))*ISNUMBER(MATCH(Recommendations[Id],H154:AU154,0)))/COUNTIF(H154:AU154,"&lt;&gt;"))</f>
        <v/>
      </c>
      <c r="H154" s="168"/>
      <c r="I154" s="168"/>
      <c r="J154" s="168"/>
      <c r="K154" s="168"/>
      <c r="L154" s="168"/>
      <c r="M154" s="168"/>
      <c r="N154" s="168"/>
      <c r="O154" s="168"/>
      <c r="P154" s="168"/>
      <c r="Q154" s="168"/>
      <c r="R154" s="168"/>
      <c r="S154" s="168"/>
      <c r="T154" s="168"/>
      <c r="U154" s="168"/>
      <c r="V154" s="168"/>
      <c r="W154" s="168"/>
      <c r="X154" s="168"/>
      <c r="Y154" s="168"/>
      <c r="Z154" s="168"/>
      <c r="AA154" s="168"/>
      <c r="AB154" s="168"/>
      <c r="AC154" s="168"/>
      <c r="AD154" s="168"/>
      <c r="AE154" s="168"/>
      <c r="AF154" s="168"/>
      <c r="AG154" s="168"/>
      <c r="AH154" s="168"/>
      <c r="AI154" s="168"/>
      <c r="AJ154" s="168"/>
      <c r="AK154" s="168"/>
      <c r="AL154" s="168"/>
      <c r="AM154" s="168"/>
      <c r="AN154" s="168"/>
      <c r="AO154" s="168"/>
      <c r="AP154" s="168"/>
      <c r="AQ154" s="168"/>
      <c r="AR154" s="168"/>
      <c r="AS154" s="168"/>
      <c r="AT154" s="168"/>
      <c r="AU154" s="182"/>
    </row>
    <row r="155" spans="1:47" ht="60" customHeight="1" outlineLevel="1" x14ac:dyDescent="0.35">
      <c r="A155" s="179" t="s">
        <v>4250</v>
      </c>
      <c r="B155" s="153" t="s">
        <v>4253</v>
      </c>
      <c r="C155" s="151" t="s">
        <v>4254</v>
      </c>
      <c r="D155" s="157" t="s">
        <v>4255</v>
      </c>
      <c r="E155" s="160" t="s">
        <v>21</v>
      </c>
      <c r="F155" s="163" t="s">
        <v>21</v>
      </c>
      <c r="G155" s="166" t="str">
        <f>IF(COUNTIF(H155:AU155,"&lt;&gt;")=0,"",SUMPRODUCT(((Recommendations[ImplStatus]="Implemented")+(Recommendations[ImplStatus]="Compensated"))*ISNUMBER(MATCH(Recommendations[Id],H155:AU155,0)))/COUNTIF(H155:AU155,"&lt;&gt;"))</f>
        <v/>
      </c>
      <c r="H155" s="169"/>
      <c r="I155" s="169"/>
      <c r="J155" s="169"/>
      <c r="K155" s="169"/>
      <c r="L155" s="169"/>
      <c r="M155" s="169"/>
      <c r="N155" s="169"/>
      <c r="O155" s="169"/>
      <c r="P155" s="169"/>
      <c r="Q155" s="169"/>
      <c r="R155" s="169"/>
      <c r="S155" s="169"/>
      <c r="T155" s="169"/>
      <c r="U155" s="169"/>
      <c r="V155" s="169"/>
      <c r="W155" s="169"/>
      <c r="X155" s="169"/>
      <c r="Y155" s="169"/>
      <c r="Z155" s="169"/>
      <c r="AA155" s="169"/>
      <c r="AB155" s="169"/>
      <c r="AC155" s="169"/>
      <c r="AD155" s="169"/>
      <c r="AE155" s="169"/>
      <c r="AF155" s="169"/>
      <c r="AG155" s="169"/>
      <c r="AH155" s="169"/>
      <c r="AI155" s="169"/>
      <c r="AJ155" s="169"/>
      <c r="AK155" s="169"/>
      <c r="AL155" s="169"/>
      <c r="AM155" s="169"/>
      <c r="AN155" s="169"/>
      <c r="AO155" s="169"/>
      <c r="AP155" s="169"/>
      <c r="AQ155" s="169"/>
      <c r="AR155" s="169"/>
      <c r="AS155" s="169"/>
      <c r="AT155" s="169"/>
      <c r="AU155" s="183"/>
    </row>
    <row r="156" spans="1:47" ht="60" customHeight="1" x14ac:dyDescent="0.35">
      <c r="A156" s="180" t="s">
        <v>4250</v>
      </c>
      <c r="B156" s="154" t="s">
        <v>4253</v>
      </c>
      <c r="C156" s="155" t="s">
        <v>4256</v>
      </c>
      <c r="D156" s="158" t="s">
        <v>4257</v>
      </c>
      <c r="E156" s="161"/>
      <c r="F156" s="164" t="s">
        <v>21</v>
      </c>
      <c r="G156" s="167" t="str">
        <f>IF(COUNTIF(H156:AU156,"&lt;&gt;")=0,"",SUMPRODUCT(((Recommendations[ImplStatus]="Implemented")+(Recommendations[ImplStatus]="Compensated"))*ISNUMBER(MATCH(Recommendations[Id],H156:AU156,0)))/COUNTIF(H156:AU156,"&lt;&gt;"))</f>
        <v/>
      </c>
      <c r="H156" s="170"/>
      <c r="I156" s="170"/>
      <c r="J156" s="170"/>
      <c r="K156" s="170"/>
      <c r="L156" s="170"/>
      <c r="M156" s="170"/>
      <c r="N156" s="170"/>
      <c r="O156" s="170"/>
      <c r="P156" s="170"/>
      <c r="Q156" s="170"/>
      <c r="R156" s="170"/>
      <c r="S156" s="170"/>
      <c r="T156" s="170"/>
      <c r="U156" s="170"/>
      <c r="V156" s="170"/>
      <c r="W156" s="170"/>
      <c r="X156" s="170"/>
      <c r="Y156" s="170"/>
      <c r="Z156" s="170"/>
      <c r="AA156" s="170"/>
      <c r="AB156" s="170"/>
      <c r="AC156" s="170"/>
      <c r="AD156" s="170"/>
      <c r="AE156" s="170"/>
      <c r="AF156" s="170"/>
      <c r="AG156" s="170"/>
      <c r="AH156" s="170"/>
      <c r="AI156" s="170"/>
      <c r="AJ156" s="170"/>
      <c r="AK156" s="170"/>
      <c r="AL156" s="170"/>
      <c r="AM156" s="170"/>
      <c r="AN156" s="170"/>
      <c r="AO156" s="170"/>
      <c r="AP156" s="170"/>
      <c r="AQ156" s="170"/>
      <c r="AR156" s="170"/>
      <c r="AS156" s="170"/>
      <c r="AT156" s="170"/>
      <c r="AU156" s="184"/>
    </row>
    <row r="157" spans="1:47" ht="60" customHeight="1" x14ac:dyDescent="0.35">
      <c r="A157" s="180" t="s">
        <v>4250</v>
      </c>
      <c r="B157" s="154" t="s">
        <v>4253</v>
      </c>
      <c r="C157" s="155" t="s">
        <v>4258</v>
      </c>
      <c r="D157" s="158" t="s">
        <v>4259</v>
      </c>
      <c r="E157" s="161" t="s">
        <v>4260</v>
      </c>
      <c r="F157" s="164" t="s">
        <v>3867</v>
      </c>
      <c r="G157" s="167" t="str">
        <f>IF(COUNTIF(H157:AU157,"&lt;&gt;")=0,"",SUMPRODUCT(((Recommendations[ImplStatus]="Implemented")+(Recommendations[ImplStatus]="Compensated"))*ISNUMBER(MATCH(Recommendations[Id],H157:AU157,0)))/COUNTIF(H157:AU157,"&lt;&gt;"))</f>
        <v/>
      </c>
      <c r="H157" s="170"/>
      <c r="I157" s="170"/>
      <c r="J157" s="170"/>
      <c r="K157" s="170"/>
      <c r="L157" s="170"/>
      <c r="M157" s="170"/>
      <c r="N157" s="170"/>
      <c r="O157" s="170"/>
      <c r="P157" s="170"/>
      <c r="Q157" s="170"/>
      <c r="R157" s="170"/>
      <c r="S157" s="170"/>
      <c r="T157" s="170"/>
      <c r="U157" s="170"/>
      <c r="V157" s="170"/>
      <c r="W157" s="170"/>
      <c r="X157" s="170"/>
      <c r="Y157" s="170"/>
      <c r="Z157" s="170"/>
      <c r="AA157" s="170"/>
      <c r="AB157" s="170"/>
      <c r="AC157" s="170"/>
      <c r="AD157" s="170"/>
      <c r="AE157" s="170"/>
      <c r="AF157" s="170"/>
      <c r="AG157" s="170"/>
      <c r="AH157" s="170"/>
      <c r="AI157" s="170"/>
      <c r="AJ157" s="170"/>
      <c r="AK157" s="170"/>
      <c r="AL157" s="170"/>
      <c r="AM157" s="170"/>
      <c r="AN157" s="170"/>
      <c r="AO157" s="170"/>
      <c r="AP157" s="170"/>
      <c r="AQ157" s="170"/>
      <c r="AR157" s="170"/>
      <c r="AS157" s="170"/>
      <c r="AT157" s="170"/>
      <c r="AU157" s="184"/>
    </row>
    <row r="158" spans="1:47" ht="60" customHeight="1" x14ac:dyDescent="0.35">
      <c r="A158" s="180" t="s">
        <v>4250</v>
      </c>
      <c r="B158" s="154" t="s">
        <v>4253</v>
      </c>
      <c r="C158" s="155" t="s">
        <v>4261</v>
      </c>
      <c r="D158" s="158" t="s">
        <v>4262</v>
      </c>
      <c r="E158" s="161" t="s">
        <v>4263</v>
      </c>
      <c r="F158" s="164" t="s">
        <v>3867</v>
      </c>
      <c r="G158" s="167" t="str">
        <f>IF(COUNTIF(H158:AU158,"&lt;&gt;")=0,"",SUMPRODUCT(((Recommendations[ImplStatus]="Implemented")+(Recommendations[ImplStatus]="Compensated"))*ISNUMBER(MATCH(Recommendations[Id],H158:AU158,0)))/COUNTIF(H158:AU158,"&lt;&gt;"))</f>
        <v/>
      </c>
      <c r="H158" s="170"/>
      <c r="I158" s="170"/>
      <c r="J158" s="170"/>
      <c r="K158" s="170"/>
      <c r="L158" s="170"/>
      <c r="M158" s="170"/>
      <c r="N158" s="170"/>
      <c r="O158" s="170"/>
      <c r="P158" s="170"/>
      <c r="Q158" s="170"/>
      <c r="R158" s="170"/>
      <c r="S158" s="170"/>
      <c r="T158" s="170"/>
      <c r="U158" s="170"/>
      <c r="V158" s="170"/>
      <c r="W158" s="170"/>
      <c r="X158" s="170"/>
      <c r="Y158" s="170"/>
      <c r="Z158" s="170"/>
      <c r="AA158" s="170"/>
      <c r="AB158" s="170"/>
      <c r="AC158" s="170"/>
      <c r="AD158" s="170"/>
      <c r="AE158" s="170"/>
      <c r="AF158" s="170"/>
      <c r="AG158" s="170"/>
      <c r="AH158" s="170"/>
      <c r="AI158" s="170"/>
      <c r="AJ158" s="170"/>
      <c r="AK158" s="170"/>
      <c r="AL158" s="170"/>
      <c r="AM158" s="170"/>
      <c r="AN158" s="170"/>
      <c r="AO158" s="170"/>
      <c r="AP158" s="170"/>
      <c r="AQ158" s="170"/>
      <c r="AR158" s="170"/>
      <c r="AS158" s="170"/>
      <c r="AT158" s="170"/>
      <c r="AU158" s="184"/>
    </row>
    <row r="159" spans="1:47" ht="60" customHeight="1" x14ac:dyDescent="0.35">
      <c r="A159" s="180" t="s">
        <v>4250</v>
      </c>
      <c r="B159" s="154" t="s">
        <v>4253</v>
      </c>
      <c r="C159" s="155" t="s">
        <v>4264</v>
      </c>
      <c r="D159" s="158" t="s">
        <v>4265</v>
      </c>
      <c r="E159" s="161" t="s">
        <v>4266</v>
      </c>
      <c r="F159" s="164" t="s">
        <v>3867</v>
      </c>
      <c r="G159" s="167" t="str">
        <f>IF(COUNTIF(H159:AU159,"&lt;&gt;")=0,"",SUMPRODUCT(((Recommendations[ImplStatus]="Implemented")+(Recommendations[ImplStatus]="Compensated"))*ISNUMBER(MATCH(Recommendations[Id],H159:AU159,0)))/COUNTIF(H159:AU159,"&lt;&gt;"))</f>
        <v/>
      </c>
      <c r="H159" s="170"/>
      <c r="I159" s="170"/>
      <c r="J159" s="170"/>
      <c r="K159" s="170"/>
      <c r="L159" s="170"/>
      <c r="M159" s="170"/>
      <c r="N159" s="170"/>
      <c r="O159" s="170"/>
      <c r="P159" s="170"/>
      <c r="Q159" s="170"/>
      <c r="R159" s="170"/>
      <c r="S159" s="170"/>
      <c r="T159" s="170"/>
      <c r="U159" s="170"/>
      <c r="V159" s="170"/>
      <c r="W159" s="170"/>
      <c r="X159" s="170"/>
      <c r="Y159" s="170"/>
      <c r="Z159" s="170"/>
      <c r="AA159" s="170"/>
      <c r="AB159" s="170"/>
      <c r="AC159" s="170"/>
      <c r="AD159" s="170"/>
      <c r="AE159" s="170"/>
      <c r="AF159" s="170"/>
      <c r="AG159" s="170"/>
      <c r="AH159" s="170"/>
      <c r="AI159" s="170"/>
      <c r="AJ159" s="170"/>
      <c r="AK159" s="170"/>
      <c r="AL159" s="170"/>
      <c r="AM159" s="170"/>
      <c r="AN159" s="170"/>
      <c r="AO159" s="170"/>
      <c r="AP159" s="170"/>
      <c r="AQ159" s="170"/>
      <c r="AR159" s="170"/>
      <c r="AS159" s="170"/>
      <c r="AT159" s="170"/>
      <c r="AU159" s="184"/>
    </row>
    <row r="160" spans="1:47" ht="60" customHeight="1" x14ac:dyDescent="0.35">
      <c r="A160" s="180" t="s">
        <v>4250</v>
      </c>
      <c r="B160" s="154" t="s">
        <v>4253</v>
      </c>
      <c r="C160" s="155" t="s">
        <v>4267</v>
      </c>
      <c r="D160" s="158" t="s">
        <v>4268</v>
      </c>
      <c r="E160" s="161"/>
      <c r="F160" s="164" t="s">
        <v>21</v>
      </c>
      <c r="G160" s="167" t="str">
        <f>IF(COUNTIF(H160:AU160,"&lt;&gt;")=0,"",SUMPRODUCT(((Recommendations[ImplStatus]="Implemented")+(Recommendations[ImplStatus]="Compensated"))*ISNUMBER(MATCH(Recommendations[Id],H160:AU160,0)))/COUNTIF(H160:AU160,"&lt;&gt;"))</f>
        <v/>
      </c>
      <c r="H160" s="170"/>
      <c r="I160" s="170"/>
      <c r="J160" s="170"/>
      <c r="K160" s="170"/>
      <c r="L160" s="170"/>
      <c r="M160" s="170"/>
      <c r="N160" s="170"/>
      <c r="O160" s="170"/>
      <c r="P160" s="170"/>
      <c r="Q160" s="170"/>
      <c r="R160" s="170"/>
      <c r="S160" s="170"/>
      <c r="T160" s="170"/>
      <c r="U160" s="170"/>
      <c r="V160" s="170"/>
      <c r="W160" s="170"/>
      <c r="X160" s="170"/>
      <c r="Y160" s="170"/>
      <c r="Z160" s="170"/>
      <c r="AA160" s="170"/>
      <c r="AB160" s="170"/>
      <c r="AC160" s="170"/>
      <c r="AD160" s="170"/>
      <c r="AE160" s="170"/>
      <c r="AF160" s="170"/>
      <c r="AG160" s="170"/>
      <c r="AH160" s="170"/>
      <c r="AI160" s="170"/>
      <c r="AJ160" s="170"/>
      <c r="AK160" s="170"/>
      <c r="AL160" s="170"/>
      <c r="AM160" s="170"/>
      <c r="AN160" s="170"/>
      <c r="AO160" s="170"/>
      <c r="AP160" s="170"/>
      <c r="AQ160" s="170"/>
      <c r="AR160" s="170"/>
      <c r="AS160" s="170"/>
      <c r="AT160" s="170"/>
      <c r="AU160" s="184"/>
    </row>
    <row r="161" spans="1:47" ht="60" customHeight="1" x14ac:dyDescent="0.35">
      <c r="A161" s="180" t="s">
        <v>4250</v>
      </c>
      <c r="B161" s="154" t="s">
        <v>4253</v>
      </c>
      <c r="C161" s="155" t="s">
        <v>4269</v>
      </c>
      <c r="D161" s="158" t="s">
        <v>4270</v>
      </c>
      <c r="E161" s="161" t="s">
        <v>4271</v>
      </c>
      <c r="F161" s="164" t="s">
        <v>3867</v>
      </c>
      <c r="G161" s="167">
        <f>IF(COUNTIF(H161:AU161,"&lt;&gt;")=0,"",SUMPRODUCT(((Recommendations[ImplStatus]="Implemented")+(Recommendations[ImplStatus]="Compensated"))*ISNUMBER(MATCH(Recommendations[Id],H161:AU161,0)))/COUNTIF(H161:AU161,"&lt;&gt;"))</f>
        <v>0</v>
      </c>
      <c r="H161" s="170" t="s">
        <v>195</v>
      </c>
      <c r="I161" s="170" t="s">
        <v>200</v>
      </c>
      <c r="J161" s="170" t="s">
        <v>380</v>
      </c>
      <c r="K161" s="170" t="s">
        <v>385</v>
      </c>
      <c r="L161" s="170" t="s">
        <v>983</v>
      </c>
      <c r="M161" s="170" t="s">
        <v>988</v>
      </c>
      <c r="N161" s="170" t="s">
        <v>991</v>
      </c>
      <c r="O161" s="170" t="s">
        <v>994</v>
      </c>
      <c r="P161" s="170" t="s">
        <v>1015</v>
      </c>
      <c r="Q161" s="170" t="s">
        <v>1032</v>
      </c>
      <c r="R161" s="170" t="s">
        <v>1037</v>
      </c>
      <c r="S161" s="170" t="s">
        <v>1065</v>
      </c>
      <c r="T161" s="170" t="s">
        <v>1109</v>
      </c>
      <c r="U161" s="170" t="s">
        <v>1437</v>
      </c>
      <c r="V161" s="170" t="s">
        <v>1797</v>
      </c>
      <c r="W161" s="170"/>
      <c r="X161" s="170"/>
      <c r="Y161" s="170"/>
      <c r="Z161" s="170"/>
      <c r="AA161" s="170"/>
      <c r="AB161" s="170"/>
      <c r="AC161" s="170"/>
      <c r="AD161" s="170"/>
      <c r="AE161" s="170"/>
      <c r="AF161" s="170"/>
      <c r="AG161" s="170"/>
      <c r="AH161" s="170"/>
      <c r="AI161" s="170"/>
      <c r="AJ161" s="170"/>
      <c r="AK161" s="170"/>
      <c r="AL161" s="170"/>
      <c r="AM161" s="170"/>
      <c r="AN161" s="170"/>
      <c r="AO161" s="170"/>
      <c r="AP161" s="170"/>
      <c r="AQ161" s="170"/>
      <c r="AR161" s="170"/>
      <c r="AS161" s="170"/>
      <c r="AT161" s="170"/>
      <c r="AU161" s="184"/>
    </row>
    <row r="162" spans="1:47" ht="60" customHeight="1" x14ac:dyDescent="0.35">
      <c r="A162" s="180" t="s">
        <v>4250</v>
      </c>
      <c r="B162" s="154" t="s">
        <v>4253</v>
      </c>
      <c r="C162" s="155" t="s">
        <v>4272</v>
      </c>
      <c r="D162" s="158" t="s">
        <v>4273</v>
      </c>
      <c r="E162" s="161" t="s">
        <v>4274</v>
      </c>
      <c r="F162" s="164" t="s">
        <v>3867</v>
      </c>
      <c r="G162" s="167" t="str">
        <f>IF(COUNTIF(H162:AU162,"&lt;&gt;")=0,"",SUMPRODUCT(((Recommendations[ImplStatus]="Implemented")+(Recommendations[ImplStatus]="Compensated"))*ISNUMBER(MATCH(Recommendations[Id],H162:AU162,0)))/COUNTIF(H162:AU162,"&lt;&gt;"))</f>
        <v/>
      </c>
      <c r="H162" s="170"/>
      <c r="I162" s="170"/>
      <c r="J162" s="170"/>
      <c r="K162" s="170"/>
      <c r="L162" s="170"/>
      <c r="M162" s="170"/>
      <c r="N162" s="170"/>
      <c r="O162" s="170"/>
      <c r="P162" s="170"/>
      <c r="Q162" s="170"/>
      <c r="R162" s="170"/>
      <c r="S162" s="170"/>
      <c r="T162" s="170"/>
      <c r="U162" s="170"/>
      <c r="V162" s="170"/>
      <c r="W162" s="170"/>
      <c r="X162" s="170"/>
      <c r="Y162" s="170"/>
      <c r="Z162" s="170"/>
      <c r="AA162" s="170"/>
      <c r="AB162" s="170"/>
      <c r="AC162" s="170"/>
      <c r="AD162" s="170"/>
      <c r="AE162" s="170"/>
      <c r="AF162" s="170"/>
      <c r="AG162" s="170"/>
      <c r="AH162" s="170"/>
      <c r="AI162" s="170"/>
      <c r="AJ162" s="170"/>
      <c r="AK162" s="170"/>
      <c r="AL162" s="170"/>
      <c r="AM162" s="170"/>
      <c r="AN162" s="170"/>
      <c r="AO162" s="170"/>
      <c r="AP162" s="170"/>
      <c r="AQ162" s="170"/>
      <c r="AR162" s="170"/>
      <c r="AS162" s="170"/>
      <c r="AT162" s="170"/>
      <c r="AU162" s="184"/>
    </row>
    <row r="163" spans="1:47" ht="60" customHeight="1" x14ac:dyDescent="0.35">
      <c r="A163" s="180" t="s">
        <v>4250</v>
      </c>
      <c r="B163" s="154" t="s">
        <v>4253</v>
      </c>
      <c r="C163" s="155" t="s">
        <v>4275</v>
      </c>
      <c r="D163" s="158" t="s">
        <v>4276</v>
      </c>
      <c r="E163" s="161" t="s">
        <v>4277</v>
      </c>
      <c r="F163" s="164" t="s">
        <v>3867</v>
      </c>
      <c r="G163" s="167" t="str">
        <f>IF(COUNTIF(H163:AU163,"&lt;&gt;")=0,"",SUMPRODUCT(((Recommendations[ImplStatus]="Implemented")+(Recommendations[ImplStatus]="Compensated"))*ISNUMBER(MATCH(Recommendations[Id],H163:AU163,0)))/COUNTIF(H163:AU163,"&lt;&gt;"))</f>
        <v/>
      </c>
      <c r="H163" s="170"/>
      <c r="I163" s="170"/>
      <c r="J163" s="170"/>
      <c r="K163" s="170"/>
      <c r="L163" s="170"/>
      <c r="M163" s="170"/>
      <c r="N163" s="170"/>
      <c r="O163" s="170"/>
      <c r="P163" s="170"/>
      <c r="Q163" s="170"/>
      <c r="R163" s="170"/>
      <c r="S163" s="170"/>
      <c r="T163" s="170"/>
      <c r="U163" s="170"/>
      <c r="V163" s="170"/>
      <c r="W163" s="170"/>
      <c r="X163" s="170"/>
      <c r="Y163" s="170"/>
      <c r="Z163" s="170"/>
      <c r="AA163" s="170"/>
      <c r="AB163" s="170"/>
      <c r="AC163" s="170"/>
      <c r="AD163" s="170"/>
      <c r="AE163" s="170"/>
      <c r="AF163" s="170"/>
      <c r="AG163" s="170"/>
      <c r="AH163" s="170"/>
      <c r="AI163" s="170"/>
      <c r="AJ163" s="170"/>
      <c r="AK163" s="170"/>
      <c r="AL163" s="170"/>
      <c r="AM163" s="170"/>
      <c r="AN163" s="170"/>
      <c r="AO163" s="170"/>
      <c r="AP163" s="170"/>
      <c r="AQ163" s="170"/>
      <c r="AR163" s="170"/>
      <c r="AS163" s="170"/>
      <c r="AT163" s="170"/>
      <c r="AU163" s="184"/>
    </row>
    <row r="164" spans="1:47" ht="60" customHeight="1" outlineLevel="1" x14ac:dyDescent="0.35">
      <c r="A164" s="179" t="s">
        <v>4250</v>
      </c>
      <c r="B164" s="153" t="s">
        <v>3671</v>
      </c>
      <c r="C164" s="151" t="s">
        <v>4278</v>
      </c>
      <c r="D164" s="157" t="s">
        <v>4279</v>
      </c>
      <c r="E164" s="160" t="s">
        <v>21</v>
      </c>
      <c r="F164" s="163" t="s">
        <v>21</v>
      </c>
      <c r="G164" s="166" t="str">
        <f>IF(COUNTIF(H164:AU164,"&lt;&gt;")=0,"",SUMPRODUCT(((Recommendations[ImplStatus]="Implemented")+(Recommendations[ImplStatus]="Compensated"))*ISNUMBER(MATCH(Recommendations[Id],H164:AU164,0)))/COUNTIF(H164:AU164,"&lt;&gt;"))</f>
        <v/>
      </c>
      <c r="H164" s="169"/>
      <c r="I164" s="169"/>
      <c r="J164" s="169"/>
      <c r="K164" s="169"/>
      <c r="L164" s="169"/>
      <c r="M164" s="169"/>
      <c r="N164" s="169"/>
      <c r="O164" s="169"/>
      <c r="P164" s="169"/>
      <c r="Q164" s="169"/>
      <c r="R164" s="169"/>
      <c r="S164" s="169"/>
      <c r="T164" s="169"/>
      <c r="U164" s="169"/>
      <c r="V164" s="169"/>
      <c r="W164" s="169"/>
      <c r="X164" s="169"/>
      <c r="Y164" s="169"/>
      <c r="Z164" s="169"/>
      <c r="AA164" s="169"/>
      <c r="AB164" s="169"/>
      <c r="AC164" s="169"/>
      <c r="AD164" s="169"/>
      <c r="AE164" s="169"/>
      <c r="AF164" s="169"/>
      <c r="AG164" s="169"/>
      <c r="AH164" s="169"/>
      <c r="AI164" s="169"/>
      <c r="AJ164" s="169"/>
      <c r="AK164" s="169"/>
      <c r="AL164" s="169"/>
      <c r="AM164" s="169"/>
      <c r="AN164" s="169"/>
      <c r="AO164" s="169"/>
      <c r="AP164" s="169"/>
      <c r="AQ164" s="169"/>
      <c r="AR164" s="169"/>
      <c r="AS164" s="169"/>
      <c r="AT164" s="169"/>
      <c r="AU164" s="183"/>
    </row>
    <row r="165" spans="1:47" ht="60" customHeight="1" x14ac:dyDescent="0.35">
      <c r="A165" s="180" t="s">
        <v>4250</v>
      </c>
      <c r="B165" s="154" t="s">
        <v>3671</v>
      </c>
      <c r="C165" s="155" t="s">
        <v>4280</v>
      </c>
      <c r="D165" s="158" t="s">
        <v>4281</v>
      </c>
      <c r="E165" s="161" t="s">
        <v>4282</v>
      </c>
      <c r="F165" s="164" t="s">
        <v>3867</v>
      </c>
      <c r="G165" s="167" t="str">
        <f>IF(COUNTIF(H165:AU165,"&lt;&gt;")=0,"",SUMPRODUCT(((Recommendations[ImplStatus]="Implemented")+(Recommendations[ImplStatus]="Compensated"))*ISNUMBER(MATCH(Recommendations[Id],H165:AU165,0)))/COUNTIF(H165:AU165,"&lt;&gt;"))</f>
        <v/>
      </c>
      <c r="H165" s="170"/>
      <c r="I165" s="170"/>
      <c r="J165" s="170"/>
      <c r="K165" s="170"/>
      <c r="L165" s="170"/>
      <c r="M165" s="170"/>
      <c r="N165" s="170"/>
      <c r="O165" s="170"/>
      <c r="P165" s="170"/>
      <c r="Q165" s="170"/>
      <c r="R165" s="170"/>
      <c r="S165" s="170"/>
      <c r="T165" s="170"/>
      <c r="U165" s="170"/>
      <c r="V165" s="170"/>
      <c r="W165" s="170"/>
      <c r="X165" s="170"/>
      <c r="Y165" s="170"/>
      <c r="Z165" s="170"/>
      <c r="AA165" s="170"/>
      <c r="AB165" s="170"/>
      <c r="AC165" s="170"/>
      <c r="AD165" s="170"/>
      <c r="AE165" s="170"/>
      <c r="AF165" s="170"/>
      <c r="AG165" s="170"/>
      <c r="AH165" s="170"/>
      <c r="AI165" s="170"/>
      <c r="AJ165" s="170"/>
      <c r="AK165" s="170"/>
      <c r="AL165" s="170"/>
      <c r="AM165" s="170"/>
      <c r="AN165" s="170"/>
      <c r="AO165" s="170"/>
      <c r="AP165" s="170"/>
      <c r="AQ165" s="170"/>
      <c r="AR165" s="170"/>
      <c r="AS165" s="170"/>
      <c r="AT165" s="170"/>
      <c r="AU165" s="184"/>
    </row>
    <row r="166" spans="1:47" ht="60" customHeight="1" x14ac:dyDescent="0.35">
      <c r="A166" s="180" t="s">
        <v>4250</v>
      </c>
      <c r="B166" s="154" t="s">
        <v>3671</v>
      </c>
      <c r="C166" s="155" t="s">
        <v>4283</v>
      </c>
      <c r="D166" s="158" t="s">
        <v>4284</v>
      </c>
      <c r="E166" s="161" t="s">
        <v>4285</v>
      </c>
      <c r="F166" s="164" t="s">
        <v>3867</v>
      </c>
      <c r="G166" s="167" t="str">
        <f>IF(COUNTIF(H166:AU166,"&lt;&gt;")=0,"",SUMPRODUCT(((Recommendations[ImplStatus]="Implemented")+(Recommendations[ImplStatus]="Compensated"))*ISNUMBER(MATCH(Recommendations[Id],H166:AU166,0)))/COUNTIF(H166:AU166,"&lt;&gt;"))</f>
        <v/>
      </c>
      <c r="H166" s="170"/>
      <c r="I166" s="170"/>
      <c r="J166" s="170"/>
      <c r="K166" s="170"/>
      <c r="L166" s="170"/>
      <c r="M166" s="170"/>
      <c r="N166" s="170"/>
      <c r="O166" s="170"/>
      <c r="P166" s="170"/>
      <c r="Q166" s="170"/>
      <c r="R166" s="170"/>
      <c r="S166" s="170"/>
      <c r="T166" s="170"/>
      <c r="U166" s="170"/>
      <c r="V166" s="170"/>
      <c r="W166" s="170"/>
      <c r="X166" s="170"/>
      <c r="Y166" s="170"/>
      <c r="Z166" s="170"/>
      <c r="AA166" s="170"/>
      <c r="AB166" s="170"/>
      <c r="AC166" s="170"/>
      <c r="AD166" s="170"/>
      <c r="AE166" s="170"/>
      <c r="AF166" s="170"/>
      <c r="AG166" s="170"/>
      <c r="AH166" s="170"/>
      <c r="AI166" s="170"/>
      <c r="AJ166" s="170"/>
      <c r="AK166" s="170"/>
      <c r="AL166" s="170"/>
      <c r="AM166" s="170"/>
      <c r="AN166" s="170"/>
      <c r="AO166" s="170"/>
      <c r="AP166" s="170"/>
      <c r="AQ166" s="170"/>
      <c r="AR166" s="170"/>
      <c r="AS166" s="170"/>
      <c r="AT166" s="170"/>
      <c r="AU166" s="184"/>
    </row>
    <row r="167" spans="1:47" ht="60" customHeight="1" x14ac:dyDescent="0.35">
      <c r="A167" s="180" t="s">
        <v>4250</v>
      </c>
      <c r="B167" s="154" t="s">
        <v>3671</v>
      </c>
      <c r="C167" s="155" t="s">
        <v>4286</v>
      </c>
      <c r="D167" s="158" t="s">
        <v>4287</v>
      </c>
      <c r="E167" s="161" t="s">
        <v>4288</v>
      </c>
      <c r="F167" s="164" t="s">
        <v>3867</v>
      </c>
      <c r="G167" s="167">
        <f>IF(COUNTIF(H167:AU167,"&lt;&gt;")=0,"",SUMPRODUCT(((Recommendations[ImplStatus]="Implemented")+(Recommendations[ImplStatus]="Compensated"))*ISNUMBER(MATCH(Recommendations[Id],H167:AU167,0)))/COUNTIF(H167:AU167,"&lt;&gt;"))</f>
        <v>0</v>
      </c>
      <c r="H167" s="170" t="s">
        <v>56</v>
      </c>
      <c r="I167" s="170" t="s">
        <v>61</v>
      </c>
      <c r="J167" s="170" t="s">
        <v>100</v>
      </c>
      <c r="K167" s="170" t="s">
        <v>105</v>
      </c>
      <c r="L167" s="170" t="s">
        <v>114</v>
      </c>
      <c r="M167" s="170" t="s">
        <v>118</v>
      </c>
      <c r="N167" s="170" t="s">
        <v>123</v>
      </c>
      <c r="O167" s="170" t="s">
        <v>232</v>
      </c>
      <c r="P167" s="170" t="s">
        <v>235</v>
      </c>
      <c r="Q167" s="170" t="s">
        <v>241</v>
      </c>
      <c r="R167" s="170" t="s">
        <v>244</v>
      </c>
      <c r="S167" s="170" t="s">
        <v>247</v>
      </c>
      <c r="T167" s="170" t="s">
        <v>250</v>
      </c>
      <c r="U167" s="170" t="s">
        <v>253</v>
      </c>
      <c r="V167" s="170" t="s">
        <v>256</v>
      </c>
      <c r="W167" s="170" t="s">
        <v>259</v>
      </c>
      <c r="X167" s="170" t="s">
        <v>262</v>
      </c>
      <c r="Y167" s="170" t="s">
        <v>278</v>
      </c>
      <c r="Z167" s="170" t="s">
        <v>281</v>
      </c>
      <c r="AA167" s="170" t="s">
        <v>328</v>
      </c>
      <c r="AB167" s="170" t="s">
        <v>333</v>
      </c>
      <c r="AC167" s="170" t="s">
        <v>390</v>
      </c>
      <c r="AD167" s="170" t="s">
        <v>395</v>
      </c>
      <c r="AE167" s="170" t="s">
        <v>399</v>
      </c>
      <c r="AF167" s="170" t="s">
        <v>404</v>
      </c>
      <c r="AG167" s="170" t="s">
        <v>407</v>
      </c>
      <c r="AH167" s="170" t="s">
        <v>411</v>
      </c>
      <c r="AI167" s="170" t="s">
        <v>467</v>
      </c>
      <c r="AJ167" s="170" t="s">
        <v>472</v>
      </c>
      <c r="AK167" s="170" t="s">
        <v>476</v>
      </c>
      <c r="AL167" s="170" t="s">
        <v>892</v>
      </c>
      <c r="AM167" s="170" t="s">
        <v>897</v>
      </c>
      <c r="AN167" s="170" t="s">
        <v>901</v>
      </c>
      <c r="AO167" s="170" t="s">
        <v>905</v>
      </c>
      <c r="AP167" s="170" t="s">
        <v>909</v>
      </c>
      <c r="AQ167" s="170" t="s">
        <v>913</v>
      </c>
      <c r="AR167" s="170" t="s">
        <v>932</v>
      </c>
      <c r="AS167" s="170" t="s">
        <v>937</v>
      </c>
      <c r="AT167" s="170" t="s">
        <v>940</v>
      </c>
      <c r="AU167" s="184" t="s">
        <v>945</v>
      </c>
    </row>
    <row r="168" spans="1:47" ht="60" customHeight="1" x14ac:dyDescent="0.35">
      <c r="A168" s="180" t="s">
        <v>4250</v>
      </c>
      <c r="B168" s="154" t="s">
        <v>3671</v>
      </c>
      <c r="C168" s="155" t="s">
        <v>4289</v>
      </c>
      <c r="D168" s="158" t="s">
        <v>4290</v>
      </c>
      <c r="E168" s="161"/>
      <c r="F168" s="164" t="s">
        <v>21</v>
      </c>
      <c r="G168" s="167" t="str">
        <f>IF(COUNTIF(H168:AU168,"&lt;&gt;")=0,"",SUMPRODUCT(((Recommendations[ImplStatus]="Implemented")+(Recommendations[ImplStatus]="Compensated"))*ISNUMBER(MATCH(Recommendations[Id],H168:AU168,0)))/COUNTIF(H168:AU168,"&lt;&gt;"))</f>
        <v/>
      </c>
      <c r="H168" s="170"/>
      <c r="I168" s="170"/>
      <c r="J168" s="170"/>
      <c r="K168" s="170"/>
      <c r="L168" s="170"/>
      <c r="M168" s="170"/>
      <c r="N168" s="170"/>
      <c r="O168" s="170"/>
      <c r="P168" s="170"/>
      <c r="Q168" s="170"/>
      <c r="R168" s="170"/>
      <c r="S168" s="170"/>
      <c r="T168" s="170"/>
      <c r="U168" s="170"/>
      <c r="V168" s="170"/>
      <c r="W168" s="170"/>
      <c r="X168" s="170"/>
      <c r="Y168" s="170"/>
      <c r="Z168" s="170"/>
      <c r="AA168" s="170"/>
      <c r="AB168" s="170"/>
      <c r="AC168" s="170"/>
      <c r="AD168" s="170"/>
      <c r="AE168" s="170"/>
      <c r="AF168" s="170"/>
      <c r="AG168" s="170"/>
      <c r="AH168" s="170"/>
      <c r="AI168" s="170"/>
      <c r="AJ168" s="170"/>
      <c r="AK168" s="170"/>
      <c r="AL168" s="170"/>
      <c r="AM168" s="170"/>
      <c r="AN168" s="170"/>
      <c r="AO168" s="170"/>
      <c r="AP168" s="170"/>
      <c r="AQ168" s="170"/>
      <c r="AR168" s="170"/>
      <c r="AS168" s="170"/>
      <c r="AT168" s="170"/>
      <c r="AU168" s="184"/>
    </row>
    <row r="169" spans="1:47" ht="60" customHeight="1" x14ac:dyDescent="0.35">
      <c r="A169" s="180" t="s">
        <v>4250</v>
      </c>
      <c r="B169" s="154" t="s">
        <v>3671</v>
      </c>
      <c r="C169" s="155" t="s">
        <v>4291</v>
      </c>
      <c r="D169" s="158" t="s">
        <v>4292</v>
      </c>
      <c r="E169" s="161"/>
      <c r="F169" s="164" t="s">
        <v>21</v>
      </c>
      <c r="G169" s="167" t="str">
        <f>IF(COUNTIF(H169:AU169,"&lt;&gt;")=0,"",SUMPRODUCT(((Recommendations[ImplStatus]="Implemented")+(Recommendations[ImplStatus]="Compensated"))*ISNUMBER(MATCH(Recommendations[Id],H169:AU169,0)))/COUNTIF(H169:AU169,"&lt;&gt;"))</f>
        <v/>
      </c>
      <c r="H169" s="170"/>
      <c r="I169" s="170"/>
      <c r="J169" s="170"/>
      <c r="K169" s="170"/>
      <c r="L169" s="170"/>
      <c r="M169" s="170"/>
      <c r="N169" s="170"/>
      <c r="O169" s="170"/>
      <c r="P169" s="170"/>
      <c r="Q169" s="170"/>
      <c r="R169" s="170"/>
      <c r="S169" s="170"/>
      <c r="T169" s="170"/>
      <c r="U169" s="170"/>
      <c r="V169" s="170"/>
      <c r="W169" s="170"/>
      <c r="X169" s="170"/>
      <c r="Y169" s="170"/>
      <c r="Z169" s="170"/>
      <c r="AA169" s="170"/>
      <c r="AB169" s="170"/>
      <c r="AC169" s="170"/>
      <c r="AD169" s="170"/>
      <c r="AE169" s="170"/>
      <c r="AF169" s="170"/>
      <c r="AG169" s="170"/>
      <c r="AH169" s="170"/>
      <c r="AI169" s="170"/>
      <c r="AJ169" s="170"/>
      <c r="AK169" s="170"/>
      <c r="AL169" s="170"/>
      <c r="AM169" s="170"/>
      <c r="AN169" s="170"/>
      <c r="AO169" s="170"/>
      <c r="AP169" s="170"/>
      <c r="AQ169" s="170"/>
      <c r="AR169" s="170"/>
      <c r="AS169" s="170"/>
      <c r="AT169" s="170"/>
      <c r="AU169" s="184"/>
    </row>
    <row r="170" spans="1:47" ht="60" customHeight="1" x14ac:dyDescent="0.35">
      <c r="A170" s="180" t="s">
        <v>4250</v>
      </c>
      <c r="B170" s="154" t="s">
        <v>3671</v>
      </c>
      <c r="C170" s="155" t="s">
        <v>4293</v>
      </c>
      <c r="D170" s="158" t="s">
        <v>4294</v>
      </c>
      <c r="E170" s="161" t="s">
        <v>4295</v>
      </c>
      <c r="F170" s="164" t="s">
        <v>3881</v>
      </c>
      <c r="G170" s="167" t="str">
        <f>IF(COUNTIF(H170:AU170,"&lt;&gt;")=0,"",SUMPRODUCT(((Recommendations[ImplStatus]="Implemented")+(Recommendations[ImplStatus]="Compensated"))*ISNUMBER(MATCH(Recommendations[Id],H170:AU170,0)))/COUNTIF(H170:AU170,"&lt;&gt;"))</f>
        <v/>
      </c>
      <c r="H170" s="170"/>
      <c r="I170" s="170"/>
      <c r="J170" s="170"/>
      <c r="K170" s="170"/>
      <c r="L170" s="170"/>
      <c r="M170" s="170"/>
      <c r="N170" s="170"/>
      <c r="O170" s="170"/>
      <c r="P170" s="170"/>
      <c r="Q170" s="170"/>
      <c r="R170" s="170"/>
      <c r="S170" s="170"/>
      <c r="T170" s="170"/>
      <c r="U170" s="170"/>
      <c r="V170" s="170"/>
      <c r="W170" s="170"/>
      <c r="X170" s="170"/>
      <c r="Y170" s="170"/>
      <c r="Z170" s="170"/>
      <c r="AA170" s="170"/>
      <c r="AB170" s="170"/>
      <c r="AC170" s="170"/>
      <c r="AD170" s="170"/>
      <c r="AE170" s="170"/>
      <c r="AF170" s="170"/>
      <c r="AG170" s="170"/>
      <c r="AH170" s="170"/>
      <c r="AI170" s="170"/>
      <c r="AJ170" s="170"/>
      <c r="AK170" s="170"/>
      <c r="AL170" s="170"/>
      <c r="AM170" s="170"/>
      <c r="AN170" s="170"/>
      <c r="AO170" s="170"/>
      <c r="AP170" s="170"/>
      <c r="AQ170" s="170"/>
      <c r="AR170" s="170"/>
      <c r="AS170" s="170"/>
      <c r="AT170" s="170"/>
      <c r="AU170" s="184"/>
    </row>
    <row r="171" spans="1:47" ht="60" customHeight="1" x14ac:dyDescent="0.35">
      <c r="A171" s="180" t="s">
        <v>4250</v>
      </c>
      <c r="B171" s="154" t="s">
        <v>3671</v>
      </c>
      <c r="C171" s="155" t="s">
        <v>4296</v>
      </c>
      <c r="D171" s="158" t="s">
        <v>4297</v>
      </c>
      <c r="E171" s="161"/>
      <c r="F171" s="164" t="s">
        <v>21</v>
      </c>
      <c r="G171" s="167" t="str">
        <f>IF(COUNTIF(H171:AU171,"&lt;&gt;")=0,"",SUMPRODUCT(((Recommendations[ImplStatus]="Implemented")+(Recommendations[ImplStatus]="Compensated"))*ISNUMBER(MATCH(Recommendations[Id],H171:AU171,0)))/COUNTIF(H171:AU171,"&lt;&gt;"))</f>
        <v/>
      </c>
      <c r="H171" s="170"/>
      <c r="I171" s="170"/>
      <c r="J171" s="170"/>
      <c r="K171" s="170"/>
      <c r="L171" s="170"/>
      <c r="M171" s="170"/>
      <c r="N171" s="170"/>
      <c r="O171" s="170"/>
      <c r="P171" s="170"/>
      <c r="Q171" s="170"/>
      <c r="R171" s="170"/>
      <c r="S171" s="170"/>
      <c r="T171" s="170"/>
      <c r="U171" s="170"/>
      <c r="V171" s="170"/>
      <c r="W171" s="170"/>
      <c r="X171" s="170"/>
      <c r="Y171" s="170"/>
      <c r="Z171" s="170"/>
      <c r="AA171" s="170"/>
      <c r="AB171" s="170"/>
      <c r="AC171" s="170"/>
      <c r="AD171" s="170"/>
      <c r="AE171" s="170"/>
      <c r="AF171" s="170"/>
      <c r="AG171" s="170"/>
      <c r="AH171" s="170"/>
      <c r="AI171" s="170"/>
      <c r="AJ171" s="170"/>
      <c r="AK171" s="170"/>
      <c r="AL171" s="170"/>
      <c r="AM171" s="170"/>
      <c r="AN171" s="170"/>
      <c r="AO171" s="170"/>
      <c r="AP171" s="170"/>
      <c r="AQ171" s="170"/>
      <c r="AR171" s="170"/>
      <c r="AS171" s="170"/>
      <c r="AT171" s="170"/>
      <c r="AU171" s="184"/>
    </row>
    <row r="172" spans="1:47" ht="60" customHeight="1" x14ac:dyDescent="0.35">
      <c r="A172" s="180" t="s">
        <v>4250</v>
      </c>
      <c r="B172" s="154" t="s">
        <v>3671</v>
      </c>
      <c r="C172" s="155" t="s">
        <v>4298</v>
      </c>
      <c r="D172" s="158" t="s">
        <v>4299</v>
      </c>
      <c r="E172" s="161"/>
      <c r="F172" s="164" t="s">
        <v>21</v>
      </c>
      <c r="G172" s="167" t="str">
        <f>IF(COUNTIF(H172:AU172,"&lt;&gt;")=0,"",SUMPRODUCT(((Recommendations[ImplStatus]="Implemented")+(Recommendations[ImplStatus]="Compensated"))*ISNUMBER(MATCH(Recommendations[Id],H172:AU172,0)))/COUNTIF(H172:AU172,"&lt;&gt;"))</f>
        <v/>
      </c>
      <c r="H172" s="170"/>
      <c r="I172" s="170"/>
      <c r="J172" s="170"/>
      <c r="K172" s="170"/>
      <c r="L172" s="170"/>
      <c r="M172" s="170"/>
      <c r="N172" s="170"/>
      <c r="O172" s="170"/>
      <c r="P172" s="170"/>
      <c r="Q172" s="170"/>
      <c r="R172" s="170"/>
      <c r="S172" s="170"/>
      <c r="T172" s="170"/>
      <c r="U172" s="170"/>
      <c r="V172" s="170"/>
      <c r="W172" s="170"/>
      <c r="X172" s="170"/>
      <c r="Y172" s="170"/>
      <c r="Z172" s="170"/>
      <c r="AA172" s="170"/>
      <c r="AB172" s="170"/>
      <c r="AC172" s="170"/>
      <c r="AD172" s="170"/>
      <c r="AE172" s="170"/>
      <c r="AF172" s="170"/>
      <c r="AG172" s="170"/>
      <c r="AH172" s="170"/>
      <c r="AI172" s="170"/>
      <c r="AJ172" s="170"/>
      <c r="AK172" s="170"/>
      <c r="AL172" s="170"/>
      <c r="AM172" s="170"/>
      <c r="AN172" s="170"/>
      <c r="AO172" s="170"/>
      <c r="AP172" s="170"/>
      <c r="AQ172" s="170"/>
      <c r="AR172" s="170"/>
      <c r="AS172" s="170"/>
      <c r="AT172" s="170"/>
      <c r="AU172" s="184"/>
    </row>
    <row r="173" spans="1:47" ht="60" customHeight="1" x14ac:dyDescent="0.35">
      <c r="A173" s="180" t="s">
        <v>4250</v>
      </c>
      <c r="B173" s="154" t="s">
        <v>3671</v>
      </c>
      <c r="C173" s="155" t="s">
        <v>4300</v>
      </c>
      <c r="D173" s="158" t="s">
        <v>4301</v>
      </c>
      <c r="E173" s="161" t="s">
        <v>4302</v>
      </c>
      <c r="F173" s="164" t="s">
        <v>3867</v>
      </c>
      <c r="G173" s="167" t="str">
        <f>IF(COUNTIF(H173:AU173,"&lt;&gt;")=0,"",SUMPRODUCT(((Recommendations[ImplStatus]="Implemented")+(Recommendations[ImplStatus]="Compensated"))*ISNUMBER(MATCH(Recommendations[Id],H173:AU173,0)))/COUNTIF(H173:AU173,"&lt;&gt;"))</f>
        <v/>
      </c>
      <c r="H173" s="170"/>
      <c r="I173" s="170"/>
      <c r="J173" s="170"/>
      <c r="K173" s="170"/>
      <c r="L173" s="170"/>
      <c r="M173" s="170"/>
      <c r="N173" s="170"/>
      <c r="O173" s="170"/>
      <c r="P173" s="170"/>
      <c r="Q173" s="170"/>
      <c r="R173" s="170"/>
      <c r="S173" s="170"/>
      <c r="T173" s="170"/>
      <c r="U173" s="170"/>
      <c r="V173" s="170"/>
      <c r="W173" s="170"/>
      <c r="X173" s="170"/>
      <c r="Y173" s="170"/>
      <c r="Z173" s="170"/>
      <c r="AA173" s="170"/>
      <c r="AB173" s="170"/>
      <c r="AC173" s="170"/>
      <c r="AD173" s="170"/>
      <c r="AE173" s="170"/>
      <c r="AF173" s="170"/>
      <c r="AG173" s="170"/>
      <c r="AH173" s="170"/>
      <c r="AI173" s="170"/>
      <c r="AJ173" s="170"/>
      <c r="AK173" s="170"/>
      <c r="AL173" s="170"/>
      <c r="AM173" s="170"/>
      <c r="AN173" s="170"/>
      <c r="AO173" s="170"/>
      <c r="AP173" s="170"/>
      <c r="AQ173" s="170"/>
      <c r="AR173" s="170"/>
      <c r="AS173" s="170"/>
      <c r="AT173" s="170"/>
      <c r="AU173" s="184"/>
    </row>
    <row r="174" spans="1:47" ht="60" customHeight="1" outlineLevel="1" x14ac:dyDescent="0.35">
      <c r="A174" s="179" t="s">
        <v>4250</v>
      </c>
      <c r="B174" s="153" t="s">
        <v>4303</v>
      </c>
      <c r="C174" s="151" t="s">
        <v>4304</v>
      </c>
      <c r="D174" s="157"/>
      <c r="E174" s="160" t="s">
        <v>21</v>
      </c>
      <c r="F174" s="163" t="s">
        <v>21</v>
      </c>
      <c r="G174" s="166" t="str">
        <f>IF(COUNTIF(H174:AU174,"&lt;&gt;")=0,"",SUMPRODUCT(((Recommendations[ImplStatus]="Implemented")+(Recommendations[ImplStatus]="Compensated"))*ISNUMBER(MATCH(Recommendations[Id],H174:AU174,0)))/COUNTIF(H174:AU174,"&lt;&gt;"))</f>
        <v/>
      </c>
      <c r="H174" s="169"/>
      <c r="I174" s="169"/>
      <c r="J174" s="169"/>
      <c r="K174" s="169"/>
      <c r="L174" s="169"/>
      <c r="M174" s="169"/>
      <c r="N174" s="169"/>
      <c r="O174" s="169"/>
      <c r="P174" s="169"/>
      <c r="Q174" s="169"/>
      <c r="R174" s="169"/>
      <c r="S174" s="169"/>
      <c r="T174" s="169"/>
      <c r="U174" s="169"/>
      <c r="V174" s="169"/>
      <c r="W174" s="169"/>
      <c r="X174" s="169"/>
      <c r="Y174" s="169"/>
      <c r="Z174" s="169"/>
      <c r="AA174" s="169"/>
      <c r="AB174" s="169"/>
      <c r="AC174" s="169"/>
      <c r="AD174" s="169"/>
      <c r="AE174" s="169"/>
      <c r="AF174" s="169"/>
      <c r="AG174" s="169"/>
      <c r="AH174" s="169"/>
      <c r="AI174" s="169"/>
      <c r="AJ174" s="169"/>
      <c r="AK174" s="169"/>
      <c r="AL174" s="169"/>
      <c r="AM174" s="169"/>
      <c r="AN174" s="169"/>
      <c r="AO174" s="169"/>
      <c r="AP174" s="169"/>
      <c r="AQ174" s="169"/>
      <c r="AR174" s="169"/>
      <c r="AS174" s="169"/>
      <c r="AT174" s="169"/>
      <c r="AU174" s="183"/>
    </row>
    <row r="175" spans="1:47" ht="60" customHeight="1" x14ac:dyDescent="0.35">
      <c r="A175" s="180" t="s">
        <v>4250</v>
      </c>
      <c r="B175" s="154" t="s">
        <v>4303</v>
      </c>
      <c r="C175" s="155" t="s">
        <v>4305</v>
      </c>
      <c r="D175" s="158" t="s">
        <v>4306</v>
      </c>
      <c r="E175" s="161"/>
      <c r="F175" s="164" t="s">
        <v>21</v>
      </c>
      <c r="G175" s="167" t="str">
        <f>IF(COUNTIF(H175:AU175,"&lt;&gt;")=0,"",SUMPRODUCT(((Recommendations[ImplStatus]="Implemented")+(Recommendations[ImplStatus]="Compensated"))*ISNUMBER(MATCH(Recommendations[Id],H175:AU175,0)))/COUNTIF(H175:AU175,"&lt;&gt;"))</f>
        <v/>
      </c>
      <c r="H175" s="170"/>
      <c r="I175" s="170"/>
      <c r="J175" s="170"/>
      <c r="K175" s="170"/>
      <c r="L175" s="170"/>
      <c r="M175" s="170"/>
      <c r="N175" s="170"/>
      <c r="O175" s="170"/>
      <c r="P175" s="170"/>
      <c r="Q175" s="170"/>
      <c r="R175" s="170"/>
      <c r="S175" s="170"/>
      <c r="T175" s="170"/>
      <c r="U175" s="170"/>
      <c r="V175" s="170"/>
      <c r="W175" s="170"/>
      <c r="X175" s="170"/>
      <c r="Y175" s="170"/>
      <c r="Z175" s="170"/>
      <c r="AA175" s="170"/>
      <c r="AB175" s="170"/>
      <c r="AC175" s="170"/>
      <c r="AD175" s="170"/>
      <c r="AE175" s="170"/>
      <c r="AF175" s="170"/>
      <c r="AG175" s="170"/>
      <c r="AH175" s="170"/>
      <c r="AI175" s="170"/>
      <c r="AJ175" s="170"/>
      <c r="AK175" s="170"/>
      <c r="AL175" s="170"/>
      <c r="AM175" s="170"/>
      <c r="AN175" s="170"/>
      <c r="AO175" s="170"/>
      <c r="AP175" s="170"/>
      <c r="AQ175" s="170"/>
      <c r="AR175" s="170"/>
      <c r="AS175" s="170"/>
      <c r="AT175" s="170"/>
      <c r="AU175" s="184"/>
    </row>
    <row r="176" spans="1:47" ht="60" customHeight="1" x14ac:dyDescent="0.35">
      <c r="A176" s="180" t="s">
        <v>4250</v>
      </c>
      <c r="B176" s="154" t="s">
        <v>4303</v>
      </c>
      <c r="C176" s="155" t="s">
        <v>4307</v>
      </c>
      <c r="D176" s="158" t="s">
        <v>4308</v>
      </c>
      <c r="E176" s="161"/>
      <c r="F176" s="164" t="s">
        <v>21</v>
      </c>
      <c r="G176" s="167" t="str">
        <f>IF(COUNTIF(H176:AU176,"&lt;&gt;")=0,"",SUMPRODUCT(((Recommendations[ImplStatus]="Implemented")+(Recommendations[ImplStatus]="Compensated"))*ISNUMBER(MATCH(Recommendations[Id],H176:AU176,0)))/COUNTIF(H176:AU176,"&lt;&gt;"))</f>
        <v/>
      </c>
      <c r="H176" s="170"/>
      <c r="I176" s="170"/>
      <c r="J176" s="170"/>
      <c r="K176" s="170"/>
      <c r="L176" s="170"/>
      <c r="M176" s="170"/>
      <c r="N176" s="170"/>
      <c r="O176" s="170"/>
      <c r="P176" s="170"/>
      <c r="Q176" s="170"/>
      <c r="R176" s="170"/>
      <c r="S176" s="170"/>
      <c r="T176" s="170"/>
      <c r="U176" s="170"/>
      <c r="V176" s="170"/>
      <c r="W176" s="170"/>
      <c r="X176" s="170"/>
      <c r="Y176" s="170"/>
      <c r="Z176" s="170"/>
      <c r="AA176" s="170"/>
      <c r="AB176" s="170"/>
      <c r="AC176" s="170"/>
      <c r="AD176" s="170"/>
      <c r="AE176" s="170"/>
      <c r="AF176" s="170"/>
      <c r="AG176" s="170"/>
      <c r="AH176" s="170"/>
      <c r="AI176" s="170"/>
      <c r="AJ176" s="170"/>
      <c r="AK176" s="170"/>
      <c r="AL176" s="170"/>
      <c r="AM176" s="170"/>
      <c r="AN176" s="170"/>
      <c r="AO176" s="170"/>
      <c r="AP176" s="170"/>
      <c r="AQ176" s="170"/>
      <c r="AR176" s="170"/>
      <c r="AS176" s="170"/>
      <c r="AT176" s="170"/>
      <c r="AU176" s="184"/>
    </row>
    <row r="177" spans="1:47" ht="60" customHeight="1" x14ac:dyDescent="0.35">
      <c r="A177" s="180" t="s">
        <v>4250</v>
      </c>
      <c r="B177" s="154" t="s">
        <v>4303</v>
      </c>
      <c r="C177" s="155" t="s">
        <v>4309</v>
      </c>
      <c r="D177" s="158" t="s">
        <v>4310</v>
      </c>
      <c r="E177" s="161"/>
      <c r="F177" s="164" t="s">
        <v>21</v>
      </c>
      <c r="G177" s="167" t="str">
        <f>IF(COUNTIF(H177:AU177,"&lt;&gt;")=0,"",SUMPRODUCT(((Recommendations[ImplStatus]="Implemented")+(Recommendations[ImplStatus]="Compensated"))*ISNUMBER(MATCH(Recommendations[Id],H177:AU177,0)))/COUNTIF(H177:AU177,"&lt;&gt;"))</f>
        <v/>
      </c>
      <c r="H177" s="170"/>
      <c r="I177" s="170"/>
      <c r="J177" s="170"/>
      <c r="K177" s="170"/>
      <c r="L177" s="170"/>
      <c r="M177" s="170"/>
      <c r="N177" s="170"/>
      <c r="O177" s="170"/>
      <c r="P177" s="170"/>
      <c r="Q177" s="170"/>
      <c r="R177" s="170"/>
      <c r="S177" s="170"/>
      <c r="T177" s="170"/>
      <c r="U177" s="170"/>
      <c r="V177" s="170"/>
      <c r="W177" s="170"/>
      <c r="X177" s="170"/>
      <c r="Y177" s="170"/>
      <c r="Z177" s="170"/>
      <c r="AA177" s="170"/>
      <c r="AB177" s="170"/>
      <c r="AC177" s="170"/>
      <c r="AD177" s="170"/>
      <c r="AE177" s="170"/>
      <c r="AF177" s="170"/>
      <c r="AG177" s="170"/>
      <c r="AH177" s="170"/>
      <c r="AI177" s="170"/>
      <c r="AJ177" s="170"/>
      <c r="AK177" s="170"/>
      <c r="AL177" s="170"/>
      <c r="AM177" s="170"/>
      <c r="AN177" s="170"/>
      <c r="AO177" s="170"/>
      <c r="AP177" s="170"/>
      <c r="AQ177" s="170"/>
      <c r="AR177" s="170"/>
      <c r="AS177" s="170"/>
      <c r="AT177" s="170"/>
      <c r="AU177" s="184"/>
    </row>
    <row r="178" spans="1:47" ht="60" customHeight="1" x14ac:dyDescent="0.35">
      <c r="A178" s="180" t="s">
        <v>4250</v>
      </c>
      <c r="B178" s="154" t="s">
        <v>4303</v>
      </c>
      <c r="C178" s="155" t="s">
        <v>4311</v>
      </c>
      <c r="D178" s="158" t="s">
        <v>4312</v>
      </c>
      <c r="E178" s="161"/>
      <c r="F178" s="164" t="s">
        <v>21</v>
      </c>
      <c r="G178" s="167" t="str">
        <f>IF(COUNTIF(H178:AU178,"&lt;&gt;")=0,"",SUMPRODUCT(((Recommendations[ImplStatus]="Implemented")+(Recommendations[ImplStatus]="Compensated"))*ISNUMBER(MATCH(Recommendations[Id],H178:AU178,0)))/COUNTIF(H178:AU178,"&lt;&gt;"))</f>
        <v/>
      </c>
      <c r="H178" s="170"/>
      <c r="I178" s="170"/>
      <c r="J178" s="170"/>
      <c r="K178" s="170"/>
      <c r="L178" s="170"/>
      <c r="M178" s="170"/>
      <c r="N178" s="170"/>
      <c r="O178" s="170"/>
      <c r="P178" s="170"/>
      <c r="Q178" s="170"/>
      <c r="R178" s="170"/>
      <c r="S178" s="170"/>
      <c r="T178" s="170"/>
      <c r="U178" s="170"/>
      <c r="V178" s="170"/>
      <c r="W178" s="170"/>
      <c r="X178" s="170"/>
      <c r="Y178" s="170"/>
      <c r="Z178" s="170"/>
      <c r="AA178" s="170"/>
      <c r="AB178" s="170"/>
      <c r="AC178" s="170"/>
      <c r="AD178" s="170"/>
      <c r="AE178" s="170"/>
      <c r="AF178" s="170"/>
      <c r="AG178" s="170"/>
      <c r="AH178" s="170"/>
      <c r="AI178" s="170"/>
      <c r="AJ178" s="170"/>
      <c r="AK178" s="170"/>
      <c r="AL178" s="170"/>
      <c r="AM178" s="170"/>
      <c r="AN178" s="170"/>
      <c r="AO178" s="170"/>
      <c r="AP178" s="170"/>
      <c r="AQ178" s="170"/>
      <c r="AR178" s="170"/>
      <c r="AS178" s="170"/>
      <c r="AT178" s="170"/>
      <c r="AU178" s="184"/>
    </row>
    <row r="179" spans="1:47" ht="60" customHeight="1" x14ac:dyDescent="0.35">
      <c r="A179" s="180" t="s">
        <v>4250</v>
      </c>
      <c r="B179" s="154" t="s">
        <v>4303</v>
      </c>
      <c r="C179" s="155" t="s">
        <v>4313</v>
      </c>
      <c r="D179" s="158" t="s">
        <v>4314</v>
      </c>
      <c r="E179" s="161"/>
      <c r="F179" s="164" t="s">
        <v>21</v>
      </c>
      <c r="G179" s="167" t="str">
        <f>IF(COUNTIF(H179:AU179,"&lt;&gt;")=0,"",SUMPRODUCT(((Recommendations[ImplStatus]="Implemented")+(Recommendations[ImplStatus]="Compensated"))*ISNUMBER(MATCH(Recommendations[Id],H179:AU179,0)))/COUNTIF(H179:AU179,"&lt;&gt;"))</f>
        <v/>
      </c>
      <c r="H179" s="170"/>
      <c r="I179" s="170"/>
      <c r="J179" s="170"/>
      <c r="K179" s="170"/>
      <c r="L179" s="170"/>
      <c r="M179" s="170"/>
      <c r="N179" s="170"/>
      <c r="O179" s="170"/>
      <c r="P179" s="170"/>
      <c r="Q179" s="170"/>
      <c r="R179" s="170"/>
      <c r="S179" s="170"/>
      <c r="T179" s="170"/>
      <c r="U179" s="170"/>
      <c r="V179" s="170"/>
      <c r="W179" s="170"/>
      <c r="X179" s="170"/>
      <c r="Y179" s="170"/>
      <c r="Z179" s="170"/>
      <c r="AA179" s="170"/>
      <c r="AB179" s="170"/>
      <c r="AC179" s="170"/>
      <c r="AD179" s="170"/>
      <c r="AE179" s="170"/>
      <c r="AF179" s="170"/>
      <c r="AG179" s="170"/>
      <c r="AH179" s="170"/>
      <c r="AI179" s="170"/>
      <c r="AJ179" s="170"/>
      <c r="AK179" s="170"/>
      <c r="AL179" s="170"/>
      <c r="AM179" s="170"/>
      <c r="AN179" s="170"/>
      <c r="AO179" s="170"/>
      <c r="AP179" s="170"/>
      <c r="AQ179" s="170"/>
      <c r="AR179" s="170"/>
      <c r="AS179" s="170"/>
      <c r="AT179" s="170"/>
      <c r="AU179" s="184"/>
    </row>
    <row r="180" spans="1:47" ht="60" customHeight="1" outlineLevel="1" x14ac:dyDescent="0.35">
      <c r="A180" s="178" t="s">
        <v>4315</v>
      </c>
      <c r="B180" s="152" t="s">
        <v>21</v>
      </c>
      <c r="C180" s="150" t="s">
        <v>4316</v>
      </c>
      <c r="D180" s="156" t="s">
        <v>4317</v>
      </c>
      <c r="E180" s="159" t="s">
        <v>21</v>
      </c>
      <c r="F180" s="162" t="s">
        <v>21</v>
      </c>
      <c r="G180" s="165" t="str">
        <f>IF(COUNTIF(H180:AU180,"&lt;&gt;")=0,"",SUMPRODUCT(((Recommendations[ImplStatus]="Implemented")+(Recommendations[ImplStatus]="Compensated"))*ISNUMBER(MATCH(Recommendations[Id],H180:AU180,0)))/COUNTIF(H180:AU180,"&lt;&gt;"))</f>
        <v/>
      </c>
      <c r="H180" s="168"/>
      <c r="I180" s="168"/>
      <c r="J180" s="168"/>
      <c r="K180" s="168"/>
      <c r="L180" s="168"/>
      <c r="M180" s="168"/>
      <c r="N180" s="168"/>
      <c r="O180" s="168"/>
      <c r="P180" s="168"/>
      <c r="Q180" s="168"/>
      <c r="R180" s="168"/>
      <c r="S180" s="168"/>
      <c r="T180" s="168"/>
      <c r="U180" s="168"/>
      <c r="V180" s="168"/>
      <c r="W180" s="168"/>
      <c r="X180" s="168"/>
      <c r="Y180" s="168"/>
      <c r="Z180" s="168"/>
      <c r="AA180" s="168"/>
      <c r="AB180" s="168"/>
      <c r="AC180" s="168"/>
      <c r="AD180" s="168"/>
      <c r="AE180" s="168"/>
      <c r="AF180" s="168"/>
      <c r="AG180" s="168"/>
      <c r="AH180" s="168"/>
      <c r="AI180" s="168"/>
      <c r="AJ180" s="168"/>
      <c r="AK180" s="168"/>
      <c r="AL180" s="168"/>
      <c r="AM180" s="168"/>
      <c r="AN180" s="168"/>
      <c r="AO180" s="168"/>
      <c r="AP180" s="168"/>
      <c r="AQ180" s="168"/>
      <c r="AR180" s="168"/>
      <c r="AS180" s="168"/>
      <c r="AT180" s="168"/>
      <c r="AU180" s="182"/>
    </row>
    <row r="181" spans="1:47" ht="60" customHeight="1" outlineLevel="1" x14ac:dyDescent="0.35">
      <c r="A181" s="179" t="s">
        <v>4315</v>
      </c>
      <c r="B181" s="153" t="s">
        <v>4318</v>
      </c>
      <c r="C181" s="151" t="s">
        <v>4319</v>
      </c>
      <c r="D181" s="157" t="s">
        <v>4320</v>
      </c>
      <c r="E181" s="160" t="s">
        <v>21</v>
      </c>
      <c r="F181" s="163" t="s">
        <v>21</v>
      </c>
      <c r="G181" s="166" t="str">
        <f>IF(COUNTIF(H181:AU181,"&lt;&gt;")=0,"",SUMPRODUCT(((Recommendations[ImplStatus]="Implemented")+(Recommendations[ImplStatus]="Compensated"))*ISNUMBER(MATCH(Recommendations[Id],H181:AU181,0)))/COUNTIF(H181:AU181,"&lt;&gt;"))</f>
        <v/>
      </c>
      <c r="H181" s="169"/>
      <c r="I181" s="169"/>
      <c r="J181" s="169"/>
      <c r="K181" s="169"/>
      <c r="L181" s="169"/>
      <c r="M181" s="169"/>
      <c r="N181" s="169"/>
      <c r="O181" s="169"/>
      <c r="P181" s="169"/>
      <c r="Q181" s="169"/>
      <c r="R181" s="169"/>
      <c r="S181" s="169"/>
      <c r="T181" s="169"/>
      <c r="U181" s="169"/>
      <c r="V181" s="169"/>
      <c r="W181" s="169"/>
      <c r="X181" s="169"/>
      <c r="Y181" s="169"/>
      <c r="Z181" s="169"/>
      <c r="AA181" s="169"/>
      <c r="AB181" s="169"/>
      <c r="AC181" s="169"/>
      <c r="AD181" s="169"/>
      <c r="AE181" s="169"/>
      <c r="AF181" s="169"/>
      <c r="AG181" s="169"/>
      <c r="AH181" s="169"/>
      <c r="AI181" s="169"/>
      <c r="AJ181" s="169"/>
      <c r="AK181" s="169"/>
      <c r="AL181" s="169"/>
      <c r="AM181" s="169"/>
      <c r="AN181" s="169"/>
      <c r="AO181" s="169"/>
      <c r="AP181" s="169"/>
      <c r="AQ181" s="169"/>
      <c r="AR181" s="169"/>
      <c r="AS181" s="169"/>
      <c r="AT181" s="169"/>
      <c r="AU181" s="183"/>
    </row>
    <row r="182" spans="1:47" ht="60" customHeight="1" x14ac:dyDescent="0.35">
      <c r="A182" s="180" t="s">
        <v>4315</v>
      </c>
      <c r="B182" s="154" t="s">
        <v>4318</v>
      </c>
      <c r="C182" s="155" t="s">
        <v>4321</v>
      </c>
      <c r="D182" s="158" t="s">
        <v>4322</v>
      </c>
      <c r="E182" s="161"/>
      <c r="F182" s="164" t="s">
        <v>21</v>
      </c>
      <c r="G182" s="167" t="str">
        <f>IF(COUNTIF(H182:AU182,"&lt;&gt;")=0,"",SUMPRODUCT(((Recommendations[ImplStatus]="Implemented")+(Recommendations[ImplStatus]="Compensated"))*ISNUMBER(MATCH(Recommendations[Id],H182:AU182,0)))/COUNTIF(H182:AU182,"&lt;&gt;"))</f>
        <v/>
      </c>
      <c r="H182" s="170"/>
      <c r="I182" s="170"/>
      <c r="J182" s="170"/>
      <c r="K182" s="170"/>
      <c r="L182" s="170"/>
      <c r="M182" s="170"/>
      <c r="N182" s="170"/>
      <c r="O182" s="170"/>
      <c r="P182" s="170"/>
      <c r="Q182" s="170"/>
      <c r="R182" s="170"/>
      <c r="S182" s="170"/>
      <c r="T182" s="170"/>
      <c r="U182" s="170"/>
      <c r="V182" s="170"/>
      <c r="W182" s="170"/>
      <c r="X182" s="170"/>
      <c r="Y182" s="170"/>
      <c r="Z182" s="170"/>
      <c r="AA182" s="170"/>
      <c r="AB182" s="170"/>
      <c r="AC182" s="170"/>
      <c r="AD182" s="170"/>
      <c r="AE182" s="170"/>
      <c r="AF182" s="170"/>
      <c r="AG182" s="170"/>
      <c r="AH182" s="170"/>
      <c r="AI182" s="170"/>
      <c r="AJ182" s="170"/>
      <c r="AK182" s="170"/>
      <c r="AL182" s="170"/>
      <c r="AM182" s="170"/>
      <c r="AN182" s="170"/>
      <c r="AO182" s="170"/>
      <c r="AP182" s="170"/>
      <c r="AQ182" s="170"/>
      <c r="AR182" s="170"/>
      <c r="AS182" s="170"/>
      <c r="AT182" s="170"/>
      <c r="AU182" s="184"/>
    </row>
    <row r="183" spans="1:47" ht="60" customHeight="1" x14ac:dyDescent="0.35">
      <c r="A183" s="180" t="s">
        <v>4315</v>
      </c>
      <c r="B183" s="154" t="s">
        <v>4318</v>
      </c>
      <c r="C183" s="155" t="s">
        <v>4323</v>
      </c>
      <c r="D183" s="158" t="s">
        <v>4324</v>
      </c>
      <c r="E183" s="161"/>
      <c r="F183" s="164" t="s">
        <v>21</v>
      </c>
      <c r="G183" s="167" t="str">
        <f>IF(COUNTIF(H183:AU183,"&lt;&gt;")=0,"",SUMPRODUCT(((Recommendations[ImplStatus]="Implemented")+(Recommendations[ImplStatus]="Compensated"))*ISNUMBER(MATCH(Recommendations[Id],H183:AU183,0)))/COUNTIF(H183:AU183,"&lt;&gt;"))</f>
        <v/>
      </c>
      <c r="H183" s="170"/>
      <c r="I183" s="170"/>
      <c r="J183" s="170"/>
      <c r="K183" s="170"/>
      <c r="L183" s="170"/>
      <c r="M183" s="170"/>
      <c r="N183" s="170"/>
      <c r="O183" s="170"/>
      <c r="P183" s="170"/>
      <c r="Q183" s="170"/>
      <c r="R183" s="170"/>
      <c r="S183" s="170"/>
      <c r="T183" s="170"/>
      <c r="U183" s="170"/>
      <c r="V183" s="170"/>
      <c r="W183" s="170"/>
      <c r="X183" s="170"/>
      <c r="Y183" s="170"/>
      <c r="Z183" s="170"/>
      <c r="AA183" s="170"/>
      <c r="AB183" s="170"/>
      <c r="AC183" s="170"/>
      <c r="AD183" s="170"/>
      <c r="AE183" s="170"/>
      <c r="AF183" s="170"/>
      <c r="AG183" s="170"/>
      <c r="AH183" s="170"/>
      <c r="AI183" s="170"/>
      <c r="AJ183" s="170"/>
      <c r="AK183" s="170"/>
      <c r="AL183" s="170"/>
      <c r="AM183" s="170"/>
      <c r="AN183" s="170"/>
      <c r="AO183" s="170"/>
      <c r="AP183" s="170"/>
      <c r="AQ183" s="170"/>
      <c r="AR183" s="170"/>
      <c r="AS183" s="170"/>
      <c r="AT183" s="170"/>
      <c r="AU183" s="184"/>
    </row>
    <row r="184" spans="1:47" ht="60" customHeight="1" x14ac:dyDescent="0.35">
      <c r="A184" s="180" t="s">
        <v>4315</v>
      </c>
      <c r="B184" s="154" t="s">
        <v>4318</v>
      </c>
      <c r="C184" s="155" t="s">
        <v>4325</v>
      </c>
      <c r="D184" s="158" t="s">
        <v>4326</v>
      </c>
      <c r="E184" s="161" t="s">
        <v>4327</v>
      </c>
      <c r="F184" s="164" t="s">
        <v>3867</v>
      </c>
      <c r="G184" s="167" t="str">
        <f>IF(COUNTIF(H184:AU184,"&lt;&gt;")=0,"",SUMPRODUCT(((Recommendations[ImplStatus]="Implemented")+(Recommendations[ImplStatus]="Compensated"))*ISNUMBER(MATCH(Recommendations[Id],H184:AU184,0)))/COUNTIF(H184:AU184,"&lt;&gt;"))</f>
        <v/>
      </c>
      <c r="H184" s="170"/>
      <c r="I184" s="170"/>
      <c r="J184" s="170"/>
      <c r="K184" s="170"/>
      <c r="L184" s="170"/>
      <c r="M184" s="170"/>
      <c r="N184" s="170"/>
      <c r="O184" s="170"/>
      <c r="P184" s="170"/>
      <c r="Q184" s="170"/>
      <c r="R184" s="170"/>
      <c r="S184" s="170"/>
      <c r="T184" s="170"/>
      <c r="U184" s="170"/>
      <c r="V184" s="170"/>
      <c r="W184" s="170"/>
      <c r="X184" s="170"/>
      <c r="Y184" s="170"/>
      <c r="Z184" s="170"/>
      <c r="AA184" s="170"/>
      <c r="AB184" s="170"/>
      <c r="AC184" s="170"/>
      <c r="AD184" s="170"/>
      <c r="AE184" s="170"/>
      <c r="AF184" s="170"/>
      <c r="AG184" s="170"/>
      <c r="AH184" s="170"/>
      <c r="AI184" s="170"/>
      <c r="AJ184" s="170"/>
      <c r="AK184" s="170"/>
      <c r="AL184" s="170"/>
      <c r="AM184" s="170"/>
      <c r="AN184" s="170"/>
      <c r="AO184" s="170"/>
      <c r="AP184" s="170"/>
      <c r="AQ184" s="170"/>
      <c r="AR184" s="170"/>
      <c r="AS184" s="170"/>
      <c r="AT184" s="170"/>
      <c r="AU184" s="184"/>
    </row>
    <row r="185" spans="1:47" ht="60" customHeight="1" x14ac:dyDescent="0.35">
      <c r="A185" s="180" t="s">
        <v>4315</v>
      </c>
      <c r="B185" s="154" t="s">
        <v>4318</v>
      </c>
      <c r="C185" s="155" t="s">
        <v>4328</v>
      </c>
      <c r="D185" s="158" t="s">
        <v>4329</v>
      </c>
      <c r="E185" s="161"/>
      <c r="F185" s="164" t="s">
        <v>21</v>
      </c>
      <c r="G185" s="167" t="str">
        <f>IF(COUNTIF(H185:AU185,"&lt;&gt;")=0,"",SUMPRODUCT(((Recommendations[ImplStatus]="Implemented")+(Recommendations[ImplStatus]="Compensated"))*ISNUMBER(MATCH(Recommendations[Id],H185:AU185,0)))/COUNTIF(H185:AU185,"&lt;&gt;"))</f>
        <v/>
      </c>
      <c r="H185" s="170"/>
      <c r="I185" s="170"/>
      <c r="J185" s="170"/>
      <c r="K185" s="170"/>
      <c r="L185" s="170"/>
      <c r="M185" s="170"/>
      <c r="N185" s="170"/>
      <c r="O185" s="170"/>
      <c r="P185" s="170"/>
      <c r="Q185" s="170"/>
      <c r="R185" s="170"/>
      <c r="S185" s="170"/>
      <c r="T185" s="170"/>
      <c r="U185" s="170"/>
      <c r="V185" s="170"/>
      <c r="W185" s="170"/>
      <c r="X185" s="170"/>
      <c r="Y185" s="170"/>
      <c r="Z185" s="170"/>
      <c r="AA185" s="170"/>
      <c r="AB185" s="170"/>
      <c r="AC185" s="170"/>
      <c r="AD185" s="170"/>
      <c r="AE185" s="170"/>
      <c r="AF185" s="170"/>
      <c r="AG185" s="170"/>
      <c r="AH185" s="170"/>
      <c r="AI185" s="170"/>
      <c r="AJ185" s="170"/>
      <c r="AK185" s="170"/>
      <c r="AL185" s="170"/>
      <c r="AM185" s="170"/>
      <c r="AN185" s="170"/>
      <c r="AO185" s="170"/>
      <c r="AP185" s="170"/>
      <c r="AQ185" s="170"/>
      <c r="AR185" s="170"/>
      <c r="AS185" s="170"/>
      <c r="AT185" s="170"/>
      <c r="AU185" s="184"/>
    </row>
    <row r="186" spans="1:47" ht="60" customHeight="1" x14ac:dyDescent="0.35">
      <c r="A186" s="180" t="s">
        <v>4315</v>
      </c>
      <c r="B186" s="154" t="s">
        <v>4318</v>
      </c>
      <c r="C186" s="155" t="s">
        <v>4330</v>
      </c>
      <c r="D186" s="158" t="s">
        <v>4331</v>
      </c>
      <c r="E186" s="161"/>
      <c r="F186" s="164" t="s">
        <v>21</v>
      </c>
      <c r="G186" s="167" t="str">
        <f>IF(COUNTIF(H186:AU186,"&lt;&gt;")=0,"",SUMPRODUCT(((Recommendations[ImplStatus]="Implemented")+(Recommendations[ImplStatus]="Compensated"))*ISNUMBER(MATCH(Recommendations[Id],H186:AU186,0)))/COUNTIF(H186:AU186,"&lt;&gt;"))</f>
        <v/>
      </c>
      <c r="H186" s="170"/>
      <c r="I186" s="170"/>
      <c r="J186" s="170"/>
      <c r="K186" s="170"/>
      <c r="L186" s="170"/>
      <c r="M186" s="170"/>
      <c r="N186" s="170"/>
      <c r="O186" s="170"/>
      <c r="P186" s="170"/>
      <c r="Q186" s="170"/>
      <c r="R186" s="170"/>
      <c r="S186" s="170"/>
      <c r="T186" s="170"/>
      <c r="U186" s="170"/>
      <c r="V186" s="170"/>
      <c r="W186" s="170"/>
      <c r="X186" s="170"/>
      <c r="Y186" s="170"/>
      <c r="Z186" s="170"/>
      <c r="AA186" s="170"/>
      <c r="AB186" s="170"/>
      <c r="AC186" s="170"/>
      <c r="AD186" s="170"/>
      <c r="AE186" s="170"/>
      <c r="AF186" s="170"/>
      <c r="AG186" s="170"/>
      <c r="AH186" s="170"/>
      <c r="AI186" s="170"/>
      <c r="AJ186" s="170"/>
      <c r="AK186" s="170"/>
      <c r="AL186" s="170"/>
      <c r="AM186" s="170"/>
      <c r="AN186" s="170"/>
      <c r="AO186" s="170"/>
      <c r="AP186" s="170"/>
      <c r="AQ186" s="170"/>
      <c r="AR186" s="170"/>
      <c r="AS186" s="170"/>
      <c r="AT186" s="170"/>
      <c r="AU186" s="184"/>
    </row>
    <row r="187" spans="1:47" ht="60" customHeight="1" x14ac:dyDescent="0.35">
      <c r="A187" s="180" t="s">
        <v>4315</v>
      </c>
      <c r="B187" s="154" t="s">
        <v>4318</v>
      </c>
      <c r="C187" s="155" t="s">
        <v>4332</v>
      </c>
      <c r="D187" s="158" t="s">
        <v>4333</v>
      </c>
      <c r="E187" s="161" t="s">
        <v>4334</v>
      </c>
      <c r="F187" s="164" t="s">
        <v>3867</v>
      </c>
      <c r="G187" s="167" t="str">
        <f>IF(COUNTIF(H187:AU187,"&lt;&gt;")=0,"",SUMPRODUCT(((Recommendations[ImplStatus]="Implemented")+(Recommendations[ImplStatus]="Compensated"))*ISNUMBER(MATCH(Recommendations[Id],H187:AU187,0)))/COUNTIF(H187:AU187,"&lt;&gt;"))</f>
        <v/>
      </c>
      <c r="H187" s="170"/>
      <c r="I187" s="170"/>
      <c r="J187" s="170"/>
      <c r="K187" s="170"/>
      <c r="L187" s="170"/>
      <c r="M187" s="170"/>
      <c r="N187" s="170"/>
      <c r="O187" s="170"/>
      <c r="P187" s="170"/>
      <c r="Q187" s="170"/>
      <c r="R187" s="170"/>
      <c r="S187" s="170"/>
      <c r="T187" s="170"/>
      <c r="U187" s="170"/>
      <c r="V187" s="170"/>
      <c r="W187" s="170"/>
      <c r="X187" s="170"/>
      <c r="Y187" s="170"/>
      <c r="Z187" s="170"/>
      <c r="AA187" s="170"/>
      <c r="AB187" s="170"/>
      <c r="AC187" s="170"/>
      <c r="AD187" s="170"/>
      <c r="AE187" s="170"/>
      <c r="AF187" s="170"/>
      <c r="AG187" s="170"/>
      <c r="AH187" s="170"/>
      <c r="AI187" s="170"/>
      <c r="AJ187" s="170"/>
      <c r="AK187" s="170"/>
      <c r="AL187" s="170"/>
      <c r="AM187" s="170"/>
      <c r="AN187" s="170"/>
      <c r="AO187" s="170"/>
      <c r="AP187" s="170"/>
      <c r="AQ187" s="170"/>
      <c r="AR187" s="170"/>
      <c r="AS187" s="170"/>
      <c r="AT187" s="170"/>
      <c r="AU187" s="184"/>
    </row>
    <row r="188" spans="1:47" ht="60" customHeight="1" x14ac:dyDescent="0.35">
      <c r="A188" s="180" t="s">
        <v>4315</v>
      </c>
      <c r="B188" s="154" t="s">
        <v>4318</v>
      </c>
      <c r="C188" s="155" t="s">
        <v>4335</v>
      </c>
      <c r="D188" s="158" t="s">
        <v>4336</v>
      </c>
      <c r="E188" s="161" t="s">
        <v>4337</v>
      </c>
      <c r="F188" s="164" t="s">
        <v>3867</v>
      </c>
      <c r="G188" s="167" t="str">
        <f>IF(COUNTIF(H188:AU188,"&lt;&gt;")=0,"",SUMPRODUCT(((Recommendations[ImplStatus]="Implemented")+(Recommendations[ImplStatus]="Compensated"))*ISNUMBER(MATCH(Recommendations[Id],H188:AU188,0)))/COUNTIF(H188:AU188,"&lt;&gt;"))</f>
        <v/>
      </c>
      <c r="H188" s="170"/>
      <c r="I188" s="170"/>
      <c r="J188" s="170"/>
      <c r="K188" s="170"/>
      <c r="L188" s="170"/>
      <c r="M188" s="170"/>
      <c r="N188" s="170"/>
      <c r="O188" s="170"/>
      <c r="P188" s="170"/>
      <c r="Q188" s="170"/>
      <c r="R188" s="170"/>
      <c r="S188" s="170"/>
      <c r="T188" s="170"/>
      <c r="U188" s="170"/>
      <c r="V188" s="170"/>
      <c r="W188" s="170"/>
      <c r="X188" s="170"/>
      <c r="Y188" s="170"/>
      <c r="Z188" s="170"/>
      <c r="AA188" s="170"/>
      <c r="AB188" s="170"/>
      <c r="AC188" s="170"/>
      <c r="AD188" s="170"/>
      <c r="AE188" s="170"/>
      <c r="AF188" s="170"/>
      <c r="AG188" s="170"/>
      <c r="AH188" s="170"/>
      <c r="AI188" s="170"/>
      <c r="AJ188" s="170"/>
      <c r="AK188" s="170"/>
      <c r="AL188" s="170"/>
      <c r="AM188" s="170"/>
      <c r="AN188" s="170"/>
      <c r="AO188" s="170"/>
      <c r="AP188" s="170"/>
      <c r="AQ188" s="170"/>
      <c r="AR188" s="170"/>
      <c r="AS188" s="170"/>
      <c r="AT188" s="170"/>
      <c r="AU188" s="184"/>
    </row>
    <row r="189" spans="1:47" ht="60" customHeight="1" x14ac:dyDescent="0.35">
      <c r="A189" s="180" t="s">
        <v>4315</v>
      </c>
      <c r="B189" s="154" t="s">
        <v>4318</v>
      </c>
      <c r="C189" s="155" t="s">
        <v>4338</v>
      </c>
      <c r="D189" s="158" t="s">
        <v>4339</v>
      </c>
      <c r="E189" s="161" t="s">
        <v>4340</v>
      </c>
      <c r="F189" s="164" t="s">
        <v>3867</v>
      </c>
      <c r="G189" s="167" t="str">
        <f>IF(COUNTIF(H189:AU189,"&lt;&gt;")=0,"",SUMPRODUCT(((Recommendations[ImplStatus]="Implemented")+(Recommendations[ImplStatus]="Compensated"))*ISNUMBER(MATCH(Recommendations[Id],H189:AU189,0)))/COUNTIF(H189:AU189,"&lt;&gt;"))</f>
        <v/>
      </c>
      <c r="H189" s="170"/>
      <c r="I189" s="170"/>
      <c r="J189" s="170"/>
      <c r="K189" s="170"/>
      <c r="L189" s="170"/>
      <c r="M189" s="170"/>
      <c r="N189" s="170"/>
      <c r="O189" s="170"/>
      <c r="P189" s="170"/>
      <c r="Q189" s="170"/>
      <c r="R189" s="170"/>
      <c r="S189" s="170"/>
      <c r="T189" s="170"/>
      <c r="U189" s="170"/>
      <c r="V189" s="170"/>
      <c r="W189" s="170"/>
      <c r="X189" s="170"/>
      <c r="Y189" s="170"/>
      <c r="Z189" s="170"/>
      <c r="AA189" s="170"/>
      <c r="AB189" s="170"/>
      <c r="AC189" s="170"/>
      <c r="AD189" s="170"/>
      <c r="AE189" s="170"/>
      <c r="AF189" s="170"/>
      <c r="AG189" s="170"/>
      <c r="AH189" s="170"/>
      <c r="AI189" s="170"/>
      <c r="AJ189" s="170"/>
      <c r="AK189" s="170"/>
      <c r="AL189" s="170"/>
      <c r="AM189" s="170"/>
      <c r="AN189" s="170"/>
      <c r="AO189" s="170"/>
      <c r="AP189" s="170"/>
      <c r="AQ189" s="170"/>
      <c r="AR189" s="170"/>
      <c r="AS189" s="170"/>
      <c r="AT189" s="170"/>
      <c r="AU189" s="184"/>
    </row>
    <row r="190" spans="1:47" ht="60" customHeight="1" outlineLevel="1" x14ac:dyDescent="0.35">
      <c r="A190" s="179" t="s">
        <v>4315</v>
      </c>
      <c r="B190" s="153" t="s">
        <v>4341</v>
      </c>
      <c r="C190" s="151" t="s">
        <v>4342</v>
      </c>
      <c r="D190" s="157" t="s">
        <v>4343</v>
      </c>
      <c r="E190" s="160" t="s">
        <v>21</v>
      </c>
      <c r="F190" s="163" t="s">
        <v>21</v>
      </c>
      <c r="G190" s="166" t="str">
        <f>IF(COUNTIF(H190:AU190,"&lt;&gt;")=0,"",SUMPRODUCT(((Recommendations[ImplStatus]="Implemented")+(Recommendations[ImplStatus]="Compensated"))*ISNUMBER(MATCH(Recommendations[Id],H190:AU190,0)))/COUNTIF(H190:AU190,"&lt;&gt;"))</f>
        <v/>
      </c>
      <c r="H190" s="169"/>
      <c r="I190" s="169"/>
      <c r="J190" s="169"/>
      <c r="K190" s="169"/>
      <c r="L190" s="169"/>
      <c r="M190" s="169"/>
      <c r="N190" s="169"/>
      <c r="O190" s="169"/>
      <c r="P190" s="169"/>
      <c r="Q190" s="169"/>
      <c r="R190" s="169"/>
      <c r="S190" s="169"/>
      <c r="T190" s="169"/>
      <c r="U190" s="169"/>
      <c r="V190" s="169"/>
      <c r="W190" s="169"/>
      <c r="X190" s="169"/>
      <c r="Y190" s="169"/>
      <c r="Z190" s="169"/>
      <c r="AA190" s="169"/>
      <c r="AB190" s="169"/>
      <c r="AC190" s="169"/>
      <c r="AD190" s="169"/>
      <c r="AE190" s="169"/>
      <c r="AF190" s="169"/>
      <c r="AG190" s="169"/>
      <c r="AH190" s="169"/>
      <c r="AI190" s="169"/>
      <c r="AJ190" s="169"/>
      <c r="AK190" s="169"/>
      <c r="AL190" s="169"/>
      <c r="AM190" s="169"/>
      <c r="AN190" s="169"/>
      <c r="AO190" s="169"/>
      <c r="AP190" s="169"/>
      <c r="AQ190" s="169"/>
      <c r="AR190" s="169"/>
      <c r="AS190" s="169"/>
      <c r="AT190" s="169"/>
      <c r="AU190" s="183"/>
    </row>
    <row r="191" spans="1:47" ht="60" customHeight="1" x14ac:dyDescent="0.35">
      <c r="A191" s="180" t="s">
        <v>4315</v>
      </c>
      <c r="B191" s="154" t="s">
        <v>4341</v>
      </c>
      <c r="C191" s="155" t="s">
        <v>4344</v>
      </c>
      <c r="D191" s="158" t="s">
        <v>4345</v>
      </c>
      <c r="E191" s="161"/>
      <c r="F191" s="164" t="s">
        <v>21</v>
      </c>
      <c r="G191" s="167" t="str">
        <f>IF(COUNTIF(H191:AU191,"&lt;&gt;")=0,"",SUMPRODUCT(((Recommendations[ImplStatus]="Implemented")+(Recommendations[ImplStatus]="Compensated"))*ISNUMBER(MATCH(Recommendations[Id],H191:AU191,0)))/COUNTIF(H191:AU191,"&lt;&gt;"))</f>
        <v/>
      </c>
      <c r="H191" s="170"/>
      <c r="I191" s="170"/>
      <c r="J191" s="170"/>
      <c r="K191" s="170"/>
      <c r="L191" s="170"/>
      <c r="M191" s="170"/>
      <c r="N191" s="170"/>
      <c r="O191" s="170"/>
      <c r="P191" s="170"/>
      <c r="Q191" s="170"/>
      <c r="R191" s="170"/>
      <c r="S191" s="170"/>
      <c r="T191" s="170"/>
      <c r="U191" s="170"/>
      <c r="V191" s="170"/>
      <c r="W191" s="170"/>
      <c r="X191" s="170"/>
      <c r="Y191" s="170"/>
      <c r="Z191" s="170"/>
      <c r="AA191" s="170"/>
      <c r="AB191" s="170"/>
      <c r="AC191" s="170"/>
      <c r="AD191" s="170"/>
      <c r="AE191" s="170"/>
      <c r="AF191" s="170"/>
      <c r="AG191" s="170"/>
      <c r="AH191" s="170"/>
      <c r="AI191" s="170"/>
      <c r="AJ191" s="170"/>
      <c r="AK191" s="170"/>
      <c r="AL191" s="170"/>
      <c r="AM191" s="170"/>
      <c r="AN191" s="170"/>
      <c r="AO191" s="170"/>
      <c r="AP191" s="170"/>
      <c r="AQ191" s="170"/>
      <c r="AR191" s="170"/>
      <c r="AS191" s="170"/>
      <c r="AT191" s="170"/>
      <c r="AU191" s="184"/>
    </row>
    <row r="192" spans="1:47" ht="60" customHeight="1" x14ac:dyDescent="0.35">
      <c r="A192" s="180" t="s">
        <v>4315</v>
      </c>
      <c r="B192" s="154" t="s">
        <v>4341</v>
      </c>
      <c r="C192" s="155" t="s">
        <v>4346</v>
      </c>
      <c r="D192" s="158" t="s">
        <v>4347</v>
      </c>
      <c r="E192" s="161" t="s">
        <v>4348</v>
      </c>
      <c r="F192" s="164" t="s">
        <v>3871</v>
      </c>
      <c r="G192" s="167" t="str">
        <f>IF(COUNTIF(H192:AU192,"&lt;&gt;")=0,"",SUMPRODUCT(((Recommendations[ImplStatus]="Implemented")+(Recommendations[ImplStatus]="Compensated"))*ISNUMBER(MATCH(Recommendations[Id],H192:AU192,0)))/COUNTIF(H192:AU192,"&lt;&gt;"))</f>
        <v/>
      </c>
      <c r="H192" s="170"/>
      <c r="I192" s="170"/>
      <c r="J192" s="170"/>
      <c r="K192" s="170"/>
      <c r="L192" s="170"/>
      <c r="M192" s="170"/>
      <c r="N192" s="170"/>
      <c r="O192" s="170"/>
      <c r="P192" s="170"/>
      <c r="Q192" s="170"/>
      <c r="R192" s="170"/>
      <c r="S192" s="170"/>
      <c r="T192" s="170"/>
      <c r="U192" s="170"/>
      <c r="V192" s="170"/>
      <c r="W192" s="170"/>
      <c r="X192" s="170"/>
      <c r="Y192" s="170"/>
      <c r="Z192" s="170"/>
      <c r="AA192" s="170"/>
      <c r="AB192" s="170"/>
      <c r="AC192" s="170"/>
      <c r="AD192" s="170"/>
      <c r="AE192" s="170"/>
      <c r="AF192" s="170"/>
      <c r="AG192" s="170"/>
      <c r="AH192" s="170"/>
      <c r="AI192" s="170"/>
      <c r="AJ192" s="170"/>
      <c r="AK192" s="170"/>
      <c r="AL192" s="170"/>
      <c r="AM192" s="170"/>
      <c r="AN192" s="170"/>
      <c r="AO192" s="170"/>
      <c r="AP192" s="170"/>
      <c r="AQ192" s="170"/>
      <c r="AR192" s="170"/>
      <c r="AS192" s="170"/>
      <c r="AT192" s="170"/>
      <c r="AU192" s="184"/>
    </row>
    <row r="193" spans="1:47" ht="60" customHeight="1" x14ac:dyDescent="0.35">
      <c r="A193" s="180" t="s">
        <v>4315</v>
      </c>
      <c r="B193" s="154" t="s">
        <v>4341</v>
      </c>
      <c r="C193" s="155" t="s">
        <v>4349</v>
      </c>
      <c r="D193" s="158" t="s">
        <v>4350</v>
      </c>
      <c r="E193" s="161" t="s">
        <v>4351</v>
      </c>
      <c r="F193" s="164" t="s">
        <v>3871</v>
      </c>
      <c r="G193" s="167" t="str">
        <f>IF(COUNTIF(H193:AU193,"&lt;&gt;")=0,"",SUMPRODUCT(((Recommendations[ImplStatus]="Implemented")+(Recommendations[ImplStatus]="Compensated"))*ISNUMBER(MATCH(Recommendations[Id],H193:AU193,0)))/COUNTIF(H193:AU193,"&lt;&gt;"))</f>
        <v/>
      </c>
      <c r="H193" s="170"/>
      <c r="I193" s="170"/>
      <c r="J193" s="170"/>
      <c r="K193" s="170"/>
      <c r="L193" s="170"/>
      <c r="M193" s="170"/>
      <c r="N193" s="170"/>
      <c r="O193" s="170"/>
      <c r="P193" s="170"/>
      <c r="Q193" s="170"/>
      <c r="R193" s="170"/>
      <c r="S193" s="170"/>
      <c r="T193" s="170"/>
      <c r="U193" s="170"/>
      <c r="V193" s="170"/>
      <c r="W193" s="170"/>
      <c r="X193" s="170"/>
      <c r="Y193" s="170"/>
      <c r="Z193" s="170"/>
      <c r="AA193" s="170"/>
      <c r="AB193" s="170"/>
      <c r="AC193" s="170"/>
      <c r="AD193" s="170"/>
      <c r="AE193" s="170"/>
      <c r="AF193" s="170"/>
      <c r="AG193" s="170"/>
      <c r="AH193" s="170"/>
      <c r="AI193" s="170"/>
      <c r="AJ193" s="170"/>
      <c r="AK193" s="170"/>
      <c r="AL193" s="170"/>
      <c r="AM193" s="170"/>
      <c r="AN193" s="170"/>
      <c r="AO193" s="170"/>
      <c r="AP193" s="170"/>
      <c r="AQ193" s="170"/>
      <c r="AR193" s="170"/>
      <c r="AS193" s="170"/>
      <c r="AT193" s="170"/>
      <c r="AU193" s="184"/>
    </row>
    <row r="194" spans="1:47" ht="60" customHeight="1" x14ac:dyDescent="0.35">
      <c r="A194" s="180" t="s">
        <v>4315</v>
      </c>
      <c r="B194" s="154" t="s">
        <v>4341</v>
      </c>
      <c r="C194" s="155" t="s">
        <v>4352</v>
      </c>
      <c r="D194" s="158" t="s">
        <v>4353</v>
      </c>
      <c r="E194" s="161"/>
      <c r="F194" s="164" t="s">
        <v>21</v>
      </c>
      <c r="G194" s="167" t="str">
        <f>IF(COUNTIF(H194:AU194,"&lt;&gt;")=0,"",SUMPRODUCT(((Recommendations[ImplStatus]="Implemented")+(Recommendations[ImplStatus]="Compensated"))*ISNUMBER(MATCH(Recommendations[Id],H194:AU194,0)))/COUNTIF(H194:AU194,"&lt;&gt;"))</f>
        <v/>
      </c>
      <c r="H194" s="170"/>
      <c r="I194" s="170"/>
      <c r="J194" s="170"/>
      <c r="K194" s="170"/>
      <c r="L194" s="170"/>
      <c r="M194" s="170"/>
      <c r="N194" s="170"/>
      <c r="O194" s="170"/>
      <c r="P194" s="170"/>
      <c r="Q194" s="170"/>
      <c r="R194" s="170"/>
      <c r="S194" s="170"/>
      <c r="T194" s="170"/>
      <c r="U194" s="170"/>
      <c r="V194" s="170"/>
      <c r="W194" s="170"/>
      <c r="X194" s="170"/>
      <c r="Y194" s="170"/>
      <c r="Z194" s="170"/>
      <c r="AA194" s="170"/>
      <c r="AB194" s="170"/>
      <c r="AC194" s="170"/>
      <c r="AD194" s="170"/>
      <c r="AE194" s="170"/>
      <c r="AF194" s="170"/>
      <c r="AG194" s="170"/>
      <c r="AH194" s="170"/>
      <c r="AI194" s="170"/>
      <c r="AJ194" s="170"/>
      <c r="AK194" s="170"/>
      <c r="AL194" s="170"/>
      <c r="AM194" s="170"/>
      <c r="AN194" s="170"/>
      <c r="AO194" s="170"/>
      <c r="AP194" s="170"/>
      <c r="AQ194" s="170"/>
      <c r="AR194" s="170"/>
      <c r="AS194" s="170"/>
      <c r="AT194" s="170"/>
      <c r="AU194" s="184"/>
    </row>
    <row r="195" spans="1:47" ht="60" customHeight="1" x14ac:dyDescent="0.35">
      <c r="A195" s="180" t="s">
        <v>4315</v>
      </c>
      <c r="B195" s="154" t="s">
        <v>4341</v>
      </c>
      <c r="C195" s="155" t="s">
        <v>4354</v>
      </c>
      <c r="D195" s="158" t="s">
        <v>4355</v>
      </c>
      <c r="E195" s="161"/>
      <c r="F195" s="164" t="s">
        <v>21</v>
      </c>
      <c r="G195" s="167" t="str">
        <f>IF(COUNTIF(H195:AU195,"&lt;&gt;")=0,"",SUMPRODUCT(((Recommendations[ImplStatus]="Implemented")+(Recommendations[ImplStatus]="Compensated"))*ISNUMBER(MATCH(Recommendations[Id],H195:AU195,0)))/COUNTIF(H195:AU195,"&lt;&gt;"))</f>
        <v/>
      </c>
      <c r="H195" s="170"/>
      <c r="I195" s="170"/>
      <c r="J195" s="170"/>
      <c r="K195" s="170"/>
      <c r="L195" s="170"/>
      <c r="M195" s="170"/>
      <c r="N195" s="170"/>
      <c r="O195" s="170"/>
      <c r="P195" s="170"/>
      <c r="Q195" s="170"/>
      <c r="R195" s="170"/>
      <c r="S195" s="170"/>
      <c r="T195" s="170"/>
      <c r="U195" s="170"/>
      <c r="V195" s="170"/>
      <c r="W195" s="170"/>
      <c r="X195" s="170"/>
      <c r="Y195" s="170"/>
      <c r="Z195" s="170"/>
      <c r="AA195" s="170"/>
      <c r="AB195" s="170"/>
      <c r="AC195" s="170"/>
      <c r="AD195" s="170"/>
      <c r="AE195" s="170"/>
      <c r="AF195" s="170"/>
      <c r="AG195" s="170"/>
      <c r="AH195" s="170"/>
      <c r="AI195" s="170"/>
      <c r="AJ195" s="170"/>
      <c r="AK195" s="170"/>
      <c r="AL195" s="170"/>
      <c r="AM195" s="170"/>
      <c r="AN195" s="170"/>
      <c r="AO195" s="170"/>
      <c r="AP195" s="170"/>
      <c r="AQ195" s="170"/>
      <c r="AR195" s="170"/>
      <c r="AS195" s="170"/>
      <c r="AT195" s="170"/>
      <c r="AU195" s="184"/>
    </row>
    <row r="196" spans="1:47" ht="60" customHeight="1" outlineLevel="1" x14ac:dyDescent="0.35">
      <c r="A196" s="179" t="s">
        <v>4315</v>
      </c>
      <c r="B196" s="153" t="s">
        <v>4356</v>
      </c>
      <c r="C196" s="151" t="s">
        <v>4357</v>
      </c>
      <c r="D196" s="157"/>
      <c r="E196" s="160" t="s">
        <v>21</v>
      </c>
      <c r="F196" s="163" t="s">
        <v>21</v>
      </c>
      <c r="G196" s="166" t="str">
        <f>IF(COUNTIF(H196:AU196,"&lt;&gt;")=0,"",SUMPRODUCT(((Recommendations[ImplStatus]="Implemented")+(Recommendations[ImplStatus]="Compensated"))*ISNUMBER(MATCH(Recommendations[Id],H196:AU196,0)))/COUNTIF(H196:AU196,"&lt;&gt;"))</f>
        <v/>
      </c>
      <c r="H196" s="169"/>
      <c r="I196" s="169"/>
      <c r="J196" s="169"/>
      <c r="K196" s="169"/>
      <c r="L196" s="169"/>
      <c r="M196" s="169"/>
      <c r="N196" s="169"/>
      <c r="O196" s="169"/>
      <c r="P196" s="169"/>
      <c r="Q196" s="169"/>
      <c r="R196" s="169"/>
      <c r="S196" s="169"/>
      <c r="T196" s="169"/>
      <c r="U196" s="169"/>
      <c r="V196" s="169"/>
      <c r="W196" s="169"/>
      <c r="X196" s="169"/>
      <c r="Y196" s="169"/>
      <c r="Z196" s="169"/>
      <c r="AA196" s="169"/>
      <c r="AB196" s="169"/>
      <c r="AC196" s="169"/>
      <c r="AD196" s="169"/>
      <c r="AE196" s="169"/>
      <c r="AF196" s="169"/>
      <c r="AG196" s="169"/>
      <c r="AH196" s="169"/>
      <c r="AI196" s="169"/>
      <c r="AJ196" s="169"/>
      <c r="AK196" s="169"/>
      <c r="AL196" s="169"/>
      <c r="AM196" s="169"/>
      <c r="AN196" s="169"/>
      <c r="AO196" s="169"/>
      <c r="AP196" s="169"/>
      <c r="AQ196" s="169"/>
      <c r="AR196" s="169"/>
      <c r="AS196" s="169"/>
      <c r="AT196" s="169"/>
      <c r="AU196" s="183"/>
    </row>
    <row r="197" spans="1:47" ht="60" customHeight="1" x14ac:dyDescent="0.35">
      <c r="A197" s="180" t="s">
        <v>4315</v>
      </c>
      <c r="B197" s="154" t="s">
        <v>4356</v>
      </c>
      <c r="C197" s="155" t="s">
        <v>4358</v>
      </c>
      <c r="D197" s="158" t="s">
        <v>4359</v>
      </c>
      <c r="E197" s="161"/>
      <c r="F197" s="164" t="s">
        <v>21</v>
      </c>
      <c r="G197" s="167" t="str">
        <f>IF(COUNTIF(H197:AU197,"&lt;&gt;")=0,"",SUMPRODUCT(((Recommendations[ImplStatus]="Implemented")+(Recommendations[ImplStatus]="Compensated"))*ISNUMBER(MATCH(Recommendations[Id],H197:AU197,0)))/COUNTIF(H197:AU197,"&lt;&gt;"))</f>
        <v/>
      </c>
      <c r="H197" s="170"/>
      <c r="I197" s="170"/>
      <c r="J197" s="170"/>
      <c r="K197" s="170"/>
      <c r="L197" s="170"/>
      <c r="M197" s="170"/>
      <c r="N197" s="170"/>
      <c r="O197" s="170"/>
      <c r="P197" s="170"/>
      <c r="Q197" s="170"/>
      <c r="R197" s="170"/>
      <c r="S197" s="170"/>
      <c r="T197" s="170"/>
      <c r="U197" s="170"/>
      <c r="V197" s="170"/>
      <c r="W197" s="170"/>
      <c r="X197" s="170"/>
      <c r="Y197" s="170"/>
      <c r="Z197" s="170"/>
      <c r="AA197" s="170"/>
      <c r="AB197" s="170"/>
      <c r="AC197" s="170"/>
      <c r="AD197" s="170"/>
      <c r="AE197" s="170"/>
      <c r="AF197" s="170"/>
      <c r="AG197" s="170"/>
      <c r="AH197" s="170"/>
      <c r="AI197" s="170"/>
      <c r="AJ197" s="170"/>
      <c r="AK197" s="170"/>
      <c r="AL197" s="170"/>
      <c r="AM197" s="170"/>
      <c r="AN197" s="170"/>
      <c r="AO197" s="170"/>
      <c r="AP197" s="170"/>
      <c r="AQ197" s="170"/>
      <c r="AR197" s="170"/>
      <c r="AS197" s="170"/>
      <c r="AT197" s="170"/>
      <c r="AU197" s="184"/>
    </row>
    <row r="198" spans="1:47" ht="60" customHeight="1" x14ac:dyDescent="0.35">
      <c r="A198" s="180" t="s">
        <v>4315</v>
      </c>
      <c r="B198" s="154" t="s">
        <v>4356</v>
      </c>
      <c r="C198" s="155" t="s">
        <v>4360</v>
      </c>
      <c r="D198" s="158" t="s">
        <v>4361</v>
      </c>
      <c r="E198" s="161"/>
      <c r="F198" s="164" t="s">
        <v>21</v>
      </c>
      <c r="G198" s="167" t="str">
        <f>IF(COUNTIF(H198:AU198,"&lt;&gt;")=0,"",SUMPRODUCT(((Recommendations[ImplStatus]="Implemented")+(Recommendations[ImplStatus]="Compensated"))*ISNUMBER(MATCH(Recommendations[Id],H198:AU198,0)))/COUNTIF(H198:AU198,"&lt;&gt;"))</f>
        <v/>
      </c>
      <c r="H198" s="170"/>
      <c r="I198" s="170"/>
      <c r="J198" s="170"/>
      <c r="K198" s="170"/>
      <c r="L198" s="170"/>
      <c r="M198" s="170"/>
      <c r="N198" s="170"/>
      <c r="O198" s="170"/>
      <c r="P198" s="170"/>
      <c r="Q198" s="170"/>
      <c r="R198" s="170"/>
      <c r="S198" s="170"/>
      <c r="T198" s="170"/>
      <c r="U198" s="170"/>
      <c r="V198" s="170"/>
      <c r="W198" s="170"/>
      <c r="X198" s="170"/>
      <c r="Y198" s="170"/>
      <c r="Z198" s="170"/>
      <c r="AA198" s="170"/>
      <c r="AB198" s="170"/>
      <c r="AC198" s="170"/>
      <c r="AD198" s="170"/>
      <c r="AE198" s="170"/>
      <c r="AF198" s="170"/>
      <c r="AG198" s="170"/>
      <c r="AH198" s="170"/>
      <c r="AI198" s="170"/>
      <c r="AJ198" s="170"/>
      <c r="AK198" s="170"/>
      <c r="AL198" s="170"/>
      <c r="AM198" s="170"/>
      <c r="AN198" s="170"/>
      <c r="AO198" s="170"/>
      <c r="AP198" s="170"/>
      <c r="AQ198" s="170"/>
      <c r="AR198" s="170"/>
      <c r="AS198" s="170"/>
      <c r="AT198" s="170"/>
      <c r="AU198" s="184"/>
    </row>
    <row r="199" spans="1:47" ht="60" customHeight="1" outlineLevel="1" x14ac:dyDescent="0.35">
      <c r="A199" s="179" t="s">
        <v>4315</v>
      </c>
      <c r="B199" s="153" t="s">
        <v>4362</v>
      </c>
      <c r="C199" s="151" t="s">
        <v>4363</v>
      </c>
      <c r="D199" s="157" t="s">
        <v>4364</v>
      </c>
      <c r="E199" s="160" t="s">
        <v>21</v>
      </c>
      <c r="F199" s="163" t="s">
        <v>21</v>
      </c>
      <c r="G199" s="166" t="str">
        <f>IF(COUNTIF(H199:AU199,"&lt;&gt;")=0,"",SUMPRODUCT(((Recommendations[ImplStatus]="Implemented")+(Recommendations[ImplStatus]="Compensated"))*ISNUMBER(MATCH(Recommendations[Id],H199:AU199,0)))/COUNTIF(H199:AU199,"&lt;&gt;"))</f>
        <v/>
      </c>
      <c r="H199" s="169"/>
      <c r="I199" s="169"/>
      <c r="J199" s="169"/>
      <c r="K199" s="169"/>
      <c r="L199" s="169"/>
      <c r="M199" s="169"/>
      <c r="N199" s="169"/>
      <c r="O199" s="169"/>
      <c r="P199" s="169"/>
      <c r="Q199" s="169"/>
      <c r="R199" s="169"/>
      <c r="S199" s="169"/>
      <c r="T199" s="169"/>
      <c r="U199" s="169"/>
      <c r="V199" s="169"/>
      <c r="W199" s="169"/>
      <c r="X199" s="169"/>
      <c r="Y199" s="169"/>
      <c r="Z199" s="169"/>
      <c r="AA199" s="169"/>
      <c r="AB199" s="169"/>
      <c r="AC199" s="169"/>
      <c r="AD199" s="169"/>
      <c r="AE199" s="169"/>
      <c r="AF199" s="169"/>
      <c r="AG199" s="169"/>
      <c r="AH199" s="169"/>
      <c r="AI199" s="169"/>
      <c r="AJ199" s="169"/>
      <c r="AK199" s="169"/>
      <c r="AL199" s="169"/>
      <c r="AM199" s="169"/>
      <c r="AN199" s="169"/>
      <c r="AO199" s="169"/>
      <c r="AP199" s="169"/>
      <c r="AQ199" s="169"/>
      <c r="AR199" s="169"/>
      <c r="AS199" s="169"/>
      <c r="AT199" s="169"/>
      <c r="AU199" s="183"/>
    </row>
    <row r="200" spans="1:47" ht="60" customHeight="1" x14ac:dyDescent="0.35">
      <c r="A200" s="180" t="s">
        <v>4315</v>
      </c>
      <c r="B200" s="154" t="s">
        <v>4362</v>
      </c>
      <c r="C200" s="155" t="s">
        <v>4365</v>
      </c>
      <c r="D200" s="158" t="s">
        <v>4366</v>
      </c>
      <c r="E200" s="161" t="s">
        <v>4367</v>
      </c>
      <c r="F200" s="164" t="s">
        <v>3881</v>
      </c>
      <c r="G200" s="167" t="str">
        <f>IF(COUNTIF(H200:AU200,"&lt;&gt;")=0,"",SUMPRODUCT(((Recommendations[ImplStatus]="Implemented")+(Recommendations[ImplStatus]="Compensated"))*ISNUMBER(MATCH(Recommendations[Id],H200:AU200,0)))/COUNTIF(H200:AU200,"&lt;&gt;"))</f>
        <v/>
      </c>
      <c r="H200" s="170"/>
      <c r="I200" s="170"/>
      <c r="J200" s="170"/>
      <c r="K200" s="170"/>
      <c r="L200" s="170"/>
      <c r="M200" s="170"/>
      <c r="N200" s="170"/>
      <c r="O200" s="170"/>
      <c r="P200" s="170"/>
      <c r="Q200" s="170"/>
      <c r="R200" s="170"/>
      <c r="S200" s="170"/>
      <c r="T200" s="170"/>
      <c r="U200" s="170"/>
      <c r="V200" s="170"/>
      <c r="W200" s="170"/>
      <c r="X200" s="170"/>
      <c r="Y200" s="170"/>
      <c r="Z200" s="170"/>
      <c r="AA200" s="170"/>
      <c r="AB200" s="170"/>
      <c r="AC200" s="170"/>
      <c r="AD200" s="170"/>
      <c r="AE200" s="170"/>
      <c r="AF200" s="170"/>
      <c r="AG200" s="170"/>
      <c r="AH200" s="170"/>
      <c r="AI200" s="170"/>
      <c r="AJ200" s="170"/>
      <c r="AK200" s="170"/>
      <c r="AL200" s="170"/>
      <c r="AM200" s="170"/>
      <c r="AN200" s="170"/>
      <c r="AO200" s="170"/>
      <c r="AP200" s="170"/>
      <c r="AQ200" s="170"/>
      <c r="AR200" s="170"/>
      <c r="AS200" s="170"/>
      <c r="AT200" s="170"/>
      <c r="AU200" s="184"/>
    </row>
    <row r="201" spans="1:47" ht="60" customHeight="1" x14ac:dyDescent="0.35">
      <c r="A201" s="180" t="s">
        <v>4315</v>
      </c>
      <c r="B201" s="154" t="s">
        <v>4362</v>
      </c>
      <c r="C201" s="155" t="s">
        <v>4368</v>
      </c>
      <c r="D201" s="158" t="s">
        <v>4369</v>
      </c>
      <c r="E201" s="161" t="s">
        <v>4370</v>
      </c>
      <c r="F201" s="164" t="s">
        <v>3867</v>
      </c>
      <c r="G201" s="167" t="str">
        <f>IF(COUNTIF(H201:AU201,"&lt;&gt;")=0,"",SUMPRODUCT(((Recommendations[ImplStatus]="Implemented")+(Recommendations[ImplStatus]="Compensated"))*ISNUMBER(MATCH(Recommendations[Id],H201:AU201,0)))/COUNTIF(H201:AU201,"&lt;&gt;"))</f>
        <v/>
      </c>
      <c r="H201" s="170"/>
      <c r="I201" s="170"/>
      <c r="J201" s="170"/>
      <c r="K201" s="170"/>
      <c r="L201" s="170"/>
      <c r="M201" s="170"/>
      <c r="N201" s="170"/>
      <c r="O201" s="170"/>
      <c r="P201" s="170"/>
      <c r="Q201" s="170"/>
      <c r="R201" s="170"/>
      <c r="S201" s="170"/>
      <c r="T201" s="170"/>
      <c r="U201" s="170"/>
      <c r="V201" s="170"/>
      <c r="W201" s="170"/>
      <c r="X201" s="170"/>
      <c r="Y201" s="170"/>
      <c r="Z201" s="170"/>
      <c r="AA201" s="170"/>
      <c r="AB201" s="170"/>
      <c r="AC201" s="170"/>
      <c r="AD201" s="170"/>
      <c r="AE201" s="170"/>
      <c r="AF201" s="170"/>
      <c r="AG201" s="170"/>
      <c r="AH201" s="170"/>
      <c r="AI201" s="170"/>
      <c r="AJ201" s="170"/>
      <c r="AK201" s="170"/>
      <c r="AL201" s="170"/>
      <c r="AM201" s="170"/>
      <c r="AN201" s="170"/>
      <c r="AO201" s="170"/>
      <c r="AP201" s="170"/>
      <c r="AQ201" s="170"/>
      <c r="AR201" s="170"/>
      <c r="AS201" s="170"/>
      <c r="AT201" s="170"/>
      <c r="AU201" s="184"/>
    </row>
    <row r="202" spans="1:47" ht="60" customHeight="1" x14ac:dyDescent="0.35">
      <c r="A202" s="180" t="s">
        <v>4315</v>
      </c>
      <c r="B202" s="154" t="s">
        <v>4362</v>
      </c>
      <c r="C202" s="155" t="s">
        <v>4371</v>
      </c>
      <c r="D202" s="158" t="s">
        <v>4372</v>
      </c>
      <c r="E202" s="161" t="s">
        <v>4373</v>
      </c>
      <c r="F202" s="164" t="s">
        <v>3867</v>
      </c>
      <c r="G202" s="167" t="str">
        <f>IF(COUNTIF(H202:AU202,"&lt;&gt;")=0,"",SUMPRODUCT(((Recommendations[ImplStatus]="Implemented")+(Recommendations[ImplStatus]="Compensated"))*ISNUMBER(MATCH(Recommendations[Id],H202:AU202,0)))/COUNTIF(H202:AU202,"&lt;&gt;"))</f>
        <v/>
      </c>
      <c r="H202" s="170"/>
      <c r="I202" s="170"/>
      <c r="J202" s="170"/>
      <c r="K202" s="170"/>
      <c r="L202" s="170"/>
      <c r="M202" s="170"/>
      <c r="N202" s="170"/>
      <c r="O202" s="170"/>
      <c r="P202" s="170"/>
      <c r="Q202" s="170"/>
      <c r="R202" s="170"/>
      <c r="S202" s="170"/>
      <c r="T202" s="170"/>
      <c r="U202" s="170"/>
      <c r="V202" s="170"/>
      <c r="W202" s="170"/>
      <c r="X202" s="170"/>
      <c r="Y202" s="170"/>
      <c r="Z202" s="170"/>
      <c r="AA202" s="170"/>
      <c r="AB202" s="170"/>
      <c r="AC202" s="170"/>
      <c r="AD202" s="170"/>
      <c r="AE202" s="170"/>
      <c r="AF202" s="170"/>
      <c r="AG202" s="170"/>
      <c r="AH202" s="170"/>
      <c r="AI202" s="170"/>
      <c r="AJ202" s="170"/>
      <c r="AK202" s="170"/>
      <c r="AL202" s="170"/>
      <c r="AM202" s="170"/>
      <c r="AN202" s="170"/>
      <c r="AO202" s="170"/>
      <c r="AP202" s="170"/>
      <c r="AQ202" s="170"/>
      <c r="AR202" s="170"/>
      <c r="AS202" s="170"/>
      <c r="AT202" s="170"/>
      <c r="AU202" s="184"/>
    </row>
    <row r="203" spans="1:47" ht="60" customHeight="1" x14ac:dyDescent="0.35">
      <c r="A203" s="180" t="s">
        <v>4315</v>
      </c>
      <c r="B203" s="154" t="s">
        <v>4362</v>
      </c>
      <c r="C203" s="155" t="s">
        <v>4374</v>
      </c>
      <c r="D203" s="158" t="s">
        <v>4375</v>
      </c>
      <c r="E203" s="161" t="s">
        <v>4376</v>
      </c>
      <c r="F203" s="164" t="s">
        <v>3867</v>
      </c>
      <c r="G203" s="167" t="str">
        <f>IF(COUNTIF(H203:AU203,"&lt;&gt;")=0,"",SUMPRODUCT(((Recommendations[ImplStatus]="Implemented")+(Recommendations[ImplStatus]="Compensated"))*ISNUMBER(MATCH(Recommendations[Id],H203:AU203,0)))/COUNTIF(H203:AU203,"&lt;&gt;"))</f>
        <v/>
      </c>
      <c r="H203" s="170"/>
      <c r="I203" s="170"/>
      <c r="J203" s="170"/>
      <c r="K203" s="170"/>
      <c r="L203" s="170"/>
      <c r="M203" s="170"/>
      <c r="N203" s="170"/>
      <c r="O203" s="170"/>
      <c r="P203" s="170"/>
      <c r="Q203" s="170"/>
      <c r="R203" s="170"/>
      <c r="S203" s="170"/>
      <c r="T203" s="170"/>
      <c r="U203" s="170"/>
      <c r="V203" s="170"/>
      <c r="W203" s="170"/>
      <c r="X203" s="170"/>
      <c r="Y203" s="170"/>
      <c r="Z203" s="170"/>
      <c r="AA203" s="170"/>
      <c r="AB203" s="170"/>
      <c r="AC203" s="170"/>
      <c r="AD203" s="170"/>
      <c r="AE203" s="170"/>
      <c r="AF203" s="170"/>
      <c r="AG203" s="170"/>
      <c r="AH203" s="170"/>
      <c r="AI203" s="170"/>
      <c r="AJ203" s="170"/>
      <c r="AK203" s="170"/>
      <c r="AL203" s="170"/>
      <c r="AM203" s="170"/>
      <c r="AN203" s="170"/>
      <c r="AO203" s="170"/>
      <c r="AP203" s="170"/>
      <c r="AQ203" s="170"/>
      <c r="AR203" s="170"/>
      <c r="AS203" s="170"/>
      <c r="AT203" s="170"/>
      <c r="AU203" s="184"/>
    </row>
    <row r="204" spans="1:47" ht="60" customHeight="1" x14ac:dyDescent="0.35">
      <c r="A204" s="180" t="s">
        <v>4315</v>
      </c>
      <c r="B204" s="154" t="s">
        <v>4362</v>
      </c>
      <c r="C204" s="155" t="s">
        <v>4377</v>
      </c>
      <c r="D204" s="158" t="s">
        <v>4378</v>
      </c>
      <c r="E204" s="161" t="s">
        <v>4379</v>
      </c>
      <c r="F204" s="164" t="s">
        <v>3867</v>
      </c>
      <c r="G204" s="167" t="str">
        <f>IF(COUNTIF(H204:AU204,"&lt;&gt;")=0,"",SUMPRODUCT(((Recommendations[ImplStatus]="Implemented")+(Recommendations[ImplStatus]="Compensated"))*ISNUMBER(MATCH(Recommendations[Id],H204:AU204,0)))/COUNTIF(H204:AU204,"&lt;&gt;"))</f>
        <v/>
      </c>
      <c r="H204" s="170"/>
      <c r="I204" s="170"/>
      <c r="J204" s="170"/>
      <c r="K204" s="170"/>
      <c r="L204" s="170"/>
      <c r="M204" s="170"/>
      <c r="N204" s="170"/>
      <c r="O204" s="170"/>
      <c r="P204" s="170"/>
      <c r="Q204" s="170"/>
      <c r="R204" s="170"/>
      <c r="S204" s="170"/>
      <c r="T204" s="170"/>
      <c r="U204" s="170"/>
      <c r="V204" s="170"/>
      <c r="W204" s="170"/>
      <c r="X204" s="170"/>
      <c r="Y204" s="170"/>
      <c r="Z204" s="170"/>
      <c r="AA204" s="170"/>
      <c r="AB204" s="170"/>
      <c r="AC204" s="170"/>
      <c r="AD204" s="170"/>
      <c r="AE204" s="170"/>
      <c r="AF204" s="170"/>
      <c r="AG204" s="170"/>
      <c r="AH204" s="170"/>
      <c r="AI204" s="170"/>
      <c r="AJ204" s="170"/>
      <c r="AK204" s="170"/>
      <c r="AL204" s="170"/>
      <c r="AM204" s="170"/>
      <c r="AN204" s="170"/>
      <c r="AO204" s="170"/>
      <c r="AP204" s="170"/>
      <c r="AQ204" s="170"/>
      <c r="AR204" s="170"/>
      <c r="AS204" s="170"/>
      <c r="AT204" s="170"/>
      <c r="AU204" s="184"/>
    </row>
    <row r="205" spans="1:47" ht="60" customHeight="1" outlineLevel="1" x14ac:dyDescent="0.35">
      <c r="A205" s="179" t="s">
        <v>4315</v>
      </c>
      <c r="B205" s="153" t="s">
        <v>4380</v>
      </c>
      <c r="C205" s="151" t="s">
        <v>4381</v>
      </c>
      <c r="D205" s="157" t="s">
        <v>4382</v>
      </c>
      <c r="E205" s="160" t="s">
        <v>21</v>
      </c>
      <c r="F205" s="163" t="s">
        <v>21</v>
      </c>
      <c r="G205" s="166" t="str">
        <f>IF(COUNTIF(H205:AU205,"&lt;&gt;")=0,"",SUMPRODUCT(((Recommendations[ImplStatus]="Implemented")+(Recommendations[ImplStatus]="Compensated"))*ISNUMBER(MATCH(Recommendations[Id],H205:AU205,0)))/COUNTIF(H205:AU205,"&lt;&gt;"))</f>
        <v/>
      </c>
      <c r="H205" s="169"/>
      <c r="I205" s="169"/>
      <c r="J205" s="169"/>
      <c r="K205" s="169"/>
      <c r="L205" s="169"/>
      <c r="M205" s="169"/>
      <c r="N205" s="169"/>
      <c r="O205" s="169"/>
      <c r="P205" s="169"/>
      <c r="Q205" s="169"/>
      <c r="R205" s="169"/>
      <c r="S205" s="169"/>
      <c r="T205" s="169"/>
      <c r="U205" s="169"/>
      <c r="V205" s="169"/>
      <c r="W205" s="169"/>
      <c r="X205" s="169"/>
      <c r="Y205" s="169"/>
      <c r="Z205" s="169"/>
      <c r="AA205" s="169"/>
      <c r="AB205" s="169"/>
      <c r="AC205" s="169"/>
      <c r="AD205" s="169"/>
      <c r="AE205" s="169"/>
      <c r="AF205" s="169"/>
      <c r="AG205" s="169"/>
      <c r="AH205" s="169"/>
      <c r="AI205" s="169"/>
      <c r="AJ205" s="169"/>
      <c r="AK205" s="169"/>
      <c r="AL205" s="169"/>
      <c r="AM205" s="169"/>
      <c r="AN205" s="169"/>
      <c r="AO205" s="169"/>
      <c r="AP205" s="169"/>
      <c r="AQ205" s="169"/>
      <c r="AR205" s="169"/>
      <c r="AS205" s="169"/>
      <c r="AT205" s="169"/>
      <c r="AU205" s="183"/>
    </row>
    <row r="206" spans="1:47" ht="60" customHeight="1" x14ac:dyDescent="0.35">
      <c r="A206" s="180" t="s">
        <v>4315</v>
      </c>
      <c r="B206" s="154" t="s">
        <v>4380</v>
      </c>
      <c r="C206" s="155" t="s">
        <v>4383</v>
      </c>
      <c r="D206" s="158" t="s">
        <v>4384</v>
      </c>
      <c r="E206" s="161" t="s">
        <v>4385</v>
      </c>
      <c r="F206" s="164" t="s">
        <v>3871</v>
      </c>
      <c r="G206" s="167" t="str">
        <f>IF(COUNTIF(H206:AU206,"&lt;&gt;")=0,"",SUMPRODUCT(((Recommendations[ImplStatus]="Implemented")+(Recommendations[ImplStatus]="Compensated"))*ISNUMBER(MATCH(Recommendations[Id],H206:AU206,0)))/COUNTIF(H206:AU206,"&lt;&gt;"))</f>
        <v/>
      </c>
      <c r="H206" s="170"/>
      <c r="I206" s="170"/>
      <c r="J206" s="170"/>
      <c r="K206" s="170"/>
      <c r="L206" s="170"/>
      <c r="M206" s="170"/>
      <c r="N206" s="170"/>
      <c r="O206" s="170"/>
      <c r="P206" s="170"/>
      <c r="Q206" s="170"/>
      <c r="R206" s="170"/>
      <c r="S206" s="170"/>
      <c r="T206" s="170"/>
      <c r="U206" s="170"/>
      <c r="V206" s="170"/>
      <c r="W206" s="170"/>
      <c r="X206" s="170"/>
      <c r="Y206" s="170"/>
      <c r="Z206" s="170"/>
      <c r="AA206" s="170"/>
      <c r="AB206" s="170"/>
      <c r="AC206" s="170"/>
      <c r="AD206" s="170"/>
      <c r="AE206" s="170"/>
      <c r="AF206" s="170"/>
      <c r="AG206" s="170"/>
      <c r="AH206" s="170"/>
      <c r="AI206" s="170"/>
      <c r="AJ206" s="170"/>
      <c r="AK206" s="170"/>
      <c r="AL206" s="170"/>
      <c r="AM206" s="170"/>
      <c r="AN206" s="170"/>
      <c r="AO206" s="170"/>
      <c r="AP206" s="170"/>
      <c r="AQ206" s="170"/>
      <c r="AR206" s="170"/>
      <c r="AS206" s="170"/>
      <c r="AT206" s="170"/>
      <c r="AU206" s="184"/>
    </row>
    <row r="207" spans="1:47" ht="60" customHeight="1" x14ac:dyDescent="0.35">
      <c r="A207" s="180" t="s">
        <v>4315</v>
      </c>
      <c r="B207" s="154" t="s">
        <v>4380</v>
      </c>
      <c r="C207" s="155" t="s">
        <v>4386</v>
      </c>
      <c r="D207" s="158" t="s">
        <v>4387</v>
      </c>
      <c r="E207" s="161" t="s">
        <v>4388</v>
      </c>
      <c r="F207" s="164" t="s">
        <v>3871</v>
      </c>
      <c r="G207" s="167" t="str">
        <f>IF(COUNTIF(H207:AU207,"&lt;&gt;")=0,"",SUMPRODUCT(((Recommendations[ImplStatus]="Implemented")+(Recommendations[ImplStatus]="Compensated"))*ISNUMBER(MATCH(Recommendations[Id],H207:AU207,0)))/COUNTIF(H207:AU207,"&lt;&gt;"))</f>
        <v/>
      </c>
      <c r="H207" s="170"/>
      <c r="I207" s="170"/>
      <c r="J207" s="170"/>
      <c r="K207" s="170"/>
      <c r="L207" s="170"/>
      <c r="M207" s="170"/>
      <c r="N207" s="170"/>
      <c r="O207" s="170"/>
      <c r="P207" s="170"/>
      <c r="Q207" s="170"/>
      <c r="R207" s="170"/>
      <c r="S207" s="170"/>
      <c r="T207" s="170"/>
      <c r="U207" s="170"/>
      <c r="V207" s="170"/>
      <c r="W207" s="170"/>
      <c r="X207" s="170"/>
      <c r="Y207" s="170"/>
      <c r="Z207" s="170"/>
      <c r="AA207" s="170"/>
      <c r="AB207" s="170"/>
      <c r="AC207" s="170"/>
      <c r="AD207" s="170"/>
      <c r="AE207" s="170"/>
      <c r="AF207" s="170"/>
      <c r="AG207" s="170"/>
      <c r="AH207" s="170"/>
      <c r="AI207" s="170"/>
      <c r="AJ207" s="170"/>
      <c r="AK207" s="170"/>
      <c r="AL207" s="170"/>
      <c r="AM207" s="170"/>
      <c r="AN207" s="170"/>
      <c r="AO207" s="170"/>
      <c r="AP207" s="170"/>
      <c r="AQ207" s="170"/>
      <c r="AR207" s="170"/>
      <c r="AS207" s="170"/>
      <c r="AT207" s="170"/>
      <c r="AU207" s="184"/>
    </row>
    <row r="208" spans="1:47" ht="60" customHeight="1" x14ac:dyDescent="0.35">
      <c r="A208" s="180" t="s">
        <v>4315</v>
      </c>
      <c r="B208" s="154" t="s">
        <v>4380</v>
      </c>
      <c r="C208" s="155" t="s">
        <v>4389</v>
      </c>
      <c r="D208" s="158" t="s">
        <v>4390</v>
      </c>
      <c r="E208" s="161"/>
      <c r="F208" s="164" t="s">
        <v>21</v>
      </c>
      <c r="G208" s="167" t="str">
        <f>IF(COUNTIF(H208:AU208,"&lt;&gt;")=0,"",SUMPRODUCT(((Recommendations[ImplStatus]="Implemented")+(Recommendations[ImplStatus]="Compensated"))*ISNUMBER(MATCH(Recommendations[Id],H208:AU208,0)))/COUNTIF(H208:AU208,"&lt;&gt;"))</f>
        <v/>
      </c>
      <c r="H208" s="170"/>
      <c r="I208" s="170"/>
      <c r="J208" s="170"/>
      <c r="K208" s="170"/>
      <c r="L208" s="170"/>
      <c r="M208" s="170"/>
      <c r="N208" s="170"/>
      <c r="O208" s="170"/>
      <c r="P208" s="170"/>
      <c r="Q208" s="170"/>
      <c r="R208" s="170"/>
      <c r="S208" s="170"/>
      <c r="T208" s="170"/>
      <c r="U208" s="170"/>
      <c r="V208" s="170"/>
      <c r="W208" s="170"/>
      <c r="X208" s="170"/>
      <c r="Y208" s="170"/>
      <c r="Z208" s="170"/>
      <c r="AA208" s="170"/>
      <c r="AB208" s="170"/>
      <c r="AC208" s="170"/>
      <c r="AD208" s="170"/>
      <c r="AE208" s="170"/>
      <c r="AF208" s="170"/>
      <c r="AG208" s="170"/>
      <c r="AH208" s="170"/>
      <c r="AI208" s="170"/>
      <c r="AJ208" s="170"/>
      <c r="AK208" s="170"/>
      <c r="AL208" s="170"/>
      <c r="AM208" s="170"/>
      <c r="AN208" s="170"/>
      <c r="AO208" s="170"/>
      <c r="AP208" s="170"/>
      <c r="AQ208" s="170"/>
      <c r="AR208" s="170"/>
      <c r="AS208" s="170"/>
      <c r="AT208" s="170"/>
      <c r="AU208" s="184"/>
    </row>
    <row r="209" spans="1:47" ht="60" customHeight="1" outlineLevel="1" x14ac:dyDescent="0.35">
      <c r="A209" s="179" t="s">
        <v>4315</v>
      </c>
      <c r="B209" s="153" t="s">
        <v>4391</v>
      </c>
      <c r="C209" s="151" t="s">
        <v>4392</v>
      </c>
      <c r="D209" s="157"/>
      <c r="E209" s="160" t="s">
        <v>21</v>
      </c>
      <c r="F209" s="163" t="s">
        <v>21</v>
      </c>
      <c r="G209" s="166" t="str">
        <f>IF(COUNTIF(H209:AU209,"&lt;&gt;")=0,"",SUMPRODUCT(((Recommendations[ImplStatus]="Implemented")+(Recommendations[ImplStatus]="Compensated"))*ISNUMBER(MATCH(Recommendations[Id],H209:AU209,0)))/COUNTIF(H209:AU209,"&lt;&gt;"))</f>
        <v/>
      </c>
      <c r="H209" s="169"/>
      <c r="I209" s="169"/>
      <c r="J209" s="169"/>
      <c r="K209" s="169"/>
      <c r="L209" s="169"/>
      <c r="M209" s="169"/>
      <c r="N209" s="169"/>
      <c r="O209" s="169"/>
      <c r="P209" s="169"/>
      <c r="Q209" s="169"/>
      <c r="R209" s="169"/>
      <c r="S209" s="169"/>
      <c r="T209" s="169"/>
      <c r="U209" s="169"/>
      <c r="V209" s="169"/>
      <c r="W209" s="169"/>
      <c r="X209" s="169"/>
      <c r="Y209" s="169"/>
      <c r="Z209" s="169"/>
      <c r="AA209" s="169"/>
      <c r="AB209" s="169"/>
      <c r="AC209" s="169"/>
      <c r="AD209" s="169"/>
      <c r="AE209" s="169"/>
      <c r="AF209" s="169"/>
      <c r="AG209" s="169"/>
      <c r="AH209" s="169"/>
      <c r="AI209" s="169"/>
      <c r="AJ209" s="169"/>
      <c r="AK209" s="169"/>
      <c r="AL209" s="169"/>
      <c r="AM209" s="169"/>
      <c r="AN209" s="169"/>
      <c r="AO209" s="169"/>
      <c r="AP209" s="169"/>
      <c r="AQ209" s="169"/>
      <c r="AR209" s="169"/>
      <c r="AS209" s="169"/>
      <c r="AT209" s="169"/>
      <c r="AU209" s="183"/>
    </row>
    <row r="210" spans="1:47" ht="60" customHeight="1" x14ac:dyDescent="0.35">
      <c r="A210" s="180" t="s">
        <v>4315</v>
      </c>
      <c r="B210" s="154" t="s">
        <v>4391</v>
      </c>
      <c r="C210" s="155" t="s">
        <v>4393</v>
      </c>
      <c r="D210" s="158" t="s">
        <v>4394</v>
      </c>
      <c r="E210" s="161"/>
      <c r="F210" s="164" t="s">
        <v>21</v>
      </c>
      <c r="G210" s="167" t="str">
        <f>IF(COUNTIF(H210:AU210,"&lt;&gt;")=0,"",SUMPRODUCT(((Recommendations[ImplStatus]="Implemented")+(Recommendations[ImplStatus]="Compensated"))*ISNUMBER(MATCH(Recommendations[Id],H210:AU210,0)))/COUNTIF(H210:AU210,"&lt;&gt;"))</f>
        <v/>
      </c>
      <c r="H210" s="170"/>
      <c r="I210" s="170"/>
      <c r="J210" s="170"/>
      <c r="K210" s="170"/>
      <c r="L210" s="170"/>
      <c r="M210" s="170"/>
      <c r="N210" s="170"/>
      <c r="O210" s="170"/>
      <c r="P210" s="170"/>
      <c r="Q210" s="170"/>
      <c r="R210" s="170"/>
      <c r="S210" s="170"/>
      <c r="T210" s="170"/>
      <c r="U210" s="170"/>
      <c r="V210" s="170"/>
      <c r="W210" s="170"/>
      <c r="X210" s="170"/>
      <c r="Y210" s="170"/>
      <c r="Z210" s="170"/>
      <c r="AA210" s="170"/>
      <c r="AB210" s="170"/>
      <c r="AC210" s="170"/>
      <c r="AD210" s="170"/>
      <c r="AE210" s="170"/>
      <c r="AF210" s="170"/>
      <c r="AG210" s="170"/>
      <c r="AH210" s="170"/>
      <c r="AI210" s="170"/>
      <c r="AJ210" s="170"/>
      <c r="AK210" s="170"/>
      <c r="AL210" s="170"/>
      <c r="AM210" s="170"/>
      <c r="AN210" s="170"/>
      <c r="AO210" s="170"/>
      <c r="AP210" s="170"/>
      <c r="AQ210" s="170"/>
      <c r="AR210" s="170"/>
      <c r="AS210" s="170"/>
      <c r="AT210" s="170"/>
      <c r="AU210" s="184"/>
    </row>
    <row r="211" spans="1:47" ht="60" customHeight="1" outlineLevel="1" x14ac:dyDescent="0.35">
      <c r="A211" s="178" t="s">
        <v>4395</v>
      </c>
      <c r="B211" s="152" t="s">
        <v>21</v>
      </c>
      <c r="C211" s="150" t="s">
        <v>4396</v>
      </c>
      <c r="D211" s="156" t="s">
        <v>4397</v>
      </c>
      <c r="E211" s="159" t="s">
        <v>21</v>
      </c>
      <c r="F211" s="162" t="s">
        <v>21</v>
      </c>
      <c r="G211" s="165" t="str">
        <f>IF(COUNTIF(H211:AU211,"&lt;&gt;")=0,"",SUMPRODUCT(((Recommendations[ImplStatus]="Implemented")+(Recommendations[ImplStatus]="Compensated"))*ISNUMBER(MATCH(Recommendations[Id],H211:AU211,0)))/COUNTIF(H211:AU211,"&lt;&gt;"))</f>
        <v/>
      </c>
      <c r="H211" s="168"/>
      <c r="I211" s="168"/>
      <c r="J211" s="168"/>
      <c r="K211" s="168"/>
      <c r="L211" s="168"/>
      <c r="M211" s="168"/>
      <c r="N211" s="168"/>
      <c r="O211" s="168"/>
      <c r="P211" s="168"/>
      <c r="Q211" s="168"/>
      <c r="R211" s="168"/>
      <c r="S211" s="168"/>
      <c r="T211" s="168"/>
      <c r="U211" s="168"/>
      <c r="V211" s="168"/>
      <c r="W211" s="168"/>
      <c r="X211" s="168"/>
      <c r="Y211" s="168"/>
      <c r="Z211" s="168"/>
      <c r="AA211" s="168"/>
      <c r="AB211" s="168"/>
      <c r="AC211" s="168"/>
      <c r="AD211" s="168"/>
      <c r="AE211" s="168"/>
      <c r="AF211" s="168"/>
      <c r="AG211" s="168"/>
      <c r="AH211" s="168"/>
      <c r="AI211" s="168"/>
      <c r="AJ211" s="168"/>
      <c r="AK211" s="168"/>
      <c r="AL211" s="168"/>
      <c r="AM211" s="168"/>
      <c r="AN211" s="168"/>
      <c r="AO211" s="168"/>
      <c r="AP211" s="168"/>
      <c r="AQ211" s="168"/>
      <c r="AR211" s="168"/>
      <c r="AS211" s="168"/>
      <c r="AT211" s="168"/>
      <c r="AU211" s="182"/>
    </row>
    <row r="212" spans="1:47" ht="60" customHeight="1" outlineLevel="1" x14ac:dyDescent="0.35">
      <c r="A212" s="179" t="s">
        <v>4395</v>
      </c>
      <c r="B212" s="153" t="s">
        <v>4398</v>
      </c>
      <c r="C212" s="151" t="s">
        <v>4399</v>
      </c>
      <c r="D212" s="157" t="s">
        <v>4400</v>
      </c>
      <c r="E212" s="160" t="s">
        <v>21</v>
      </c>
      <c r="F212" s="163" t="s">
        <v>21</v>
      </c>
      <c r="G212" s="166" t="str">
        <f>IF(COUNTIF(H212:AU212,"&lt;&gt;")=0,"",SUMPRODUCT(((Recommendations[ImplStatus]="Implemented")+(Recommendations[ImplStatus]="Compensated"))*ISNUMBER(MATCH(Recommendations[Id],H212:AU212,0)))/COUNTIF(H212:AU212,"&lt;&gt;"))</f>
        <v/>
      </c>
      <c r="H212" s="169"/>
      <c r="I212" s="169"/>
      <c r="J212" s="169"/>
      <c r="K212" s="169"/>
      <c r="L212" s="169"/>
      <c r="M212" s="169"/>
      <c r="N212" s="169"/>
      <c r="O212" s="169"/>
      <c r="P212" s="169"/>
      <c r="Q212" s="169"/>
      <c r="R212" s="169"/>
      <c r="S212" s="169"/>
      <c r="T212" s="169"/>
      <c r="U212" s="169"/>
      <c r="V212" s="169"/>
      <c r="W212" s="169"/>
      <c r="X212" s="169"/>
      <c r="Y212" s="169"/>
      <c r="Z212" s="169"/>
      <c r="AA212" s="169"/>
      <c r="AB212" s="169"/>
      <c r="AC212" s="169"/>
      <c r="AD212" s="169"/>
      <c r="AE212" s="169"/>
      <c r="AF212" s="169"/>
      <c r="AG212" s="169"/>
      <c r="AH212" s="169"/>
      <c r="AI212" s="169"/>
      <c r="AJ212" s="169"/>
      <c r="AK212" s="169"/>
      <c r="AL212" s="169"/>
      <c r="AM212" s="169"/>
      <c r="AN212" s="169"/>
      <c r="AO212" s="169"/>
      <c r="AP212" s="169"/>
      <c r="AQ212" s="169"/>
      <c r="AR212" s="169"/>
      <c r="AS212" s="169"/>
      <c r="AT212" s="169"/>
      <c r="AU212" s="183"/>
    </row>
    <row r="213" spans="1:47" ht="60" customHeight="1" x14ac:dyDescent="0.35">
      <c r="A213" s="180" t="s">
        <v>4395</v>
      </c>
      <c r="B213" s="154" t="s">
        <v>4398</v>
      </c>
      <c r="C213" s="155" t="s">
        <v>4401</v>
      </c>
      <c r="D213" s="158" t="s">
        <v>4402</v>
      </c>
      <c r="E213" s="161"/>
      <c r="F213" s="164" t="s">
        <v>21</v>
      </c>
      <c r="G213" s="167" t="str">
        <f>IF(COUNTIF(H213:AU213,"&lt;&gt;")=0,"",SUMPRODUCT(((Recommendations[ImplStatus]="Implemented")+(Recommendations[ImplStatus]="Compensated"))*ISNUMBER(MATCH(Recommendations[Id],H213:AU213,0)))/COUNTIF(H213:AU213,"&lt;&gt;"))</f>
        <v/>
      </c>
      <c r="H213" s="170"/>
      <c r="I213" s="170"/>
      <c r="J213" s="170"/>
      <c r="K213" s="170"/>
      <c r="L213" s="170"/>
      <c r="M213" s="170"/>
      <c r="N213" s="170"/>
      <c r="O213" s="170"/>
      <c r="P213" s="170"/>
      <c r="Q213" s="170"/>
      <c r="R213" s="170"/>
      <c r="S213" s="170"/>
      <c r="T213" s="170"/>
      <c r="U213" s="170"/>
      <c r="V213" s="170"/>
      <c r="W213" s="170"/>
      <c r="X213" s="170"/>
      <c r="Y213" s="170"/>
      <c r="Z213" s="170"/>
      <c r="AA213" s="170"/>
      <c r="AB213" s="170"/>
      <c r="AC213" s="170"/>
      <c r="AD213" s="170"/>
      <c r="AE213" s="170"/>
      <c r="AF213" s="170"/>
      <c r="AG213" s="170"/>
      <c r="AH213" s="170"/>
      <c r="AI213" s="170"/>
      <c r="AJ213" s="170"/>
      <c r="AK213" s="170"/>
      <c r="AL213" s="170"/>
      <c r="AM213" s="170"/>
      <c r="AN213" s="170"/>
      <c r="AO213" s="170"/>
      <c r="AP213" s="170"/>
      <c r="AQ213" s="170"/>
      <c r="AR213" s="170"/>
      <c r="AS213" s="170"/>
      <c r="AT213" s="170"/>
      <c r="AU213" s="184"/>
    </row>
    <row r="214" spans="1:47" ht="60" customHeight="1" x14ac:dyDescent="0.35">
      <c r="A214" s="180" t="s">
        <v>4395</v>
      </c>
      <c r="B214" s="154" t="s">
        <v>4398</v>
      </c>
      <c r="C214" s="155" t="s">
        <v>4403</v>
      </c>
      <c r="D214" s="158" t="s">
        <v>4404</v>
      </c>
      <c r="E214" s="161"/>
      <c r="F214" s="164" t="s">
        <v>21</v>
      </c>
      <c r="G214" s="167" t="str">
        <f>IF(COUNTIF(H214:AU214,"&lt;&gt;")=0,"",SUMPRODUCT(((Recommendations[ImplStatus]="Implemented")+(Recommendations[ImplStatus]="Compensated"))*ISNUMBER(MATCH(Recommendations[Id],H214:AU214,0)))/COUNTIF(H214:AU214,"&lt;&gt;"))</f>
        <v/>
      </c>
      <c r="H214" s="170"/>
      <c r="I214" s="170"/>
      <c r="J214" s="170"/>
      <c r="K214" s="170"/>
      <c r="L214" s="170"/>
      <c r="M214" s="170"/>
      <c r="N214" s="170"/>
      <c r="O214" s="170"/>
      <c r="P214" s="170"/>
      <c r="Q214" s="170"/>
      <c r="R214" s="170"/>
      <c r="S214" s="170"/>
      <c r="T214" s="170"/>
      <c r="U214" s="170"/>
      <c r="V214" s="170"/>
      <c r="W214" s="170"/>
      <c r="X214" s="170"/>
      <c r="Y214" s="170"/>
      <c r="Z214" s="170"/>
      <c r="AA214" s="170"/>
      <c r="AB214" s="170"/>
      <c r="AC214" s="170"/>
      <c r="AD214" s="170"/>
      <c r="AE214" s="170"/>
      <c r="AF214" s="170"/>
      <c r="AG214" s="170"/>
      <c r="AH214" s="170"/>
      <c r="AI214" s="170"/>
      <c r="AJ214" s="170"/>
      <c r="AK214" s="170"/>
      <c r="AL214" s="170"/>
      <c r="AM214" s="170"/>
      <c r="AN214" s="170"/>
      <c r="AO214" s="170"/>
      <c r="AP214" s="170"/>
      <c r="AQ214" s="170"/>
      <c r="AR214" s="170"/>
      <c r="AS214" s="170"/>
      <c r="AT214" s="170"/>
      <c r="AU214" s="184"/>
    </row>
    <row r="215" spans="1:47" ht="60" customHeight="1" x14ac:dyDescent="0.35">
      <c r="A215" s="180" t="s">
        <v>4395</v>
      </c>
      <c r="B215" s="154" t="s">
        <v>4398</v>
      </c>
      <c r="C215" s="155" t="s">
        <v>4405</v>
      </c>
      <c r="D215" s="158" t="s">
        <v>4406</v>
      </c>
      <c r="E215" s="161" t="s">
        <v>4407</v>
      </c>
      <c r="F215" s="164" t="s">
        <v>3871</v>
      </c>
      <c r="G215" s="167" t="str">
        <f>IF(COUNTIF(H215:AU215,"&lt;&gt;")=0,"",SUMPRODUCT(((Recommendations[ImplStatus]="Implemented")+(Recommendations[ImplStatus]="Compensated"))*ISNUMBER(MATCH(Recommendations[Id],H215:AU215,0)))/COUNTIF(H215:AU215,"&lt;&gt;"))</f>
        <v/>
      </c>
      <c r="H215" s="170"/>
      <c r="I215" s="170"/>
      <c r="J215" s="170"/>
      <c r="K215" s="170"/>
      <c r="L215" s="170"/>
      <c r="M215" s="170"/>
      <c r="N215" s="170"/>
      <c r="O215" s="170"/>
      <c r="P215" s="170"/>
      <c r="Q215" s="170"/>
      <c r="R215" s="170"/>
      <c r="S215" s="170"/>
      <c r="T215" s="170"/>
      <c r="U215" s="170"/>
      <c r="V215" s="170"/>
      <c r="W215" s="170"/>
      <c r="X215" s="170"/>
      <c r="Y215" s="170"/>
      <c r="Z215" s="170"/>
      <c r="AA215" s="170"/>
      <c r="AB215" s="170"/>
      <c r="AC215" s="170"/>
      <c r="AD215" s="170"/>
      <c r="AE215" s="170"/>
      <c r="AF215" s="170"/>
      <c r="AG215" s="170"/>
      <c r="AH215" s="170"/>
      <c r="AI215" s="170"/>
      <c r="AJ215" s="170"/>
      <c r="AK215" s="170"/>
      <c r="AL215" s="170"/>
      <c r="AM215" s="170"/>
      <c r="AN215" s="170"/>
      <c r="AO215" s="170"/>
      <c r="AP215" s="170"/>
      <c r="AQ215" s="170"/>
      <c r="AR215" s="170"/>
      <c r="AS215" s="170"/>
      <c r="AT215" s="170"/>
      <c r="AU215" s="184"/>
    </row>
    <row r="216" spans="1:47" ht="60" customHeight="1" x14ac:dyDescent="0.35">
      <c r="A216" s="180" t="s">
        <v>4395</v>
      </c>
      <c r="B216" s="154" t="s">
        <v>4398</v>
      </c>
      <c r="C216" s="155" t="s">
        <v>4408</v>
      </c>
      <c r="D216" s="158" t="s">
        <v>4409</v>
      </c>
      <c r="E216" s="161" t="s">
        <v>4410</v>
      </c>
      <c r="F216" s="164" t="s">
        <v>3867</v>
      </c>
      <c r="G216" s="167" t="str">
        <f>IF(COUNTIF(H216:AU216,"&lt;&gt;")=0,"",SUMPRODUCT(((Recommendations[ImplStatus]="Implemented")+(Recommendations[ImplStatus]="Compensated"))*ISNUMBER(MATCH(Recommendations[Id],H216:AU216,0)))/COUNTIF(H216:AU216,"&lt;&gt;"))</f>
        <v/>
      </c>
      <c r="H216" s="170"/>
      <c r="I216" s="170"/>
      <c r="J216" s="170"/>
      <c r="K216" s="170"/>
      <c r="L216" s="170"/>
      <c r="M216" s="170"/>
      <c r="N216" s="170"/>
      <c r="O216" s="170"/>
      <c r="P216" s="170"/>
      <c r="Q216" s="170"/>
      <c r="R216" s="170"/>
      <c r="S216" s="170"/>
      <c r="T216" s="170"/>
      <c r="U216" s="170"/>
      <c r="V216" s="170"/>
      <c r="W216" s="170"/>
      <c r="X216" s="170"/>
      <c r="Y216" s="170"/>
      <c r="Z216" s="170"/>
      <c r="AA216" s="170"/>
      <c r="AB216" s="170"/>
      <c r="AC216" s="170"/>
      <c r="AD216" s="170"/>
      <c r="AE216" s="170"/>
      <c r="AF216" s="170"/>
      <c r="AG216" s="170"/>
      <c r="AH216" s="170"/>
      <c r="AI216" s="170"/>
      <c r="AJ216" s="170"/>
      <c r="AK216" s="170"/>
      <c r="AL216" s="170"/>
      <c r="AM216" s="170"/>
      <c r="AN216" s="170"/>
      <c r="AO216" s="170"/>
      <c r="AP216" s="170"/>
      <c r="AQ216" s="170"/>
      <c r="AR216" s="170"/>
      <c r="AS216" s="170"/>
      <c r="AT216" s="170"/>
      <c r="AU216" s="184"/>
    </row>
    <row r="217" spans="1:47" ht="60" customHeight="1" outlineLevel="1" x14ac:dyDescent="0.35">
      <c r="A217" s="179" t="s">
        <v>4395</v>
      </c>
      <c r="B217" s="153" t="s">
        <v>4356</v>
      </c>
      <c r="C217" s="151" t="s">
        <v>4411</v>
      </c>
      <c r="D217" s="157"/>
      <c r="E217" s="160" t="s">
        <v>21</v>
      </c>
      <c r="F217" s="163" t="s">
        <v>21</v>
      </c>
      <c r="G217" s="166" t="str">
        <f>IF(COUNTIF(H217:AU217,"&lt;&gt;")=0,"",SUMPRODUCT(((Recommendations[ImplStatus]="Implemented")+(Recommendations[ImplStatus]="Compensated"))*ISNUMBER(MATCH(Recommendations[Id],H217:AU217,0)))/COUNTIF(H217:AU217,"&lt;&gt;"))</f>
        <v/>
      </c>
      <c r="H217" s="169"/>
      <c r="I217" s="169"/>
      <c r="J217" s="169"/>
      <c r="K217" s="169"/>
      <c r="L217" s="169"/>
      <c r="M217" s="169"/>
      <c r="N217" s="169"/>
      <c r="O217" s="169"/>
      <c r="P217" s="169"/>
      <c r="Q217" s="169"/>
      <c r="R217" s="169"/>
      <c r="S217" s="169"/>
      <c r="T217" s="169"/>
      <c r="U217" s="169"/>
      <c r="V217" s="169"/>
      <c r="W217" s="169"/>
      <c r="X217" s="169"/>
      <c r="Y217" s="169"/>
      <c r="Z217" s="169"/>
      <c r="AA217" s="169"/>
      <c r="AB217" s="169"/>
      <c r="AC217" s="169"/>
      <c r="AD217" s="169"/>
      <c r="AE217" s="169"/>
      <c r="AF217" s="169"/>
      <c r="AG217" s="169"/>
      <c r="AH217" s="169"/>
      <c r="AI217" s="169"/>
      <c r="AJ217" s="169"/>
      <c r="AK217" s="169"/>
      <c r="AL217" s="169"/>
      <c r="AM217" s="169"/>
      <c r="AN217" s="169"/>
      <c r="AO217" s="169"/>
      <c r="AP217" s="169"/>
      <c r="AQ217" s="169"/>
      <c r="AR217" s="169"/>
      <c r="AS217" s="169"/>
      <c r="AT217" s="169"/>
      <c r="AU217" s="183"/>
    </row>
    <row r="218" spans="1:47" ht="60" customHeight="1" x14ac:dyDescent="0.35">
      <c r="A218" s="180" t="s">
        <v>4395</v>
      </c>
      <c r="B218" s="154" t="s">
        <v>4356</v>
      </c>
      <c r="C218" s="155" t="s">
        <v>4412</v>
      </c>
      <c r="D218" s="158" t="s">
        <v>4413</v>
      </c>
      <c r="E218" s="161"/>
      <c r="F218" s="164" t="s">
        <v>21</v>
      </c>
      <c r="G218" s="167" t="str">
        <f>IF(COUNTIF(H218:AU218,"&lt;&gt;")=0,"",SUMPRODUCT(((Recommendations[ImplStatus]="Implemented")+(Recommendations[ImplStatus]="Compensated"))*ISNUMBER(MATCH(Recommendations[Id],H218:AU218,0)))/COUNTIF(H218:AU218,"&lt;&gt;"))</f>
        <v/>
      </c>
      <c r="H218" s="170"/>
      <c r="I218" s="170"/>
      <c r="J218" s="170"/>
      <c r="K218" s="170"/>
      <c r="L218" s="170"/>
      <c r="M218" s="170"/>
      <c r="N218" s="170"/>
      <c r="O218" s="170"/>
      <c r="P218" s="170"/>
      <c r="Q218" s="170"/>
      <c r="R218" s="170"/>
      <c r="S218" s="170"/>
      <c r="T218" s="170"/>
      <c r="U218" s="170"/>
      <c r="V218" s="170"/>
      <c r="W218" s="170"/>
      <c r="X218" s="170"/>
      <c r="Y218" s="170"/>
      <c r="Z218" s="170"/>
      <c r="AA218" s="170"/>
      <c r="AB218" s="170"/>
      <c r="AC218" s="170"/>
      <c r="AD218" s="170"/>
      <c r="AE218" s="170"/>
      <c r="AF218" s="170"/>
      <c r="AG218" s="170"/>
      <c r="AH218" s="170"/>
      <c r="AI218" s="170"/>
      <c r="AJ218" s="170"/>
      <c r="AK218" s="170"/>
      <c r="AL218" s="170"/>
      <c r="AM218" s="170"/>
      <c r="AN218" s="170"/>
      <c r="AO218" s="170"/>
      <c r="AP218" s="170"/>
      <c r="AQ218" s="170"/>
      <c r="AR218" s="170"/>
      <c r="AS218" s="170"/>
      <c r="AT218" s="170"/>
      <c r="AU218" s="184"/>
    </row>
    <row r="219" spans="1:47" ht="60" customHeight="1" x14ac:dyDescent="0.35">
      <c r="A219" s="180" t="s">
        <v>4395</v>
      </c>
      <c r="B219" s="154" t="s">
        <v>4356</v>
      </c>
      <c r="C219" s="155" t="s">
        <v>4414</v>
      </c>
      <c r="D219" s="158" t="s">
        <v>4415</v>
      </c>
      <c r="E219" s="161"/>
      <c r="F219" s="164" t="s">
        <v>21</v>
      </c>
      <c r="G219" s="167" t="str">
        <f>IF(COUNTIF(H219:AU219,"&lt;&gt;")=0,"",SUMPRODUCT(((Recommendations[ImplStatus]="Implemented")+(Recommendations[ImplStatus]="Compensated"))*ISNUMBER(MATCH(Recommendations[Id],H219:AU219,0)))/COUNTIF(H219:AU219,"&lt;&gt;"))</f>
        <v/>
      </c>
      <c r="H219" s="170"/>
      <c r="I219" s="170"/>
      <c r="J219" s="170"/>
      <c r="K219" s="170"/>
      <c r="L219" s="170"/>
      <c r="M219" s="170"/>
      <c r="N219" s="170"/>
      <c r="O219" s="170"/>
      <c r="P219" s="170"/>
      <c r="Q219" s="170"/>
      <c r="R219" s="170"/>
      <c r="S219" s="170"/>
      <c r="T219" s="170"/>
      <c r="U219" s="170"/>
      <c r="V219" s="170"/>
      <c r="W219" s="170"/>
      <c r="X219" s="170"/>
      <c r="Y219" s="170"/>
      <c r="Z219" s="170"/>
      <c r="AA219" s="170"/>
      <c r="AB219" s="170"/>
      <c r="AC219" s="170"/>
      <c r="AD219" s="170"/>
      <c r="AE219" s="170"/>
      <c r="AF219" s="170"/>
      <c r="AG219" s="170"/>
      <c r="AH219" s="170"/>
      <c r="AI219" s="170"/>
      <c r="AJ219" s="170"/>
      <c r="AK219" s="170"/>
      <c r="AL219" s="170"/>
      <c r="AM219" s="170"/>
      <c r="AN219" s="170"/>
      <c r="AO219" s="170"/>
      <c r="AP219" s="170"/>
      <c r="AQ219" s="170"/>
      <c r="AR219" s="170"/>
      <c r="AS219" s="170"/>
      <c r="AT219" s="170"/>
      <c r="AU219" s="184"/>
    </row>
    <row r="220" spans="1:47" ht="60" customHeight="1" outlineLevel="1" x14ac:dyDescent="0.35">
      <c r="A220" s="179" t="s">
        <v>4395</v>
      </c>
      <c r="B220" s="153" t="s">
        <v>4416</v>
      </c>
      <c r="C220" s="151" t="s">
        <v>4417</v>
      </c>
      <c r="D220" s="157" t="s">
        <v>4418</v>
      </c>
      <c r="E220" s="160" t="s">
        <v>21</v>
      </c>
      <c r="F220" s="163" t="s">
        <v>21</v>
      </c>
      <c r="G220" s="166" t="str">
        <f>IF(COUNTIF(H220:AU220,"&lt;&gt;")=0,"",SUMPRODUCT(((Recommendations[ImplStatus]="Implemented")+(Recommendations[ImplStatus]="Compensated"))*ISNUMBER(MATCH(Recommendations[Id],H220:AU220,0)))/COUNTIF(H220:AU220,"&lt;&gt;"))</f>
        <v/>
      </c>
      <c r="H220" s="169"/>
      <c r="I220" s="169"/>
      <c r="J220" s="169"/>
      <c r="K220" s="169"/>
      <c r="L220" s="169"/>
      <c r="M220" s="169"/>
      <c r="N220" s="169"/>
      <c r="O220" s="169"/>
      <c r="P220" s="169"/>
      <c r="Q220" s="169"/>
      <c r="R220" s="169"/>
      <c r="S220" s="169"/>
      <c r="T220" s="169"/>
      <c r="U220" s="169"/>
      <c r="V220" s="169"/>
      <c r="W220" s="169"/>
      <c r="X220" s="169"/>
      <c r="Y220" s="169"/>
      <c r="Z220" s="169"/>
      <c r="AA220" s="169"/>
      <c r="AB220" s="169"/>
      <c r="AC220" s="169"/>
      <c r="AD220" s="169"/>
      <c r="AE220" s="169"/>
      <c r="AF220" s="169"/>
      <c r="AG220" s="169"/>
      <c r="AH220" s="169"/>
      <c r="AI220" s="169"/>
      <c r="AJ220" s="169"/>
      <c r="AK220" s="169"/>
      <c r="AL220" s="169"/>
      <c r="AM220" s="169"/>
      <c r="AN220" s="169"/>
      <c r="AO220" s="169"/>
      <c r="AP220" s="169"/>
      <c r="AQ220" s="169"/>
      <c r="AR220" s="169"/>
      <c r="AS220" s="169"/>
      <c r="AT220" s="169"/>
      <c r="AU220" s="183"/>
    </row>
    <row r="221" spans="1:47" ht="60" customHeight="1" x14ac:dyDescent="0.35">
      <c r="A221" s="180" t="s">
        <v>4395</v>
      </c>
      <c r="B221" s="154" t="s">
        <v>4416</v>
      </c>
      <c r="C221" s="155" t="s">
        <v>4419</v>
      </c>
      <c r="D221" s="158" t="s">
        <v>4420</v>
      </c>
      <c r="E221" s="161" t="s">
        <v>4421</v>
      </c>
      <c r="F221" s="164" t="s">
        <v>3867</v>
      </c>
      <c r="G221" s="167" t="str">
        <f>IF(COUNTIF(H221:AU221,"&lt;&gt;")=0,"",SUMPRODUCT(((Recommendations[ImplStatus]="Implemented")+(Recommendations[ImplStatus]="Compensated"))*ISNUMBER(MATCH(Recommendations[Id],H221:AU221,0)))/COUNTIF(H221:AU221,"&lt;&gt;"))</f>
        <v/>
      </c>
      <c r="H221" s="170"/>
      <c r="I221" s="170"/>
      <c r="J221" s="170"/>
      <c r="K221" s="170"/>
      <c r="L221" s="170"/>
      <c r="M221" s="170"/>
      <c r="N221" s="170"/>
      <c r="O221" s="170"/>
      <c r="P221" s="170"/>
      <c r="Q221" s="170"/>
      <c r="R221" s="170"/>
      <c r="S221" s="170"/>
      <c r="T221" s="170"/>
      <c r="U221" s="170"/>
      <c r="V221" s="170"/>
      <c r="W221" s="170"/>
      <c r="X221" s="170"/>
      <c r="Y221" s="170"/>
      <c r="Z221" s="170"/>
      <c r="AA221" s="170"/>
      <c r="AB221" s="170"/>
      <c r="AC221" s="170"/>
      <c r="AD221" s="170"/>
      <c r="AE221" s="170"/>
      <c r="AF221" s="170"/>
      <c r="AG221" s="170"/>
      <c r="AH221" s="170"/>
      <c r="AI221" s="170"/>
      <c r="AJ221" s="170"/>
      <c r="AK221" s="170"/>
      <c r="AL221" s="170"/>
      <c r="AM221" s="170"/>
      <c r="AN221" s="170"/>
      <c r="AO221" s="170"/>
      <c r="AP221" s="170"/>
      <c r="AQ221" s="170"/>
      <c r="AR221" s="170"/>
      <c r="AS221" s="170"/>
      <c r="AT221" s="170"/>
      <c r="AU221" s="184"/>
    </row>
    <row r="222" spans="1:47" ht="60" customHeight="1" x14ac:dyDescent="0.35">
      <c r="A222" s="180" t="s">
        <v>4395</v>
      </c>
      <c r="B222" s="154" t="s">
        <v>4416</v>
      </c>
      <c r="C222" s="155" t="s">
        <v>4422</v>
      </c>
      <c r="D222" s="158" t="s">
        <v>4423</v>
      </c>
      <c r="E222" s="161" t="s">
        <v>4424</v>
      </c>
      <c r="F222" s="164" t="s">
        <v>3867</v>
      </c>
      <c r="G222" s="167" t="str">
        <f>IF(COUNTIF(H222:AU222,"&lt;&gt;")=0,"",SUMPRODUCT(((Recommendations[ImplStatus]="Implemented")+(Recommendations[ImplStatus]="Compensated"))*ISNUMBER(MATCH(Recommendations[Id],H222:AU222,0)))/COUNTIF(H222:AU222,"&lt;&gt;"))</f>
        <v/>
      </c>
      <c r="H222" s="170"/>
      <c r="I222" s="170"/>
      <c r="J222" s="170"/>
      <c r="K222" s="170"/>
      <c r="L222" s="170"/>
      <c r="M222" s="170"/>
      <c r="N222" s="170"/>
      <c r="O222" s="170"/>
      <c r="P222" s="170"/>
      <c r="Q222" s="170"/>
      <c r="R222" s="170"/>
      <c r="S222" s="170"/>
      <c r="T222" s="170"/>
      <c r="U222" s="170"/>
      <c r="V222" s="170"/>
      <c r="W222" s="170"/>
      <c r="X222" s="170"/>
      <c r="Y222" s="170"/>
      <c r="Z222" s="170"/>
      <c r="AA222" s="170"/>
      <c r="AB222" s="170"/>
      <c r="AC222" s="170"/>
      <c r="AD222" s="170"/>
      <c r="AE222" s="170"/>
      <c r="AF222" s="170"/>
      <c r="AG222" s="170"/>
      <c r="AH222" s="170"/>
      <c r="AI222" s="170"/>
      <c r="AJ222" s="170"/>
      <c r="AK222" s="170"/>
      <c r="AL222" s="170"/>
      <c r="AM222" s="170"/>
      <c r="AN222" s="170"/>
      <c r="AO222" s="170"/>
      <c r="AP222" s="170"/>
      <c r="AQ222" s="170"/>
      <c r="AR222" s="170"/>
      <c r="AS222" s="170"/>
      <c r="AT222" s="170"/>
      <c r="AU222" s="184"/>
    </row>
    <row r="223" spans="1:47" ht="60" customHeight="1" x14ac:dyDescent="0.35">
      <c r="A223" s="180" t="s">
        <v>4395</v>
      </c>
      <c r="B223" s="154" t="s">
        <v>4416</v>
      </c>
      <c r="C223" s="155" t="s">
        <v>4425</v>
      </c>
      <c r="D223" s="158" t="s">
        <v>4426</v>
      </c>
      <c r="E223" s="161" t="s">
        <v>4427</v>
      </c>
      <c r="F223" s="164" t="s">
        <v>3867</v>
      </c>
      <c r="G223" s="167" t="str">
        <f>IF(COUNTIF(H223:AU223,"&lt;&gt;")=0,"",SUMPRODUCT(((Recommendations[ImplStatus]="Implemented")+(Recommendations[ImplStatus]="Compensated"))*ISNUMBER(MATCH(Recommendations[Id],H223:AU223,0)))/COUNTIF(H223:AU223,"&lt;&gt;"))</f>
        <v/>
      </c>
      <c r="H223" s="170"/>
      <c r="I223" s="170"/>
      <c r="J223" s="170"/>
      <c r="K223" s="170"/>
      <c r="L223" s="170"/>
      <c r="M223" s="170"/>
      <c r="N223" s="170"/>
      <c r="O223" s="170"/>
      <c r="P223" s="170"/>
      <c r="Q223" s="170"/>
      <c r="R223" s="170"/>
      <c r="S223" s="170"/>
      <c r="T223" s="170"/>
      <c r="U223" s="170"/>
      <c r="V223" s="170"/>
      <c r="W223" s="170"/>
      <c r="X223" s="170"/>
      <c r="Y223" s="170"/>
      <c r="Z223" s="170"/>
      <c r="AA223" s="170"/>
      <c r="AB223" s="170"/>
      <c r="AC223" s="170"/>
      <c r="AD223" s="170"/>
      <c r="AE223" s="170"/>
      <c r="AF223" s="170"/>
      <c r="AG223" s="170"/>
      <c r="AH223" s="170"/>
      <c r="AI223" s="170"/>
      <c r="AJ223" s="170"/>
      <c r="AK223" s="170"/>
      <c r="AL223" s="170"/>
      <c r="AM223" s="170"/>
      <c r="AN223" s="170"/>
      <c r="AO223" s="170"/>
      <c r="AP223" s="170"/>
      <c r="AQ223" s="170"/>
      <c r="AR223" s="170"/>
      <c r="AS223" s="170"/>
      <c r="AT223" s="170"/>
      <c r="AU223" s="184"/>
    </row>
    <row r="224" spans="1:47" ht="60" customHeight="1" x14ac:dyDescent="0.35">
      <c r="A224" s="180" t="s">
        <v>4395</v>
      </c>
      <c r="B224" s="154" t="s">
        <v>4416</v>
      </c>
      <c r="C224" s="155" t="s">
        <v>4428</v>
      </c>
      <c r="D224" s="158" t="s">
        <v>4429</v>
      </c>
      <c r="E224" s="161" t="s">
        <v>4430</v>
      </c>
      <c r="F224" s="164" t="s">
        <v>3867</v>
      </c>
      <c r="G224" s="167" t="str">
        <f>IF(COUNTIF(H224:AU224,"&lt;&gt;")=0,"",SUMPRODUCT(((Recommendations[ImplStatus]="Implemented")+(Recommendations[ImplStatus]="Compensated"))*ISNUMBER(MATCH(Recommendations[Id],H224:AU224,0)))/COUNTIF(H224:AU224,"&lt;&gt;"))</f>
        <v/>
      </c>
      <c r="H224" s="170"/>
      <c r="I224" s="170"/>
      <c r="J224" s="170"/>
      <c r="K224" s="170"/>
      <c r="L224" s="170"/>
      <c r="M224" s="170"/>
      <c r="N224" s="170"/>
      <c r="O224" s="170"/>
      <c r="P224" s="170"/>
      <c r="Q224" s="170"/>
      <c r="R224" s="170"/>
      <c r="S224" s="170"/>
      <c r="T224" s="170"/>
      <c r="U224" s="170"/>
      <c r="V224" s="170"/>
      <c r="W224" s="170"/>
      <c r="X224" s="170"/>
      <c r="Y224" s="170"/>
      <c r="Z224" s="170"/>
      <c r="AA224" s="170"/>
      <c r="AB224" s="170"/>
      <c r="AC224" s="170"/>
      <c r="AD224" s="170"/>
      <c r="AE224" s="170"/>
      <c r="AF224" s="170"/>
      <c r="AG224" s="170"/>
      <c r="AH224" s="170"/>
      <c r="AI224" s="170"/>
      <c r="AJ224" s="170"/>
      <c r="AK224" s="170"/>
      <c r="AL224" s="170"/>
      <c r="AM224" s="170"/>
      <c r="AN224" s="170"/>
      <c r="AO224" s="170"/>
      <c r="AP224" s="170"/>
      <c r="AQ224" s="170"/>
      <c r="AR224" s="170"/>
      <c r="AS224" s="170"/>
      <c r="AT224" s="170"/>
      <c r="AU224" s="184"/>
    </row>
    <row r="225" spans="1:47" ht="60" customHeight="1" x14ac:dyDescent="0.35">
      <c r="A225" s="180" t="s">
        <v>4395</v>
      </c>
      <c r="B225" s="154" t="s">
        <v>4416</v>
      </c>
      <c r="C225" s="155" t="s">
        <v>4431</v>
      </c>
      <c r="D225" s="158" t="s">
        <v>4432</v>
      </c>
      <c r="E225" s="161" t="s">
        <v>4433</v>
      </c>
      <c r="F225" s="164" t="s">
        <v>3867</v>
      </c>
      <c r="G225" s="167" t="str">
        <f>IF(COUNTIF(H225:AU225,"&lt;&gt;")=0,"",SUMPRODUCT(((Recommendations[ImplStatus]="Implemented")+(Recommendations[ImplStatus]="Compensated"))*ISNUMBER(MATCH(Recommendations[Id],H225:AU225,0)))/COUNTIF(H225:AU225,"&lt;&gt;"))</f>
        <v/>
      </c>
      <c r="H225" s="170"/>
      <c r="I225" s="170"/>
      <c r="J225" s="170"/>
      <c r="K225" s="170"/>
      <c r="L225" s="170"/>
      <c r="M225" s="170"/>
      <c r="N225" s="170"/>
      <c r="O225" s="170"/>
      <c r="P225" s="170"/>
      <c r="Q225" s="170"/>
      <c r="R225" s="170"/>
      <c r="S225" s="170"/>
      <c r="T225" s="170"/>
      <c r="U225" s="170"/>
      <c r="V225" s="170"/>
      <c r="W225" s="170"/>
      <c r="X225" s="170"/>
      <c r="Y225" s="170"/>
      <c r="Z225" s="170"/>
      <c r="AA225" s="170"/>
      <c r="AB225" s="170"/>
      <c r="AC225" s="170"/>
      <c r="AD225" s="170"/>
      <c r="AE225" s="170"/>
      <c r="AF225" s="170"/>
      <c r="AG225" s="170"/>
      <c r="AH225" s="170"/>
      <c r="AI225" s="170"/>
      <c r="AJ225" s="170"/>
      <c r="AK225" s="170"/>
      <c r="AL225" s="170"/>
      <c r="AM225" s="170"/>
      <c r="AN225" s="170"/>
      <c r="AO225" s="170"/>
      <c r="AP225" s="170"/>
      <c r="AQ225" s="170"/>
      <c r="AR225" s="170"/>
      <c r="AS225" s="170"/>
      <c r="AT225" s="170"/>
      <c r="AU225" s="184"/>
    </row>
    <row r="226" spans="1:47" ht="60" customHeight="1" x14ac:dyDescent="0.35">
      <c r="A226" s="181" t="s">
        <v>4395</v>
      </c>
      <c r="B226" s="171" t="s">
        <v>4416</v>
      </c>
      <c r="C226" s="172" t="s">
        <v>4434</v>
      </c>
      <c r="D226" s="173" t="s">
        <v>4435</v>
      </c>
      <c r="E226" s="174" t="s">
        <v>4436</v>
      </c>
      <c r="F226" s="175" t="s">
        <v>3867</v>
      </c>
      <c r="G226" s="176" t="str">
        <f>IF(COUNTIF(H226:AU226,"&lt;&gt;")=0,"",SUMPRODUCT(((Recommendations[ImplStatus]="Implemented")+(Recommendations[ImplStatus]="Compensated"))*ISNUMBER(MATCH(Recommendations[Id],H226:AU226,0)))/COUNTIF(H226:AU226,"&lt;&gt;"))</f>
        <v/>
      </c>
      <c r="H226" s="177"/>
      <c r="I226" s="177"/>
      <c r="J226" s="177"/>
      <c r="K226" s="177"/>
      <c r="L226" s="177"/>
      <c r="M226" s="177"/>
      <c r="N226" s="177"/>
      <c r="O226" s="177"/>
      <c r="P226" s="177"/>
      <c r="Q226" s="177"/>
      <c r="R226" s="177"/>
      <c r="S226" s="177"/>
      <c r="T226" s="177"/>
      <c r="U226" s="177"/>
      <c r="V226" s="177"/>
      <c r="W226" s="177"/>
      <c r="X226" s="177"/>
      <c r="Y226" s="177"/>
      <c r="Z226" s="177"/>
      <c r="AA226" s="177"/>
      <c r="AB226" s="177"/>
      <c r="AC226" s="177"/>
      <c r="AD226" s="177"/>
      <c r="AE226" s="177"/>
      <c r="AF226" s="177"/>
      <c r="AG226" s="177"/>
      <c r="AH226" s="177"/>
      <c r="AI226" s="177"/>
      <c r="AJ226" s="177"/>
      <c r="AK226" s="177"/>
      <c r="AL226" s="177"/>
      <c r="AM226" s="177"/>
      <c r="AN226" s="177"/>
      <c r="AO226" s="177"/>
      <c r="AP226" s="177"/>
      <c r="AQ226" s="177"/>
      <c r="AR226" s="177"/>
      <c r="AS226" s="177"/>
      <c r="AT226" s="177"/>
      <c r="AU226" s="185"/>
    </row>
    <row r="230" spans="1:47" ht="32" customHeight="1" x14ac:dyDescent="0.35">
      <c r="A230" s="291" t="s">
        <v>1971</v>
      </c>
      <c r="B230" s="291"/>
      <c r="C230" s="291"/>
      <c r="D230" s="291"/>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IFERROR(INDEX('Recommendations'!$H$2:$H$461, MATCH(H2,'Recommendations'!$A$2:$A$461,0))="Implemented", FALSE))</xm:f>
            <x14:dxf>
              <font>
                <color rgb="FF000000"/>
              </font>
              <fill>
                <patternFill>
                  <bgColor rgb="FF3C7D22"/>
                </patternFill>
              </fill>
            </x14:dxf>
          </x14:cfRule>
          <x14:cfRule type="expression" priority="2" id="{00000000-000E-0000-0700-000002000000}">
            <xm:f>AND(H2&lt;&gt;"", IFERROR(INDEX('Recommendations'!$H$2:$H$461, MATCH(H2,'Recommendations'!$A$2:$A$461,0))="Compensated", FALSE))</xm:f>
            <x14:dxf>
              <font>
                <color rgb="FF000000"/>
              </font>
              <fill>
                <patternFill>
                  <bgColor rgb="FFC6E0B4"/>
                </patternFill>
              </fill>
            </x14:dxf>
          </x14:cfRule>
          <x14:cfRule type="expression" priority="3" id="{00000000-000E-0000-0700-000003000000}">
            <xm:f>AND(H2&lt;&gt;"", IFERROR(INDEX('Recommendations'!$H$2:$H$461, MATCH(H2,'Recommendations'!$A$2:$A$461,0))="Testing", FALSE))</xm:f>
            <x14:dxf>
              <font>
                <color rgb="FF000000"/>
              </font>
              <fill>
                <patternFill>
                  <bgColor rgb="FFFFC000"/>
                </patternFill>
              </fill>
            </x14:dxf>
          </x14:cfRule>
          <x14:cfRule type="expression" priority="4" id="{00000000-000E-0000-0700-000004000000}">
            <xm:f>AND(H2&lt;&gt;"", IFERROR(INDEX('Recommendations'!$H$2:$H$461, MATCH(H2,'Recommendations'!$A$2:$A$461,0))="Failed", FALSE))</xm:f>
            <x14:dxf>
              <font>
                <color rgb="FF000000"/>
              </font>
              <fill>
                <patternFill>
                  <bgColor rgb="FFD82891"/>
                </patternFill>
              </fill>
            </x14:dxf>
          </x14:cfRule>
          <x14:cfRule type="expression" priority="5" id="{00000000-000E-0000-0700-000005000000}">
            <xm:f>AND(H2&lt;&gt;"", IFERROR(INDEX('Recommendations'!$H$2:$H$461, MATCH(H2,'Recommendations'!$A$2:$A$461,0))="Risk Accepted", FALSE))</xm:f>
            <x14:dxf>
              <font>
                <color rgb="FF000000"/>
              </font>
              <fill>
                <patternFill>
                  <bgColor rgb="FFD9D9D9"/>
                </patternFill>
              </fill>
            </x14:dxf>
          </x14:cfRule>
          <x14:cfRule type="expression" priority="6" id="{00000000-000E-0000-0700-000006000000}">
            <xm:f>AND(H2&lt;&gt;"", IFERROR(INDEX('Recommendations'!$H$2:$H$461, MATCH(H2,'Recommendations'!$A$2:$A$461,0))="N/A",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9" t="s">
        <v>3854</v>
      </c>
      <c r="B1" s="210" t="s">
        <v>4437</v>
      </c>
      <c r="C1" s="210" t="s">
        <v>4438</v>
      </c>
      <c r="D1" s="210" t="s">
        <v>4439</v>
      </c>
      <c r="E1" s="210" t="s">
        <v>3163</v>
      </c>
      <c r="F1" s="210" t="s">
        <v>2222</v>
      </c>
      <c r="G1" s="210" t="s">
        <v>2223</v>
      </c>
      <c r="H1" s="210" t="s">
        <v>2224</v>
      </c>
      <c r="I1" s="210" t="s">
        <v>2225</v>
      </c>
      <c r="J1" s="210" t="s">
        <v>2226</v>
      </c>
      <c r="K1" s="210" t="s">
        <v>2227</v>
      </c>
      <c r="L1" s="210" t="s">
        <v>2228</v>
      </c>
      <c r="M1" s="210" t="s">
        <v>2229</v>
      </c>
      <c r="N1" s="210" t="s">
        <v>2230</v>
      </c>
      <c r="O1" s="210" t="s">
        <v>2231</v>
      </c>
      <c r="P1" s="210" t="s">
        <v>2232</v>
      </c>
      <c r="Q1" s="210" t="s">
        <v>2233</v>
      </c>
      <c r="R1" s="210" t="s">
        <v>2234</v>
      </c>
      <c r="S1" s="210" t="s">
        <v>2235</v>
      </c>
      <c r="T1" s="210" t="s">
        <v>2236</v>
      </c>
      <c r="U1" s="210" t="s">
        <v>2237</v>
      </c>
      <c r="V1" s="210" t="s">
        <v>2238</v>
      </c>
      <c r="W1" s="210" t="s">
        <v>2239</v>
      </c>
      <c r="X1" s="210" t="s">
        <v>2240</v>
      </c>
      <c r="Y1" s="210" t="s">
        <v>2241</v>
      </c>
      <c r="Z1" s="210" t="s">
        <v>2242</v>
      </c>
      <c r="AA1" s="210" t="s">
        <v>2243</v>
      </c>
      <c r="AB1" s="210" t="s">
        <v>2244</v>
      </c>
      <c r="AC1" s="210" t="s">
        <v>2245</v>
      </c>
      <c r="AD1" s="210" t="s">
        <v>2246</v>
      </c>
      <c r="AE1" s="210" t="s">
        <v>2247</v>
      </c>
      <c r="AF1" s="210" t="s">
        <v>2248</v>
      </c>
      <c r="AG1" s="210" t="s">
        <v>2249</v>
      </c>
      <c r="AH1" s="210" t="s">
        <v>2250</v>
      </c>
      <c r="AI1" s="210" t="s">
        <v>2251</v>
      </c>
      <c r="AJ1" s="210" t="s">
        <v>2252</v>
      </c>
      <c r="AK1" s="210" t="s">
        <v>2253</v>
      </c>
      <c r="AL1" s="210" t="s">
        <v>2254</v>
      </c>
      <c r="AM1" s="210" t="s">
        <v>2255</v>
      </c>
      <c r="AN1" s="210" t="s">
        <v>2256</v>
      </c>
      <c r="AO1" s="210" t="s">
        <v>2257</v>
      </c>
      <c r="AP1" s="210" t="s">
        <v>2258</v>
      </c>
      <c r="AQ1" s="210" t="s">
        <v>2259</v>
      </c>
      <c r="AR1" s="210" t="s">
        <v>2260</v>
      </c>
      <c r="AS1" s="210" t="s">
        <v>2261</v>
      </c>
      <c r="AT1" s="211" t="s">
        <v>2262</v>
      </c>
    </row>
    <row r="2" spans="1:46" ht="60" customHeight="1" outlineLevel="1" x14ac:dyDescent="0.35">
      <c r="A2" s="203" t="s">
        <v>2063</v>
      </c>
      <c r="B2" s="189" t="s">
        <v>4440</v>
      </c>
      <c r="C2" s="189"/>
      <c r="D2" s="192" t="s">
        <v>4441</v>
      </c>
      <c r="E2" s="192"/>
      <c r="F2" s="194" t="str">
        <f>IF(COUNTIF(G2:AT2,"&lt;&gt;")=0,"",SUMPRODUCT(((Recommendations[ImplStatus]="Implemented")+(Recommendations[ImplStatus]="Compensated"))*ISNUMBER(MATCH(Recommendations[Id],G2:AT2,0)))/COUNTIF(G2:AT2,"&lt;&gt;"))</f>
        <v/>
      </c>
      <c r="G2" s="196"/>
      <c r="H2" s="196"/>
      <c r="I2" s="196"/>
      <c r="J2" s="196"/>
      <c r="K2" s="196"/>
      <c r="L2" s="196"/>
      <c r="M2" s="196"/>
      <c r="N2" s="196"/>
      <c r="O2" s="196"/>
      <c r="P2" s="196"/>
      <c r="Q2" s="196"/>
      <c r="R2" s="196"/>
      <c r="S2" s="196"/>
      <c r="T2" s="196"/>
      <c r="U2" s="196"/>
      <c r="V2" s="196"/>
      <c r="W2" s="196"/>
      <c r="X2" s="196"/>
      <c r="Y2" s="196"/>
      <c r="Z2" s="196"/>
      <c r="AA2" s="196"/>
      <c r="AB2" s="196"/>
      <c r="AC2" s="196"/>
      <c r="AD2" s="196"/>
      <c r="AE2" s="196"/>
      <c r="AF2" s="196"/>
      <c r="AG2" s="196"/>
      <c r="AH2" s="196"/>
      <c r="AI2" s="196"/>
      <c r="AJ2" s="196"/>
      <c r="AK2" s="196"/>
      <c r="AL2" s="196"/>
      <c r="AM2" s="196"/>
      <c r="AN2" s="196"/>
      <c r="AO2" s="196"/>
      <c r="AP2" s="196"/>
      <c r="AQ2" s="196"/>
      <c r="AR2" s="196"/>
      <c r="AS2" s="196"/>
      <c r="AT2" s="206"/>
    </row>
    <row r="3" spans="1:46" ht="60" customHeight="1" x14ac:dyDescent="0.35">
      <c r="A3" s="204" t="s">
        <v>2063</v>
      </c>
      <c r="B3" s="190" t="s">
        <v>4440</v>
      </c>
      <c r="C3" s="191" t="s">
        <v>4442</v>
      </c>
      <c r="D3" s="193" t="s">
        <v>4443</v>
      </c>
      <c r="E3" s="193" t="s">
        <v>4444</v>
      </c>
      <c r="F3" s="195" t="str">
        <f>IF(COUNTIF(G3:AT3,"&lt;&gt;")=0,"",SUMPRODUCT(((Recommendations[ImplStatus]="Implemented")+(Recommendations[ImplStatus]="Compensated"))*ISNUMBER(MATCH(Recommendations[Id],G3:AT3,0)))/COUNTIF(G3:AT3,"&lt;&gt;"))</f>
        <v/>
      </c>
      <c r="G3" s="197"/>
      <c r="H3" s="197"/>
      <c r="I3" s="197"/>
      <c r="J3" s="197"/>
      <c r="K3" s="197"/>
      <c r="L3" s="197"/>
      <c r="M3" s="197"/>
      <c r="N3" s="197"/>
      <c r="O3" s="197"/>
      <c r="P3" s="197"/>
      <c r="Q3" s="197"/>
      <c r="R3" s="197"/>
      <c r="S3" s="197"/>
      <c r="T3" s="197"/>
      <c r="U3" s="197"/>
      <c r="V3" s="197"/>
      <c r="W3" s="197"/>
      <c r="X3" s="197"/>
      <c r="Y3" s="197"/>
      <c r="Z3" s="197"/>
      <c r="AA3" s="197"/>
      <c r="AB3" s="197"/>
      <c r="AC3" s="197"/>
      <c r="AD3" s="197"/>
      <c r="AE3" s="197"/>
      <c r="AF3" s="197"/>
      <c r="AG3" s="197"/>
      <c r="AH3" s="197"/>
      <c r="AI3" s="197"/>
      <c r="AJ3" s="197"/>
      <c r="AK3" s="197"/>
      <c r="AL3" s="197"/>
      <c r="AM3" s="197"/>
      <c r="AN3" s="197"/>
      <c r="AO3" s="197"/>
      <c r="AP3" s="197"/>
      <c r="AQ3" s="197"/>
      <c r="AR3" s="197"/>
      <c r="AS3" s="197"/>
      <c r="AT3" s="207"/>
    </row>
    <row r="4" spans="1:46" ht="60" customHeight="1" x14ac:dyDescent="0.35">
      <c r="A4" s="204" t="s">
        <v>2063</v>
      </c>
      <c r="B4" s="190" t="s">
        <v>4440</v>
      </c>
      <c r="C4" s="191" t="s">
        <v>4445</v>
      </c>
      <c r="D4" s="193" t="s">
        <v>4446</v>
      </c>
      <c r="E4" s="193" t="s">
        <v>4447</v>
      </c>
      <c r="F4" s="195" t="str">
        <f>IF(COUNTIF(G4:AT4,"&lt;&gt;")=0,"",SUMPRODUCT(((Recommendations[ImplStatus]="Implemented")+(Recommendations[ImplStatus]="Compensated"))*ISNUMBER(MATCH(Recommendations[Id],G4:AT4,0)))/COUNTIF(G4:AT4,"&lt;&gt;"))</f>
        <v/>
      </c>
      <c r="G4" s="197"/>
      <c r="H4" s="197"/>
      <c r="I4" s="197"/>
      <c r="J4" s="197"/>
      <c r="K4" s="197"/>
      <c r="L4" s="197"/>
      <c r="M4" s="197"/>
      <c r="N4" s="197"/>
      <c r="O4" s="197"/>
      <c r="P4" s="197"/>
      <c r="Q4" s="197"/>
      <c r="R4" s="197"/>
      <c r="S4" s="197"/>
      <c r="T4" s="197"/>
      <c r="U4" s="197"/>
      <c r="V4" s="197"/>
      <c r="W4" s="197"/>
      <c r="X4" s="197"/>
      <c r="Y4" s="197"/>
      <c r="Z4" s="197"/>
      <c r="AA4" s="197"/>
      <c r="AB4" s="197"/>
      <c r="AC4" s="197"/>
      <c r="AD4" s="197"/>
      <c r="AE4" s="197"/>
      <c r="AF4" s="197"/>
      <c r="AG4" s="197"/>
      <c r="AH4" s="197"/>
      <c r="AI4" s="197"/>
      <c r="AJ4" s="197"/>
      <c r="AK4" s="197"/>
      <c r="AL4" s="197"/>
      <c r="AM4" s="197"/>
      <c r="AN4" s="197"/>
      <c r="AO4" s="197"/>
      <c r="AP4" s="197"/>
      <c r="AQ4" s="197"/>
      <c r="AR4" s="197"/>
      <c r="AS4" s="197"/>
      <c r="AT4" s="207"/>
    </row>
    <row r="5" spans="1:46" ht="60" customHeight="1" x14ac:dyDescent="0.35">
      <c r="A5" s="204" t="s">
        <v>2063</v>
      </c>
      <c r="B5" s="190" t="s">
        <v>4440</v>
      </c>
      <c r="C5" s="191" t="s">
        <v>4448</v>
      </c>
      <c r="D5" s="193" t="s">
        <v>4449</v>
      </c>
      <c r="E5" s="193" t="s">
        <v>4450</v>
      </c>
      <c r="F5" s="195" t="str">
        <f>IF(COUNTIF(G5:AT5,"&lt;&gt;")=0,"",SUMPRODUCT(((Recommendations[ImplStatus]="Implemented")+(Recommendations[ImplStatus]="Compensated"))*ISNUMBER(MATCH(Recommendations[Id],G5:AT5,0)))/COUNTIF(G5:AT5,"&lt;&gt;"))</f>
        <v/>
      </c>
      <c r="G5" s="197"/>
      <c r="H5" s="197"/>
      <c r="I5" s="197"/>
      <c r="J5" s="197"/>
      <c r="K5" s="197"/>
      <c r="L5" s="197"/>
      <c r="M5" s="197"/>
      <c r="N5" s="197"/>
      <c r="O5" s="197"/>
      <c r="P5" s="197"/>
      <c r="Q5" s="197"/>
      <c r="R5" s="197"/>
      <c r="S5" s="197"/>
      <c r="T5" s="197"/>
      <c r="U5" s="197"/>
      <c r="V5" s="197"/>
      <c r="W5" s="197"/>
      <c r="X5" s="197"/>
      <c r="Y5" s="197"/>
      <c r="Z5" s="197"/>
      <c r="AA5" s="197"/>
      <c r="AB5" s="197"/>
      <c r="AC5" s="197"/>
      <c r="AD5" s="197"/>
      <c r="AE5" s="197"/>
      <c r="AF5" s="197"/>
      <c r="AG5" s="197"/>
      <c r="AH5" s="197"/>
      <c r="AI5" s="197"/>
      <c r="AJ5" s="197"/>
      <c r="AK5" s="197"/>
      <c r="AL5" s="197"/>
      <c r="AM5" s="197"/>
      <c r="AN5" s="197"/>
      <c r="AO5" s="197"/>
      <c r="AP5" s="197"/>
      <c r="AQ5" s="197"/>
      <c r="AR5" s="197"/>
      <c r="AS5" s="197"/>
      <c r="AT5" s="207"/>
    </row>
    <row r="6" spans="1:46" ht="60" customHeight="1" x14ac:dyDescent="0.35">
      <c r="A6" s="204" t="s">
        <v>2063</v>
      </c>
      <c r="B6" s="190" t="s">
        <v>4440</v>
      </c>
      <c r="C6" s="191" t="s">
        <v>4451</v>
      </c>
      <c r="D6" s="193" t="s">
        <v>4452</v>
      </c>
      <c r="E6" s="193" t="s">
        <v>4453</v>
      </c>
      <c r="F6" s="195" t="str">
        <f>IF(COUNTIF(G6:AT6,"&lt;&gt;")=0,"",SUMPRODUCT(((Recommendations[ImplStatus]="Implemented")+(Recommendations[ImplStatus]="Compensated"))*ISNUMBER(MATCH(Recommendations[Id],G6:AT6,0)))/COUNTIF(G6:AT6,"&lt;&gt;"))</f>
        <v/>
      </c>
      <c r="G6" s="197"/>
      <c r="H6" s="197"/>
      <c r="I6" s="197"/>
      <c r="J6" s="197"/>
      <c r="K6" s="197"/>
      <c r="L6" s="197"/>
      <c r="M6" s="197"/>
      <c r="N6" s="197"/>
      <c r="O6" s="197"/>
      <c r="P6" s="197"/>
      <c r="Q6" s="197"/>
      <c r="R6" s="197"/>
      <c r="S6" s="197"/>
      <c r="T6" s="197"/>
      <c r="U6" s="197"/>
      <c r="V6" s="197"/>
      <c r="W6" s="197"/>
      <c r="X6" s="197"/>
      <c r="Y6" s="197"/>
      <c r="Z6" s="197"/>
      <c r="AA6" s="197"/>
      <c r="AB6" s="197"/>
      <c r="AC6" s="197"/>
      <c r="AD6" s="197"/>
      <c r="AE6" s="197"/>
      <c r="AF6" s="197"/>
      <c r="AG6" s="197"/>
      <c r="AH6" s="197"/>
      <c r="AI6" s="197"/>
      <c r="AJ6" s="197"/>
      <c r="AK6" s="197"/>
      <c r="AL6" s="197"/>
      <c r="AM6" s="197"/>
      <c r="AN6" s="197"/>
      <c r="AO6" s="197"/>
      <c r="AP6" s="197"/>
      <c r="AQ6" s="197"/>
      <c r="AR6" s="197"/>
      <c r="AS6" s="197"/>
      <c r="AT6" s="207"/>
    </row>
    <row r="7" spans="1:46" ht="60" customHeight="1" x14ac:dyDescent="0.35">
      <c r="A7" s="204" t="s">
        <v>2063</v>
      </c>
      <c r="B7" s="190" t="s">
        <v>4440</v>
      </c>
      <c r="C7" s="191" t="s">
        <v>4454</v>
      </c>
      <c r="D7" s="193" t="s">
        <v>4455</v>
      </c>
      <c r="E7" s="193" t="s">
        <v>4456</v>
      </c>
      <c r="F7" s="195" t="str">
        <f>IF(COUNTIF(G7:AT7,"&lt;&gt;")=0,"",SUMPRODUCT(((Recommendations[ImplStatus]="Implemented")+(Recommendations[ImplStatus]="Compensated"))*ISNUMBER(MATCH(Recommendations[Id],G7:AT7,0)))/COUNTIF(G7:AT7,"&lt;&gt;"))</f>
        <v/>
      </c>
      <c r="G7" s="197"/>
      <c r="H7" s="197"/>
      <c r="I7" s="197"/>
      <c r="J7" s="197"/>
      <c r="K7" s="197"/>
      <c r="L7" s="197"/>
      <c r="M7" s="197"/>
      <c r="N7" s="197"/>
      <c r="O7" s="197"/>
      <c r="P7" s="197"/>
      <c r="Q7" s="197"/>
      <c r="R7" s="197"/>
      <c r="S7" s="197"/>
      <c r="T7" s="197"/>
      <c r="U7" s="197"/>
      <c r="V7" s="197"/>
      <c r="W7" s="197"/>
      <c r="X7" s="197"/>
      <c r="Y7" s="197"/>
      <c r="Z7" s="197"/>
      <c r="AA7" s="197"/>
      <c r="AB7" s="197"/>
      <c r="AC7" s="197"/>
      <c r="AD7" s="197"/>
      <c r="AE7" s="197"/>
      <c r="AF7" s="197"/>
      <c r="AG7" s="197"/>
      <c r="AH7" s="197"/>
      <c r="AI7" s="197"/>
      <c r="AJ7" s="197"/>
      <c r="AK7" s="197"/>
      <c r="AL7" s="197"/>
      <c r="AM7" s="197"/>
      <c r="AN7" s="197"/>
      <c r="AO7" s="197"/>
      <c r="AP7" s="197"/>
      <c r="AQ7" s="197"/>
      <c r="AR7" s="197"/>
      <c r="AS7" s="197"/>
      <c r="AT7" s="207"/>
    </row>
    <row r="8" spans="1:46" ht="60" customHeight="1" x14ac:dyDescent="0.35">
      <c r="A8" s="204" t="s">
        <v>2063</v>
      </c>
      <c r="B8" s="190" t="s">
        <v>4440</v>
      </c>
      <c r="C8" s="191" t="s">
        <v>4457</v>
      </c>
      <c r="D8" s="193" t="s">
        <v>4458</v>
      </c>
      <c r="E8" s="193" t="s">
        <v>4459</v>
      </c>
      <c r="F8" s="195" t="str">
        <f>IF(COUNTIF(G8:AT8,"&lt;&gt;")=0,"",SUMPRODUCT(((Recommendations[ImplStatus]="Implemented")+(Recommendations[ImplStatus]="Compensated"))*ISNUMBER(MATCH(Recommendations[Id],G8:AT8,0)))/COUNTIF(G8:AT8,"&lt;&gt;"))</f>
        <v/>
      </c>
      <c r="G8" s="197"/>
      <c r="H8" s="197"/>
      <c r="I8" s="197"/>
      <c r="J8" s="197"/>
      <c r="K8" s="197"/>
      <c r="L8" s="197"/>
      <c r="M8" s="197"/>
      <c r="N8" s="197"/>
      <c r="O8" s="197"/>
      <c r="P8" s="197"/>
      <c r="Q8" s="197"/>
      <c r="R8" s="197"/>
      <c r="S8" s="197"/>
      <c r="T8" s="197"/>
      <c r="U8" s="197"/>
      <c r="V8" s="197"/>
      <c r="W8" s="197"/>
      <c r="X8" s="197"/>
      <c r="Y8" s="197"/>
      <c r="Z8" s="197"/>
      <c r="AA8" s="197"/>
      <c r="AB8" s="197"/>
      <c r="AC8" s="197"/>
      <c r="AD8" s="197"/>
      <c r="AE8" s="197"/>
      <c r="AF8" s="197"/>
      <c r="AG8" s="197"/>
      <c r="AH8" s="197"/>
      <c r="AI8" s="197"/>
      <c r="AJ8" s="197"/>
      <c r="AK8" s="197"/>
      <c r="AL8" s="197"/>
      <c r="AM8" s="197"/>
      <c r="AN8" s="197"/>
      <c r="AO8" s="197"/>
      <c r="AP8" s="197"/>
      <c r="AQ8" s="197"/>
      <c r="AR8" s="197"/>
      <c r="AS8" s="197"/>
      <c r="AT8" s="207"/>
    </row>
    <row r="9" spans="1:46" ht="60" customHeight="1" x14ac:dyDescent="0.35">
      <c r="A9" s="204" t="s">
        <v>2063</v>
      </c>
      <c r="B9" s="190" t="s">
        <v>4440</v>
      </c>
      <c r="C9" s="191" t="s">
        <v>4460</v>
      </c>
      <c r="D9" s="193" t="s">
        <v>4461</v>
      </c>
      <c r="E9" s="193" t="s">
        <v>4462</v>
      </c>
      <c r="F9" s="195" t="str">
        <f>IF(COUNTIF(G9:AT9,"&lt;&gt;")=0,"",SUMPRODUCT(((Recommendations[ImplStatus]="Implemented")+(Recommendations[ImplStatus]="Compensated"))*ISNUMBER(MATCH(Recommendations[Id],G9:AT9,0)))/COUNTIF(G9:AT9,"&lt;&gt;"))</f>
        <v/>
      </c>
      <c r="G9" s="197"/>
      <c r="H9" s="197"/>
      <c r="I9" s="197"/>
      <c r="J9" s="197"/>
      <c r="K9" s="197"/>
      <c r="L9" s="197"/>
      <c r="M9" s="197"/>
      <c r="N9" s="197"/>
      <c r="O9" s="197"/>
      <c r="P9" s="197"/>
      <c r="Q9" s="197"/>
      <c r="R9" s="197"/>
      <c r="S9" s="197"/>
      <c r="T9" s="197"/>
      <c r="U9" s="197"/>
      <c r="V9" s="197"/>
      <c r="W9" s="197"/>
      <c r="X9" s="197"/>
      <c r="Y9" s="197"/>
      <c r="Z9" s="197"/>
      <c r="AA9" s="197"/>
      <c r="AB9" s="197"/>
      <c r="AC9" s="197"/>
      <c r="AD9" s="197"/>
      <c r="AE9" s="197"/>
      <c r="AF9" s="197"/>
      <c r="AG9" s="197"/>
      <c r="AH9" s="197"/>
      <c r="AI9" s="197"/>
      <c r="AJ9" s="197"/>
      <c r="AK9" s="197"/>
      <c r="AL9" s="197"/>
      <c r="AM9" s="197"/>
      <c r="AN9" s="197"/>
      <c r="AO9" s="197"/>
      <c r="AP9" s="197"/>
      <c r="AQ9" s="197"/>
      <c r="AR9" s="197"/>
      <c r="AS9" s="197"/>
      <c r="AT9" s="207"/>
    </row>
    <row r="10" spans="1:46" ht="60" customHeight="1" x14ac:dyDescent="0.35">
      <c r="A10" s="204" t="s">
        <v>2063</v>
      </c>
      <c r="B10" s="190" t="s">
        <v>4440</v>
      </c>
      <c r="C10" s="191" t="s">
        <v>4463</v>
      </c>
      <c r="D10" s="193" t="s">
        <v>4464</v>
      </c>
      <c r="E10" s="193" t="s">
        <v>4465</v>
      </c>
      <c r="F10" s="195" t="str">
        <f>IF(COUNTIF(G10:AT10,"&lt;&gt;")=0,"",SUMPRODUCT(((Recommendations[ImplStatus]="Implemented")+(Recommendations[ImplStatus]="Compensated"))*ISNUMBER(MATCH(Recommendations[Id],G10:AT10,0)))/COUNTIF(G10:AT10,"&lt;&gt;"))</f>
        <v/>
      </c>
      <c r="G10" s="197"/>
      <c r="H10" s="197"/>
      <c r="I10" s="197"/>
      <c r="J10" s="197"/>
      <c r="K10" s="197"/>
      <c r="L10" s="197"/>
      <c r="M10" s="197"/>
      <c r="N10" s="197"/>
      <c r="O10" s="197"/>
      <c r="P10" s="197"/>
      <c r="Q10" s="197"/>
      <c r="R10" s="197"/>
      <c r="S10" s="197"/>
      <c r="T10" s="197"/>
      <c r="U10" s="197"/>
      <c r="V10" s="197"/>
      <c r="W10" s="197"/>
      <c r="X10" s="197"/>
      <c r="Y10" s="197"/>
      <c r="Z10" s="197"/>
      <c r="AA10" s="197"/>
      <c r="AB10" s="197"/>
      <c r="AC10" s="197"/>
      <c r="AD10" s="197"/>
      <c r="AE10" s="197"/>
      <c r="AF10" s="197"/>
      <c r="AG10" s="197"/>
      <c r="AH10" s="197"/>
      <c r="AI10" s="197"/>
      <c r="AJ10" s="197"/>
      <c r="AK10" s="197"/>
      <c r="AL10" s="197"/>
      <c r="AM10" s="197"/>
      <c r="AN10" s="197"/>
      <c r="AO10" s="197"/>
      <c r="AP10" s="197"/>
      <c r="AQ10" s="197"/>
      <c r="AR10" s="197"/>
      <c r="AS10" s="197"/>
      <c r="AT10" s="207"/>
    </row>
    <row r="11" spans="1:46" ht="60" customHeight="1" x14ac:dyDescent="0.35">
      <c r="A11" s="204" t="s">
        <v>2063</v>
      </c>
      <c r="B11" s="190" t="s">
        <v>4440</v>
      </c>
      <c r="C11" s="191" t="s">
        <v>4466</v>
      </c>
      <c r="D11" s="193" t="s">
        <v>4467</v>
      </c>
      <c r="E11" s="193" t="s">
        <v>4468</v>
      </c>
      <c r="F11" s="195" t="str">
        <f>IF(COUNTIF(G11:AT11,"&lt;&gt;")=0,"",SUMPRODUCT(((Recommendations[ImplStatus]="Implemented")+(Recommendations[ImplStatus]="Compensated"))*ISNUMBER(MATCH(Recommendations[Id],G11:AT11,0)))/COUNTIF(G11:AT11,"&lt;&gt;"))</f>
        <v/>
      </c>
      <c r="G11" s="197"/>
      <c r="H11" s="197"/>
      <c r="I11" s="197"/>
      <c r="J11" s="197"/>
      <c r="K11" s="197"/>
      <c r="L11" s="197"/>
      <c r="M11" s="197"/>
      <c r="N11" s="197"/>
      <c r="O11" s="197"/>
      <c r="P11" s="197"/>
      <c r="Q11" s="197"/>
      <c r="R11" s="197"/>
      <c r="S11" s="197"/>
      <c r="T11" s="197"/>
      <c r="U11" s="197"/>
      <c r="V11" s="197"/>
      <c r="W11" s="197"/>
      <c r="X11" s="197"/>
      <c r="Y11" s="197"/>
      <c r="Z11" s="197"/>
      <c r="AA11" s="197"/>
      <c r="AB11" s="197"/>
      <c r="AC11" s="197"/>
      <c r="AD11" s="197"/>
      <c r="AE11" s="197"/>
      <c r="AF11" s="197"/>
      <c r="AG11" s="197"/>
      <c r="AH11" s="197"/>
      <c r="AI11" s="197"/>
      <c r="AJ11" s="197"/>
      <c r="AK11" s="197"/>
      <c r="AL11" s="197"/>
      <c r="AM11" s="197"/>
      <c r="AN11" s="197"/>
      <c r="AO11" s="197"/>
      <c r="AP11" s="197"/>
      <c r="AQ11" s="197"/>
      <c r="AR11" s="197"/>
      <c r="AS11" s="197"/>
      <c r="AT11" s="207"/>
    </row>
    <row r="12" spans="1:46" ht="60" customHeight="1" x14ac:dyDescent="0.35">
      <c r="A12" s="204" t="s">
        <v>2063</v>
      </c>
      <c r="B12" s="190" t="s">
        <v>4440</v>
      </c>
      <c r="C12" s="191" t="s">
        <v>4469</v>
      </c>
      <c r="D12" s="193" t="s">
        <v>4470</v>
      </c>
      <c r="E12" s="193" t="s">
        <v>4471</v>
      </c>
      <c r="F12" s="195" t="str">
        <f>IF(COUNTIF(G12:AT12,"&lt;&gt;")=0,"",SUMPRODUCT(((Recommendations[ImplStatus]="Implemented")+(Recommendations[ImplStatus]="Compensated"))*ISNUMBER(MATCH(Recommendations[Id],G12:AT12,0)))/COUNTIF(G12:AT12,"&lt;&gt;"))</f>
        <v/>
      </c>
      <c r="G12" s="197"/>
      <c r="H12" s="197"/>
      <c r="I12" s="197"/>
      <c r="J12" s="197"/>
      <c r="K12" s="197"/>
      <c r="L12" s="197"/>
      <c r="M12" s="197"/>
      <c r="N12" s="197"/>
      <c r="O12" s="197"/>
      <c r="P12" s="197"/>
      <c r="Q12" s="197"/>
      <c r="R12" s="197"/>
      <c r="S12" s="197"/>
      <c r="T12" s="197"/>
      <c r="U12" s="197"/>
      <c r="V12" s="197"/>
      <c r="W12" s="197"/>
      <c r="X12" s="197"/>
      <c r="Y12" s="197"/>
      <c r="Z12" s="197"/>
      <c r="AA12" s="197"/>
      <c r="AB12" s="197"/>
      <c r="AC12" s="197"/>
      <c r="AD12" s="197"/>
      <c r="AE12" s="197"/>
      <c r="AF12" s="197"/>
      <c r="AG12" s="197"/>
      <c r="AH12" s="197"/>
      <c r="AI12" s="197"/>
      <c r="AJ12" s="197"/>
      <c r="AK12" s="197"/>
      <c r="AL12" s="197"/>
      <c r="AM12" s="197"/>
      <c r="AN12" s="197"/>
      <c r="AO12" s="197"/>
      <c r="AP12" s="197"/>
      <c r="AQ12" s="197"/>
      <c r="AR12" s="197"/>
      <c r="AS12" s="197"/>
      <c r="AT12" s="207"/>
    </row>
    <row r="13" spans="1:46" ht="60" customHeight="1" x14ac:dyDescent="0.35">
      <c r="A13" s="204" t="s">
        <v>2063</v>
      </c>
      <c r="B13" s="190" t="s">
        <v>4440</v>
      </c>
      <c r="C13" s="191" t="s">
        <v>4472</v>
      </c>
      <c r="D13" s="193" t="s">
        <v>4473</v>
      </c>
      <c r="E13" s="193" t="s">
        <v>4474</v>
      </c>
      <c r="F13" s="195" t="str">
        <f>IF(COUNTIF(G13:AT13,"&lt;&gt;")=0,"",SUMPRODUCT(((Recommendations[ImplStatus]="Implemented")+(Recommendations[ImplStatus]="Compensated"))*ISNUMBER(MATCH(Recommendations[Id],G13:AT13,0)))/COUNTIF(G13:AT13,"&lt;&gt;"))</f>
        <v/>
      </c>
      <c r="G13" s="197"/>
      <c r="H13" s="197"/>
      <c r="I13" s="197"/>
      <c r="J13" s="197"/>
      <c r="K13" s="197"/>
      <c r="L13" s="197"/>
      <c r="M13" s="197"/>
      <c r="N13" s="197"/>
      <c r="O13" s="197"/>
      <c r="P13" s="197"/>
      <c r="Q13" s="197"/>
      <c r="R13" s="197"/>
      <c r="S13" s="197"/>
      <c r="T13" s="197"/>
      <c r="U13" s="197"/>
      <c r="V13" s="197"/>
      <c r="W13" s="197"/>
      <c r="X13" s="197"/>
      <c r="Y13" s="197"/>
      <c r="Z13" s="197"/>
      <c r="AA13" s="197"/>
      <c r="AB13" s="197"/>
      <c r="AC13" s="197"/>
      <c r="AD13" s="197"/>
      <c r="AE13" s="197"/>
      <c r="AF13" s="197"/>
      <c r="AG13" s="197"/>
      <c r="AH13" s="197"/>
      <c r="AI13" s="197"/>
      <c r="AJ13" s="197"/>
      <c r="AK13" s="197"/>
      <c r="AL13" s="197"/>
      <c r="AM13" s="197"/>
      <c r="AN13" s="197"/>
      <c r="AO13" s="197"/>
      <c r="AP13" s="197"/>
      <c r="AQ13" s="197"/>
      <c r="AR13" s="197"/>
      <c r="AS13" s="197"/>
      <c r="AT13" s="207"/>
    </row>
    <row r="14" spans="1:46" ht="60" customHeight="1" x14ac:dyDescent="0.35">
      <c r="A14" s="204" t="s">
        <v>2063</v>
      </c>
      <c r="B14" s="190" t="s">
        <v>4440</v>
      </c>
      <c r="C14" s="191" t="s">
        <v>4475</v>
      </c>
      <c r="D14" s="193" t="s">
        <v>4476</v>
      </c>
      <c r="E14" s="193" t="s">
        <v>4477</v>
      </c>
      <c r="F14" s="195" t="str">
        <f>IF(COUNTIF(G14:AT14,"&lt;&gt;")=0,"",SUMPRODUCT(((Recommendations[ImplStatus]="Implemented")+(Recommendations[ImplStatus]="Compensated"))*ISNUMBER(MATCH(Recommendations[Id],G14:AT14,0)))/COUNTIF(G14:AT14,"&lt;&gt;"))</f>
        <v/>
      </c>
      <c r="G14" s="197"/>
      <c r="H14" s="197"/>
      <c r="I14" s="197"/>
      <c r="J14" s="197"/>
      <c r="K14" s="197"/>
      <c r="L14" s="197"/>
      <c r="M14" s="197"/>
      <c r="N14" s="197"/>
      <c r="O14" s="197"/>
      <c r="P14" s="197"/>
      <c r="Q14" s="197"/>
      <c r="R14" s="197"/>
      <c r="S14" s="197"/>
      <c r="T14" s="197"/>
      <c r="U14" s="197"/>
      <c r="V14" s="197"/>
      <c r="W14" s="197"/>
      <c r="X14" s="197"/>
      <c r="Y14" s="197"/>
      <c r="Z14" s="197"/>
      <c r="AA14" s="197"/>
      <c r="AB14" s="197"/>
      <c r="AC14" s="197"/>
      <c r="AD14" s="197"/>
      <c r="AE14" s="197"/>
      <c r="AF14" s="197"/>
      <c r="AG14" s="197"/>
      <c r="AH14" s="197"/>
      <c r="AI14" s="197"/>
      <c r="AJ14" s="197"/>
      <c r="AK14" s="197"/>
      <c r="AL14" s="197"/>
      <c r="AM14" s="197"/>
      <c r="AN14" s="197"/>
      <c r="AO14" s="197"/>
      <c r="AP14" s="197"/>
      <c r="AQ14" s="197"/>
      <c r="AR14" s="197"/>
      <c r="AS14" s="197"/>
      <c r="AT14" s="207"/>
    </row>
    <row r="15" spans="1:46" ht="60" customHeight="1" x14ac:dyDescent="0.35">
      <c r="A15" s="204" t="s">
        <v>2063</v>
      </c>
      <c r="B15" s="190" t="s">
        <v>4440</v>
      </c>
      <c r="C15" s="191" t="s">
        <v>4478</v>
      </c>
      <c r="D15" s="193" t="s">
        <v>4479</v>
      </c>
      <c r="E15" s="193" t="s">
        <v>4480</v>
      </c>
      <c r="F15" s="195" t="str">
        <f>IF(COUNTIF(G15:AT15,"&lt;&gt;")=0,"",SUMPRODUCT(((Recommendations[ImplStatus]="Implemented")+(Recommendations[ImplStatus]="Compensated"))*ISNUMBER(MATCH(Recommendations[Id],G15:AT15,0)))/COUNTIF(G15:AT15,"&lt;&gt;"))</f>
        <v/>
      </c>
      <c r="G15" s="197"/>
      <c r="H15" s="197"/>
      <c r="I15" s="197"/>
      <c r="J15" s="197"/>
      <c r="K15" s="197"/>
      <c r="L15" s="197"/>
      <c r="M15" s="197"/>
      <c r="N15" s="197"/>
      <c r="O15" s="197"/>
      <c r="P15" s="197"/>
      <c r="Q15" s="197"/>
      <c r="R15" s="197"/>
      <c r="S15" s="197"/>
      <c r="T15" s="197"/>
      <c r="U15" s="197"/>
      <c r="V15" s="197"/>
      <c r="W15" s="197"/>
      <c r="X15" s="197"/>
      <c r="Y15" s="197"/>
      <c r="Z15" s="197"/>
      <c r="AA15" s="197"/>
      <c r="AB15" s="197"/>
      <c r="AC15" s="197"/>
      <c r="AD15" s="197"/>
      <c r="AE15" s="197"/>
      <c r="AF15" s="197"/>
      <c r="AG15" s="197"/>
      <c r="AH15" s="197"/>
      <c r="AI15" s="197"/>
      <c r="AJ15" s="197"/>
      <c r="AK15" s="197"/>
      <c r="AL15" s="197"/>
      <c r="AM15" s="197"/>
      <c r="AN15" s="197"/>
      <c r="AO15" s="197"/>
      <c r="AP15" s="197"/>
      <c r="AQ15" s="197"/>
      <c r="AR15" s="197"/>
      <c r="AS15" s="197"/>
      <c r="AT15" s="207"/>
    </row>
    <row r="16" spans="1:46" ht="60" customHeight="1" x14ac:dyDescent="0.35">
      <c r="A16" s="204" t="s">
        <v>2063</v>
      </c>
      <c r="B16" s="190" t="s">
        <v>4440</v>
      </c>
      <c r="C16" s="191" t="s">
        <v>4481</v>
      </c>
      <c r="D16" s="193" t="s">
        <v>4482</v>
      </c>
      <c r="E16" s="193" t="s">
        <v>4483</v>
      </c>
      <c r="F16" s="195" t="str">
        <f>IF(COUNTIF(G16:AT16,"&lt;&gt;")=0,"",SUMPRODUCT(((Recommendations[ImplStatus]="Implemented")+(Recommendations[ImplStatus]="Compensated"))*ISNUMBER(MATCH(Recommendations[Id],G16:AT16,0)))/COUNTIF(G16:AT16,"&lt;&gt;"))</f>
        <v/>
      </c>
      <c r="G16" s="197"/>
      <c r="H16" s="197"/>
      <c r="I16" s="197"/>
      <c r="J16" s="197"/>
      <c r="K16" s="197"/>
      <c r="L16" s="197"/>
      <c r="M16" s="197"/>
      <c r="N16" s="197"/>
      <c r="O16" s="197"/>
      <c r="P16" s="197"/>
      <c r="Q16" s="197"/>
      <c r="R16" s="197"/>
      <c r="S16" s="197"/>
      <c r="T16" s="197"/>
      <c r="U16" s="197"/>
      <c r="V16" s="197"/>
      <c r="W16" s="197"/>
      <c r="X16" s="197"/>
      <c r="Y16" s="197"/>
      <c r="Z16" s="197"/>
      <c r="AA16" s="197"/>
      <c r="AB16" s="197"/>
      <c r="AC16" s="197"/>
      <c r="AD16" s="197"/>
      <c r="AE16" s="197"/>
      <c r="AF16" s="197"/>
      <c r="AG16" s="197"/>
      <c r="AH16" s="197"/>
      <c r="AI16" s="197"/>
      <c r="AJ16" s="197"/>
      <c r="AK16" s="197"/>
      <c r="AL16" s="197"/>
      <c r="AM16" s="197"/>
      <c r="AN16" s="197"/>
      <c r="AO16" s="197"/>
      <c r="AP16" s="197"/>
      <c r="AQ16" s="197"/>
      <c r="AR16" s="197"/>
      <c r="AS16" s="197"/>
      <c r="AT16" s="207"/>
    </row>
    <row r="17" spans="1:46" ht="60" customHeight="1" x14ac:dyDescent="0.35">
      <c r="A17" s="204" t="s">
        <v>2063</v>
      </c>
      <c r="B17" s="190" t="s">
        <v>4440</v>
      </c>
      <c r="C17" s="191" t="s">
        <v>4484</v>
      </c>
      <c r="D17" s="193" t="s">
        <v>4485</v>
      </c>
      <c r="E17" s="193" t="s">
        <v>4486</v>
      </c>
      <c r="F17" s="195" t="str">
        <f>IF(COUNTIF(G17:AT17,"&lt;&gt;")=0,"",SUMPRODUCT(((Recommendations[ImplStatus]="Implemented")+(Recommendations[ImplStatus]="Compensated"))*ISNUMBER(MATCH(Recommendations[Id],G17:AT17,0)))/COUNTIF(G17:AT17,"&lt;&gt;"))</f>
        <v/>
      </c>
      <c r="G17" s="197"/>
      <c r="H17" s="197"/>
      <c r="I17" s="197"/>
      <c r="J17" s="197"/>
      <c r="K17" s="197"/>
      <c r="L17" s="197"/>
      <c r="M17" s="197"/>
      <c r="N17" s="197"/>
      <c r="O17" s="197"/>
      <c r="P17" s="197"/>
      <c r="Q17" s="197"/>
      <c r="R17" s="197"/>
      <c r="S17" s="197"/>
      <c r="T17" s="197"/>
      <c r="U17" s="197"/>
      <c r="V17" s="197"/>
      <c r="W17" s="197"/>
      <c r="X17" s="197"/>
      <c r="Y17" s="197"/>
      <c r="Z17" s="197"/>
      <c r="AA17" s="197"/>
      <c r="AB17" s="197"/>
      <c r="AC17" s="197"/>
      <c r="AD17" s="197"/>
      <c r="AE17" s="197"/>
      <c r="AF17" s="197"/>
      <c r="AG17" s="197"/>
      <c r="AH17" s="197"/>
      <c r="AI17" s="197"/>
      <c r="AJ17" s="197"/>
      <c r="AK17" s="197"/>
      <c r="AL17" s="197"/>
      <c r="AM17" s="197"/>
      <c r="AN17" s="197"/>
      <c r="AO17" s="197"/>
      <c r="AP17" s="197"/>
      <c r="AQ17" s="197"/>
      <c r="AR17" s="197"/>
      <c r="AS17" s="197"/>
      <c r="AT17" s="207"/>
    </row>
    <row r="18" spans="1:46" ht="60" customHeight="1" x14ac:dyDescent="0.35">
      <c r="A18" s="204" t="s">
        <v>2063</v>
      </c>
      <c r="B18" s="190" t="s">
        <v>4440</v>
      </c>
      <c r="C18" s="191" t="s">
        <v>4487</v>
      </c>
      <c r="D18" s="193" t="s">
        <v>4488</v>
      </c>
      <c r="E18" s="193" t="s">
        <v>4489</v>
      </c>
      <c r="F18" s="195" t="str">
        <f>IF(COUNTIF(G18:AT18,"&lt;&gt;")=0,"",SUMPRODUCT(((Recommendations[ImplStatus]="Implemented")+(Recommendations[ImplStatus]="Compensated"))*ISNUMBER(MATCH(Recommendations[Id],G18:AT18,0)))/COUNTIF(G18:AT18,"&lt;&gt;"))</f>
        <v/>
      </c>
      <c r="G18" s="197"/>
      <c r="H18" s="197"/>
      <c r="I18" s="197"/>
      <c r="J18" s="197"/>
      <c r="K18" s="197"/>
      <c r="L18" s="197"/>
      <c r="M18" s="197"/>
      <c r="N18" s="197"/>
      <c r="O18" s="197"/>
      <c r="P18" s="197"/>
      <c r="Q18" s="197"/>
      <c r="R18" s="197"/>
      <c r="S18" s="197"/>
      <c r="T18" s="197"/>
      <c r="U18" s="197"/>
      <c r="V18" s="197"/>
      <c r="W18" s="197"/>
      <c r="X18" s="197"/>
      <c r="Y18" s="197"/>
      <c r="Z18" s="197"/>
      <c r="AA18" s="197"/>
      <c r="AB18" s="197"/>
      <c r="AC18" s="197"/>
      <c r="AD18" s="197"/>
      <c r="AE18" s="197"/>
      <c r="AF18" s="197"/>
      <c r="AG18" s="197"/>
      <c r="AH18" s="197"/>
      <c r="AI18" s="197"/>
      <c r="AJ18" s="197"/>
      <c r="AK18" s="197"/>
      <c r="AL18" s="197"/>
      <c r="AM18" s="197"/>
      <c r="AN18" s="197"/>
      <c r="AO18" s="197"/>
      <c r="AP18" s="197"/>
      <c r="AQ18" s="197"/>
      <c r="AR18" s="197"/>
      <c r="AS18" s="197"/>
      <c r="AT18" s="207"/>
    </row>
    <row r="19" spans="1:46" ht="60" customHeight="1" outlineLevel="1" x14ac:dyDescent="0.35">
      <c r="A19" s="203" t="s">
        <v>2063</v>
      </c>
      <c r="B19" s="189" t="s">
        <v>4490</v>
      </c>
      <c r="C19" s="189"/>
      <c r="D19" s="192" t="s">
        <v>4491</v>
      </c>
      <c r="E19" s="192"/>
      <c r="F19" s="194" t="str">
        <f>IF(COUNTIF(G19:AT19,"&lt;&gt;")=0,"",SUMPRODUCT(((Recommendations[ImplStatus]="Implemented")+(Recommendations[ImplStatus]="Compensated"))*ISNUMBER(MATCH(Recommendations[Id],G19:AT19,0)))/COUNTIF(G19:AT19,"&lt;&gt;"))</f>
        <v/>
      </c>
      <c r="G19" s="196"/>
      <c r="H19" s="196"/>
      <c r="I19" s="196"/>
      <c r="J19" s="196"/>
      <c r="K19" s="196"/>
      <c r="L19" s="196"/>
      <c r="M19" s="196"/>
      <c r="N19" s="196"/>
      <c r="O19" s="196"/>
      <c r="P19" s="196"/>
      <c r="Q19" s="196"/>
      <c r="R19" s="196"/>
      <c r="S19" s="196"/>
      <c r="T19" s="196"/>
      <c r="U19" s="196"/>
      <c r="V19" s="196"/>
      <c r="W19" s="196"/>
      <c r="X19" s="196"/>
      <c r="Y19" s="196"/>
      <c r="Z19" s="196"/>
      <c r="AA19" s="196"/>
      <c r="AB19" s="196"/>
      <c r="AC19" s="196"/>
      <c r="AD19" s="196"/>
      <c r="AE19" s="196"/>
      <c r="AF19" s="196"/>
      <c r="AG19" s="196"/>
      <c r="AH19" s="196"/>
      <c r="AI19" s="196"/>
      <c r="AJ19" s="196"/>
      <c r="AK19" s="196"/>
      <c r="AL19" s="196"/>
      <c r="AM19" s="196"/>
      <c r="AN19" s="196"/>
      <c r="AO19" s="196"/>
      <c r="AP19" s="196"/>
      <c r="AQ19" s="196"/>
      <c r="AR19" s="196"/>
      <c r="AS19" s="196"/>
      <c r="AT19" s="206"/>
    </row>
    <row r="20" spans="1:46" ht="60" customHeight="1" x14ac:dyDescent="0.35">
      <c r="A20" s="204" t="s">
        <v>2063</v>
      </c>
      <c r="B20" s="190" t="s">
        <v>4490</v>
      </c>
      <c r="C20" s="191" t="s">
        <v>4492</v>
      </c>
      <c r="D20" s="193" t="s">
        <v>4493</v>
      </c>
      <c r="E20" s="193" t="s">
        <v>4494</v>
      </c>
      <c r="F20" s="195" t="str">
        <f>IF(COUNTIF(G20:AT20,"&lt;&gt;")=0,"",SUMPRODUCT(((Recommendations[ImplStatus]="Implemented")+(Recommendations[ImplStatus]="Compensated"))*ISNUMBER(MATCH(Recommendations[Id],G20:AT20,0)))/COUNTIF(G20:AT20,"&lt;&gt;"))</f>
        <v/>
      </c>
      <c r="G20" s="197"/>
      <c r="H20" s="197"/>
      <c r="I20" s="197"/>
      <c r="J20" s="197"/>
      <c r="K20" s="197"/>
      <c r="L20" s="197"/>
      <c r="M20" s="197"/>
      <c r="N20" s="197"/>
      <c r="O20" s="197"/>
      <c r="P20" s="197"/>
      <c r="Q20" s="197"/>
      <c r="R20" s="197"/>
      <c r="S20" s="197"/>
      <c r="T20" s="197"/>
      <c r="U20" s="197"/>
      <c r="V20" s="197"/>
      <c r="W20" s="197"/>
      <c r="X20" s="197"/>
      <c r="Y20" s="197"/>
      <c r="Z20" s="197"/>
      <c r="AA20" s="197"/>
      <c r="AB20" s="197"/>
      <c r="AC20" s="197"/>
      <c r="AD20" s="197"/>
      <c r="AE20" s="197"/>
      <c r="AF20" s="197"/>
      <c r="AG20" s="197"/>
      <c r="AH20" s="197"/>
      <c r="AI20" s="197"/>
      <c r="AJ20" s="197"/>
      <c r="AK20" s="197"/>
      <c r="AL20" s="197"/>
      <c r="AM20" s="197"/>
      <c r="AN20" s="197"/>
      <c r="AO20" s="197"/>
      <c r="AP20" s="197"/>
      <c r="AQ20" s="197"/>
      <c r="AR20" s="197"/>
      <c r="AS20" s="197"/>
      <c r="AT20" s="207"/>
    </row>
    <row r="21" spans="1:46" ht="60" customHeight="1" x14ac:dyDescent="0.35">
      <c r="A21" s="204" t="s">
        <v>2063</v>
      </c>
      <c r="B21" s="190" t="s">
        <v>4490</v>
      </c>
      <c r="C21" s="191" t="s">
        <v>4495</v>
      </c>
      <c r="D21" s="193" t="s">
        <v>4496</v>
      </c>
      <c r="E21" s="193" t="s">
        <v>4497</v>
      </c>
      <c r="F21" s="195" t="str">
        <f>IF(COUNTIF(G21:AT21,"&lt;&gt;")=0,"",SUMPRODUCT(((Recommendations[ImplStatus]="Implemented")+(Recommendations[ImplStatus]="Compensated"))*ISNUMBER(MATCH(Recommendations[Id],G21:AT21,0)))/COUNTIF(G21:AT21,"&lt;&gt;"))</f>
        <v/>
      </c>
      <c r="G21" s="197"/>
      <c r="H21" s="197"/>
      <c r="I21" s="197"/>
      <c r="J21" s="197"/>
      <c r="K21" s="197"/>
      <c r="L21" s="197"/>
      <c r="M21" s="197"/>
      <c r="N21" s="197"/>
      <c r="O21" s="197"/>
      <c r="P21" s="197"/>
      <c r="Q21" s="197"/>
      <c r="R21" s="197"/>
      <c r="S21" s="197"/>
      <c r="T21" s="197"/>
      <c r="U21" s="197"/>
      <c r="V21" s="197"/>
      <c r="W21" s="197"/>
      <c r="X21" s="197"/>
      <c r="Y21" s="197"/>
      <c r="Z21" s="197"/>
      <c r="AA21" s="197"/>
      <c r="AB21" s="197"/>
      <c r="AC21" s="197"/>
      <c r="AD21" s="197"/>
      <c r="AE21" s="197"/>
      <c r="AF21" s="197"/>
      <c r="AG21" s="197"/>
      <c r="AH21" s="197"/>
      <c r="AI21" s="197"/>
      <c r="AJ21" s="197"/>
      <c r="AK21" s="197"/>
      <c r="AL21" s="197"/>
      <c r="AM21" s="197"/>
      <c r="AN21" s="197"/>
      <c r="AO21" s="197"/>
      <c r="AP21" s="197"/>
      <c r="AQ21" s="197"/>
      <c r="AR21" s="197"/>
      <c r="AS21" s="197"/>
      <c r="AT21" s="207"/>
    </row>
    <row r="22" spans="1:46" ht="60" customHeight="1" x14ac:dyDescent="0.35">
      <c r="A22" s="204" t="s">
        <v>2063</v>
      </c>
      <c r="B22" s="190" t="s">
        <v>4490</v>
      </c>
      <c r="C22" s="191" t="s">
        <v>4498</v>
      </c>
      <c r="D22" s="193" t="s">
        <v>4499</v>
      </c>
      <c r="E22" s="193" t="s">
        <v>4500</v>
      </c>
      <c r="F22" s="195" t="str">
        <f>IF(COUNTIF(G22:AT22,"&lt;&gt;")=0,"",SUMPRODUCT(((Recommendations[ImplStatus]="Implemented")+(Recommendations[ImplStatus]="Compensated"))*ISNUMBER(MATCH(Recommendations[Id],G22:AT22,0)))/COUNTIF(G22:AT22,"&lt;&gt;"))</f>
        <v/>
      </c>
      <c r="G22" s="197"/>
      <c r="H22" s="197"/>
      <c r="I22" s="197"/>
      <c r="J22" s="197"/>
      <c r="K22" s="197"/>
      <c r="L22" s="197"/>
      <c r="M22" s="197"/>
      <c r="N22" s="197"/>
      <c r="O22" s="197"/>
      <c r="P22" s="197"/>
      <c r="Q22" s="197"/>
      <c r="R22" s="197"/>
      <c r="S22" s="197"/>
      <c r="T22" s="197"/>
      <c r="U22" s="197"/>
      <c r="V22" s="197"/>
      <c r="W22" s="197"/>
      <c r="X22" s="197"/>
      <c r="Y22" s="197"/>
      <c r="Z22" s="197"/>
      <c r="AA22" s="197"/>
      <c r="AB22" s="197"/>
      <c r="AC22" s="197"/>
      <c r="AD22" s="197"/>
      <c r="AE22" s="197"/>
      <c r="AF22" s="197"/>
      <c r="AG22" s="197"/>
      <c r="AH22" s="197"/>
      <c r="AI22" s="197"/>
      <c r="AJ22" s="197"/>
      <c r="AK22" s="197"/>
      <c r="AL22" s="197"/>
      <c r="AM22" s="197"/>
      <c r="AN22" s="197"/>
      <c r="AO22" s="197"/>
      <c r="AP22" s="197"/>
      <c r="AQ22" s="197"/>
      <c r="AR22" s="197"/>
      <c r="AS22" s="197"/>
      <c r="AT22" s="207"/>
    </row>
    <row r="23" spans="1:46" ht="60" customHeight="1" x14ac:dyDescent="0.35">
      <c r="A23" s="204" t="s">
        <v>2063</v>
      </c>
      <c r="B23" s="190" t="s">
        <v>4490</v>
      </c>
      <c r="C23" s="191" t="s">
        <v>4501</v>
      </c>
      <c r="D23" s="193" t="s">
        <v>4502</v>
      </c>
      <c r="E23" s="193" t="s">
        <v>4503</v>
      </c>
      <c r="F23" s="195" t="str">
        <f>IF(COUNTIF(G23:AT23,"&lt;&gt;")=0,"",SUMPRODUCT(((Recommendations[ImplStatus]="Implemented")+(Recommendations[ImplStatus]="Compensated"))*ISNUMBER(MATCH(Recommendations[Id],G23:AT23,0)))/COUNTIF(G23:AT23,"&lt;&gt;"))</f>
        <v/>
      </c>
      <c r="G23" s="197"/>
      <c r="H23" s="197"/>
      <c r="I23" s="197"/>
      <c r="J23" s="197"/>
      <c r="K23" s="197"/>
      <c r="L23" s="197"/>
      <c r="M23" s="197"/>
      <c r="N23" s="197"/>
      <c r="O23" s="197"/>
      <c r="P23" s="197"/>
      <c r="Q23" s="197"/>
      <c r="R23" s="197"/>
      <c r="S23" s="197"/>
      <c r="T23" s="197"/>
      <c r="U23" s="197"/>
      <c r="V23" s="197"/>
      <c r="W23" s="197"/>
      <c r="X23" s="197"/>
      <c r="Y23" s="197"/>
      <c r="Z23" s="197"/>
      <c r="AA23" s="197"/>
      <c r="AB23" s="197"/>
      <c r="AC23" s="197"/>
      <c r="AD23" s="197"/>
      <c r="AE23" s="197"/>
      <c r="AF23" s="197"/>
      <c r="AG23" s="197"/>
      <c r="AH23" s="197"/>
      <c r="AI23" s="197"/>
      <c r="AJ23" s="197"/>
      <c r="AK23" s="197"/>
      <c r="AL23" s="197"/>
      <c r="AM23" s="197"/>
      <c r="AN23" s="197"/>
      <c r="AO23" s="197"/>
      <c r="AP23" s="197"/>
      <c r="AQ23" s="197"/>
      <c r="AR23" s="197"/>
      <c r="AS23" s="197"/>
      <c r="AT23" s="207"/>
    </row>
    <row r="24" spans="1:46" ht="60" customHeight="1" x14ac:dyDescent="0.35">
      <c r="A24" s="204" t="s">
        <v>2063</v>
      </c>
      <c r="B24" s="190" t="s">
        <v>4490</v>
      </c>
      <c r="C24" s="191" t="s">
        <v>4504</v>
      </c>
      <c r="D24" s="193" t="s">
        <v>4505</v>
      </c>
      <c r="E24" s="193" t="s">
        <v>4506</v>
      </c>
      <c r="F24" s="195" t="str">
        <f>IF(COUNTIF(G24:AT24,"&lt;&gt;")=0,"",SUMPRODUCT(((Recommendations[ImplStatus]="Implemented")+(Recommendations[ImplStatus]="Compensated"))*ISNUMBER(MATCH(Recommendations[Id],G24:AT24,0)))/COUNTIF(G24:AT24,"&lt;&gt;"))</f>
        <v/>
      </c>
      <c r="G24" s="197"/>
      <c r="H24" s="197"/>
      <c r="I24" s="197"/>
      <c r="J24" s="197"/>
      <c r="K24" s="197"/>
      <c r="L24" s="197"/>
      <c r="M24" s="197"/>
      <c r="N24" s="197"/>
      <c r="O24" s="197"/>
      <c r="P24" s="197"/>
      <c r="Q24" s="197"/>
      <c r="R24" s="197"/>
      <c r="S24" s="197"/>
      <c r="T24" s="197"/>
      <c r="U24" s="197"/>
      <c r="V24" s="197"/>
      <c r="W24" s="197"/>
      <c r="X24" s="197"/>
      <c r="Y24" s="197"/>
      <c r="Z24" s="197"/>
      <c r="AA24" s="197"/>
      <c r="AB24" s="197"/>
      <c r="AC24" s="197"/>
      <c r="AD24" s="197"/>
      <c r="AE24" s="197"/>
      <c r="AF24" s="197"/>
      <c r="AG24" s="197"/>
      <c r="AH24" s="197"/>
      <c r="AI24" s="197"/>
      <c r="AJ24" s="197"/>
      <c r="AK24" s="197"/>
      <c r="AL24" s="197"/>
      <c r="AM24" s="197"/>
      <c r="AN24" s="197"/>
      <c r="AO24" s="197"/>
      <c r="AP24" s="197"/>
      <c r="AQ24" s="197"/>
      <c r="AR24" s="197"/>
      <c r="AS24" s="197"/>
      <c r="AT24" s="207"/>
    </row>
    <row r="25" spans="1:46" ht="60" customHeight="1" x14ac:dyDescent="0.35">
      <c r="A25" s="204" t="s">
        <v>2063</v>
      </c>
      <c r="B25" s="190" t="s">
        <v>4490</v>
      </c>
      <c r="C25" s="191" t="s">
        <v>4507</v>
      </c>
      <c r="D25" s="193" t="s">
        <v>4508</v>
      </c>
      <c r="E25" s="193" t="s">
        <v>4509</v>
      </c>
      <c r="F25" s="195" t="str">
        <f>IF(COUNTIF(G25:AT25,"&lt;&gt;")=0,"",SUMPRODUCT(((Recommendations[ImplStatus]="Implemented")+(Recommendations[ImplStatus]="Compensated"))*ISNUMBER(MATCH(Recommendations[Id],G25:AT25,0)))/COUNTIF(G25:AT25,"&lt;&gt;"))</f>
        <v/>
      </c>
      <c r="G25" s="197"/>
      <c r="H25" s="197"/>
      <c r="I25" s="197"/>
      <c r="J25" s="197"/>
      <c r="K25" s="197"/>
      <c r="L25" s="197"/>
      <c r="M25" s="197"/>
      <c r="N25" s="197"/>
      <c r="O25" s="197"/>
      <c r="P25" s="197"/>
      <c r="Q25" s="197"/>
      <c r="R25" s="197"/>
      <c r="S25" s="197"/>
      <c r="T25" s="197"/>
      <c r="U25" s="197"/>
      <c r="V25" s="197"/>
      <c r="W25" s="197"/>
      <c r="X25" s="197"/>
      <c r="Y25" s="197"/>
      <c r="Z25" s="197"/>
      <c r="AA25" s="197"/>
      <c r="AB25" s="197"/>
      <c r="AC25" s="197"/>
      <c r="AD25" s="197"/>
      <c r="AE25" s="197"/>
      <c r="AF25" s="197"/>
      <c r="AG25" s="197"/>
      <c r="AH25" s="197"/>
      <c r="AI25" s="197"/>
      <c r="AJ25" s="197"/>
      <c r="AK25" s="197"/>
      <c r="AL25" s="197"/>
      <c r="AM25" s="197"/>
      <c r="AN25" s="197"/>
      <c r="AO25" s="197"/>
      <c r="AP25" s="197"/>
      <c r="AQ25" s="197"/>
      <c r="AR25" s="197"/>
      <c r="AS25" s="197"/>
      <c r="AT25" s="207"/>
    </row>
    <row r="26" spans="1:46" ht="60" customHeight="1" x14ac:dyDescent="0.35">
      <c r="A26" s="204" t="s">
        <v>2063</v>
      </c>
      <c r="B26" s="190" t="s">
        <v>4490</v>
      </c>
      <c r="C26" s="191" t="s">
        <v>4510</v>
      </c>
      <c r="D26" s="193" t="s">
        <v>4511</v>
      </c>
      <c r="E26" s="193" t="s">
        <v>4512</v>
      </c>
      <c r="F26" s="195" t="str">
        <f>IF(COUNTIF(G26:AT26,"&lt;&gt;")=0,"",SUMPRODUCT(((Recommendations[ImplStatus]="Implemented")+(Recommendations[ImplStatus]="Compensated"))*ISNUMBER(MATCH(Recommendations[Id],G26:AT26,0)))/COUNTIF(G26:AT26,"&lt;&gt;"))</f>
        <v/>
      </c>
      <c r="G26" s="197"/>
      <c r="H26" s="197"/>
      <c r="I26" s="197"/>
      <c r="J26" s="197"/>
      <c r="K26" s="197"/>
      <c r="L26" s="197"/>
      <c r="M26" s="197"/>
      <c r="N26" s="197"/>
      <c r="O26" s="197"/>
      <c r="P26" s="197"/>
      <c r="Q26" s="197"/>
      <c r="R26" s="197"/>
      <c r="S26" s="197"/>
      <c r="T26" s="197"/>
      <c r="U26" s="197"/>
      <c r="V26" s="197"/>
      <c r="W26" s="197"/>
      <c r="X26" s="197"/>
      <c r="Y26" s="197"/>
      <c r="Z26" s="197"/>
      <c r="AA26" s="197"/>
      <c r="AB26" s="197"/>
      <c r="AC26" s="197"/>
      <c r="AD26" s="197"/>
      <c r="AE26" s="197"/>
      <c r="AF26" s="197"/>
      <c r="AG26" s="197"/>
      <c r="AH26" s="197"/>
      <c r="AI26" s="197"/>
      <c r="AJ26" s="197"/>
      <c r="AK26" s="197"/>
      <c r="AL26" s="197"/>
      <c r="AM26" s="197"/>
      <c r="AN26" s="197"/>
      <c r="AO26" s="197"/>
      <c r="AP26" s="197"/>
      <c r="AQ26" s="197"/>
      <c r="AR26" s="197"/>
      <c r="AS26" s="197"/>
      <c r="AT26" s="207"/>
    </row>
    <row r="27" spans="1:46" ht="60" customHeight="1" x14ac:dyDescent="0.35">
      <c r="A27" s="204" t="s">
        <v>2063</v>
      </c>
      <c r="B27" s="190" t="s">
        <v>4490</v>
      </c>
      <c r="C27" s="191" t="s">
        <v>4513</v>
      </c>
      <c r="D27" s="193" t="s">
        <v>4514</v>
      </c>
      <c r="E27" s="193" t="s">
        <v>4515</v>
      </c>
      <c r="F27" s="195" t="str">
        <f>IF(COUNTIF(G27:AT27,"&lt;&gt;")=0,"",SUMPRODUCT(((Recommendations[ImplStatus]="Implemented")+(Recommendations[ImplStatus]="Compensated"))*ISNUMBER(MATCH(Recommendations[Id],G27:AT27,0)))/COUNTIF(G27:AT27,"&lt;&gt;"))</f>
        <v/>
      </c>
      <c r="G27" s="197"/>
      <c r="H27" s="197"/>
      <c r="I27" s="197"/>
      <c r="J27" s="197"/>
      <c r="K27" s="197"/>
      <c r="L27" s="197"/>
      <c r="M27" s="197"/>
      <c r="N27" s="197"/>
      <c r="O27" s="197"/>
      <c r="P27" s="197"/>
      <c r="Q27" s="197"/>
      <c r="R27" s="197"/>
      <c r="S27" s="197"/>
      <c r="T27" s="197"/>
      <c r="U27" s="197"/>
      <c r="V27" s="197"/>
      <c r="W27" s="197"/>
      <c r="X27" s="197"/>
      <c r="Y27" s="197"/>
      <c r="Z27" s="197"/>
      <c r="AA27" s="197"/>
      <c r="AB27" s="197"/>
      <c r="AC27" s="197"/>
      <c r="AD27" s="197"/>
      <c r="AE27" s="197"/>
      <c r="AF27" s="197"/>
      <c r="AG27" s="197"/>
      <c r="AH27" s="197"/>
      <c r="AI27" s="197"/>
      <c r="AJ27" s="197"/>
      <c r="AK27" s="197"/>
      <c r="AL27" s="197"/>
      <c r="AM27" s="197"/>
      <c r="AN27" s="197"/>
      <c r="AO27" s="197"/>
      <c r="AP27" s="197"/>
      <c r="AQ27" s="197"/>
      <c r="AR27" s="197"/>
      <c r="AS27" s="197"/>
      <c r="AT27" s="207"/>
    </row>
    <row r="28" spans="1:46" ht="60" customHeight="1" x14ac:dyDescent="0.35">
      <c r="A28" s="204" t="s">
        <v>2063</v>
      </c>
      <c r="B28" s="190" t="s">
        <v>4490</v>
      </c>
      <c r="C28" s="191" t="s">
        <v>4516</v>
      </c>
      <c r="D28" s="193" t="s">
        <v>4517</v>
      </c>
      <c r="E28" s="193" t="s">
        <v>4518</v>
      </c>
      <c r="F28" s="195" t="str">
        <f>IF(COUNTIF(G28:AT28,"&lt;&gt;")=0,"",SUMPRODUCT(((Recommendations[ImplStatus]="Implemented")+(Recommendations[ImplStatus]="Compensated"))*ISNUMBER(MATCH(Recommendations[Id],G28:AT28,0)))/COUNTIF(G28:AT28,"&lt;&gt;"))</f>
        <v/>
      </c>
      <c r="G28" s="197"/>
      <c r="H28" s="197"/>
      <c r="I28" s="197"/>
      <c r="J28" s="197"/>
      <c r="K28" s="197"/>
      <c r="L28" s="197"/>
      <c r="M28" s="197"/>
      <c r="N28" s="197"/>
      <c r="O28" s="197"/>
      <c r="P28" s="197"/>
      <c r="Q28" s="197"/>
      <c r="R28" s="197"/>
      <c r="S28" s="197"/>
      <c r="T28" s="197"/>
      <c r="U28" s="197"/>
      <c r="V28" s="197"/>
      <c r="W28" s="197"/>
      <c r="X28" s="197"/>
      <c r="Y28" s="197"/>
      <c r="Z28" s="197"/>
      <c r="AA28" s="197"/>
      <c r="AB28" s="197"/>
      <c r="AC28" s="197"/>
      <c r="AD28" s="197"/>
      <c r="AE28" s="197"/>
      <c r="AF28" s="197"/>
      <c r="AG28" s="197"/>
      <c r="AH28" s="197"/>
      <c r="AI28" s="197"/>
      <c r="AJ28" s="197"/>
      <c r="AK28" s="197"/>
      <c r="AL28" s="197"/>
      <c r="AM28" s="197"/>
      <c r="AN28" s="197"/>
      <c r="AO28" s="197"/>
      <c r="AP28" s="197"/>
      <c r="AQ28" s="197"/>
      <c r="AR28" s="197"/>
      <c r="AS28" s="197"/>
      <c r="AT28" s="207"/>
    </row>
    <row r="29" spans="1:46" ht="60" customHeight="1" x14ac:dyDescent="0.35">
      <c r="A29" s="204" t="s">
        <v>2063</v>
      </c>
      <c r="B29" s="190" t="s">
        <v>4490</v>
      </c>
      <c r="C29" s="191" t="s">
        <v>4519</v>
      </c>
      <c r="D29" s="193" t="s">
        <v>4520</v>
      </c>
      <c r="E29" s="193" t="s">
        <v>4521</v>
      </c>
      <c r="F29" s="195" t="str">
        <f>IF(COUNTIF(G29:AT29,"&lt;&gt;")=0,"",SUMPRODUCT(((Recommendations[ImplStatus]="Implemented")+(Recommendations[ImplStatus]="Compensated"))*ISNUMBER(MATCH(Recommendations[Id],G29:AT29,0)))/COUNTIF(G29:AT29,"&lt;&gt;"))</f>
        <v/>
      </c>
      <c r="G29" s="197"/>
      <c r="H29" s="197"/>
      <c r="I29" s="197"/>
      <c r="J29" s="197"/>
      <c r="K29" s="197"/>
      <c r="L29" s="197"/>
      <c r="M29" s="197"/>
      <c r="N29" s="197"/>
      <c r="O29" s="197"/>
      <c r="P29" s="197"/>
      <c r="Q29" s="197"/>
      <c r="R29" s="197"/>
      <c r="S29" s="197"/>
      <c r="T29" s="197"/>
      <c r="U29" s="197"/>
      <c r="V29" s="197"/>
      <c r="W29" s="197"/>
      <c r="X29" s="197"/>
      <c r="Y29" s="197"/>
      <c r="Z29" s="197"/>
      <c r="AA29" s="197"/>
      <c r="AB29" s="197"/>
      <c r="AC29" s="197"/>
      <c r="AD29" s="197"/>
      <c r="AE29" s="197"/>
      <c r="AF29" s="197"/>
      <c r="AG29" s="197"/>
      <c r="AH29" s="197"/>
      <c r="AI29" s="197"/>
      <c r="AJ29" s="197"/>
      <c r="AK29" s="197"/>
      <c r="AL29" s="197"/>
      <c r="AM29" s="197"/>
      <c r="AN29" s="197"/>
      <c r="AO29" s="197"/>
      <c r="AP29" s="197"/>
      <c r="AQ29" s="197"/>
      <c r="AR29" s="197"/>
      <c r="AS29" s="197"/>
      <c r="AT29" s="207"/>
    </row>
    <row r="30" spans="1:46" ht="60" customHeight="1" x14ac:dyDescent="0.35">
      <c r="A30" s="204" t="s">
        <v>2063</v>
      </c>
      <c r="B30" s="190" t="s">
        <v>4490</v>
      </c>
      <c r="C30" s="191" t="s">
        <v>4522</v>
      </c>
      <c r="D30" s="193" t="s">
        <v>4523</v>
      </c>
      <c r="E30" s="193" t="s">
        <v>4524</v>
      </c>
      <c r="F30" s="195" t="str">
        <f>IF(COUNTIF(G30:AT30,"&lt;&gt;")=0,"",SUMPRODUCT(((Recommendations[ImplStatus]="Implemented")+(Recommendations[ImplStatus]="Compensated"))*ISNUMBER(MATCH(Recommendations[Id],G30:AT30,0)))/COUNTIF(G30:AT30,"&lt;&gt;"))</f>
        <v/>
      </c>
      <c r="G30" s="197"/>
      <c r="H30" s="197"/>
      <c r="I30" s="197"/>
      <c r="J30" s="197"/>
      <c r="K30" s="197"/>
      <c r="L30" s="197"/>
      <c r="M30" s="197"/>
      <c r="N30" s="197"/>
      <c r="O30" s="197"/>
      <c r="P30" s="197"/>
      <c r="Q30" s="197"/>
      <c r="R30" s="197"/>
      <c r="S30" s="197"/>
      <c r="T30" s="197"/>
      <c r="U30" s="197"/>
      <c r="V30" s="197"/>
      <c r="W30" s="197"/>
      <c r="X30" s="197"/>
      <c r="Y30" s="197"/>
      <c r="Z30" s="197"/>
      <c r="AA30" s="197"/>
      <c r="AB30" s="197"/>
      <c r="AC30" s="197"/>
      <c r="AD30" s="197"/>
      <c r="AE30" s="197"/>
      <c r="AF30" s="197"/>
      <c r="AG30" s="197"/>
      <c r="AH30" s="197"/>
      <c r="AI30" s="197"/>
      <c r="AJ30" s="197"/>
      <c r="AK30" s="197"/>
      <c r="AL30" s="197"/>
      <c r="AM30" s="197"/>
      <c r="AN30" s="197"/>
      <c r="AO30" s="197"/>
      <c r="AP30" s="197"/>
      <c r="AQ30" s="197"/>
      <c r="AR30" s="197"/>
      <c r="AS30" s="197"/>
      <c r="AT30" s="207"/>
    </row>
    <row r="31" spans="1:46" ht="60" customHeight="1" x14ac:dyDescent="0.35">
      <c r="A31" s="204" t="s">
        <v>2063</v>
      </c>
      <c r="B31" s="190" t="s">
        <v>4490</v>
      </c>
      <c r="C31" s="191" t="s">
        <v>4525</v>
      </c>
      <c r="D31" s="193" t="s">
        <v>4526</v>
      </c>
      <c r="E31" s="193" t="s">
        <v>4527</v>
      </c>
      <c r="F31" s="195" t="str">
        <f>IF(COUNTIF(G31:AT31,"&lt;&gt;")=0,"",SUMPRODUCT(((Recommendations[ImplStatus]="Implemented")+(Recommendations[ImplStatus]="Compensated"))*ISNUMBER(MATCH(Recommendations[Id],G31:AT31,0)))/COUNTIF(G31:AT31,"&lt;&gt;"))</f>
        <v/>
      </c>
      <c r="G31" s="197"/>
      <c r="H31" s="197"/>
      <c r="I31" s="197"/>
      <c r="J31" s="197"/>
      <c r="K31" s="197"/>
      <c r="L31" s="197"/>
      <c r="M31" s="197"/>
      <c r="N31" s="197"/>
      <c r="O31" s="197"/>
      <c r="P31" s="197"/>
      <c r="Q31" s="197"/>
      <c r="R31" s="197"/>
      <c r="S31" s="197"/>
      <c r="T31" s="197"/>
      <c r="U31" s="197"/>
      <c r="V31" s="197"/>
      <c r="W31" s="197"/>
      <c r="X31" s="197"/>
      <c r="Y31" s="197"/>
      <c r="Z31" s="197"/>
      <c r="AA31" s="197"/>
      <c r="AB31" s="197"/>
      <c r="AC31" s="197"/>
      <c r="AD31" s="197"/>
      <c r="AE31" s="197"/>
      <c r="AF31" s="197"/>
      <c r="AG31" s="197"/>
      <c r="AH31" s="197"/>
      <c r="AI31" s="197"/>
      <c r="AJ31" s="197"/>
      <c r="AK31" s="197"/>
      <c r="AL31" s="197"/>
      <c r="AM31" s="197"/>
      <c r="AN31" s="197"/>
      <c r="AO31" s="197"/>
      <c r="AP31" s="197"/>
      <c r="AQ31" s="197"/>
      <c r="AR31" s="197"/>
      <c r="AS31" s="197"/>
      <c r="AT31" s="207"/>
    </row>
    <row r="32" spans="1:46" ht="60" customHeight="1" outlineLevel="1" x14ac:dyDescent="0.35">
      <c r="A32" s="203" t="s">
        <v>4528</v>
      </c>
      <c r="B32" s="189"/>
      <c r="C32" s="189"/>
      <c r="D32" s="192" t="s">
        <v>4529</v>
      </c>
      <c r="E32" s="192"/>
      <c r="F32" s="194" t="str">
        <f>IF(COUNTIF(G32:AT32,"&lt;&gt;")=0,"",SUMPRODUCT(((Recommendations[ImplStatus]="Implemented")+(Recommendations[ImplStatus]="Compensated"))*ISNUMBER(MATCH(Recommendations[Id],G32:AT32,0)))/COUNTIF(G32:AT32,"&lt;&gt;"))</f>
        <v/>
      </c>
      <c r="G32" s="196"/>
      <c r="H32" s="196"/>
      <c r="I32" s="196"/>
      <c r="J32" s="196"/>
      <c r="K32" s="196"/>
      <c r="L32" s="196"/>
      <c r="M32" s="196"/>
      <c r="N32" s="196"/>
      <c r="O32" s="196"/>
      <c r="P32" s="196"/>
      <c r="Q32" s="196"/>
      <c r="R32" s="196"/>
      <c r="S32" s="196"/>
      <c r="T32" s="196"/>
      <c r="U32" s="196"/>
      <c r="V32" s="196"/>
      <c r="W32" s="196"/>
      <c r="X32" s="196"/>
      <c r="Y32" s="196"/>
      <c r="Z32" s="196"/>
      <c r="AA32" s="196"/>
      <c r="AB32" s="196"/>
      <c r="AC32" s="196"/>
      <c r="AD32" s="196"/>
      <c r="AE32" s="196"/>
      <c r="AF32" s="196"/>
      <c r="AG32" s="196"/>
      <c r="AH32" s="196"/>
      <c r="AI32" s="196"/>
      <c r="AJ32" s="196"/>
      <c r="AK32" s="196"/>
      <c r="AL32" s="196"/>
      <c r="AM32" s="196"/>
      <c r="AN32" s="196"/>
      <c r="AO32" s="196"/>
      <c r="AP32" s="196"/>
      <c r="AQ32" s="196"/>
      <c r="AR32" s="196"/>
      <c r="AS32" s="196"/>
      <c r="AT32" s="206"/>
    </row>
    <row r="33" spans="1:46" ht="60" customHeight="1" x14ac:dyDescent="0.35">
      <c r="A33" s="204" t="s">
        <v>4528</v>
      </c>
      <c r="B33" s="190"/>
      <c r="C33" s="191" t="s">
        <v>4530</v>
      </c>
      <c r="D33" s="193" t="s">
        <v>4531</v>
      </c>
      <c r="E33" s="193" t="s">
        <v>4532</v>
      </c>
      <c r="F33" s="195" t="str">
        <f>IF(COUNTIF(G33:AT33,"&lt;&gt;")=0,"",SUMPRODUCT(((Recommendations[ImplStatus]="Implemented")+(Recommendations[ImplStatus]="Compensated"))*ISNUMBER(MATCH(Recommendations[Id],G33:AT33,0)))/COUNTIF(G33:AT33,"&lt;&gt;"))</f>
        <v/>
      </c>
      <c r="G33" s="197"/>
      <c r="H33" s="197"/>
      <c r="I33" s="197"/>
      <c r="J33" s="197"/>
      <c r="K33" s="197"/>
      <c r="L33" s="197"/>
      <c r="M33" s="197"/>
      <c r="N33" s="197"/>
      <c r="O33" s="197"/>
      <c r="P33" s="197"/>
      <c r="Q33" s="197"/>
      <c r="R33" s="197"/>
      <c r="S33" s="197"/>
      <c r="T33" s="197"/>
      <c r="U33" s="197"/>
      <c r="V33" s="197"/>
      <c r="W33" s="197"/>
      <c r="X33" s="197"/>
      <c r="Y33" s="197"/>
      <c r="Z33" s="197"/>
      <c r="AA33" s="197"/>
      <c r="AB33" s="197"/>
      <c r="AC33" s="197"/>
      <c r="AD33" s="197"/>
      <c r="AE33" s="197"/>
      <c r="AF33" s="197"/>
      <c r="AG33" s="197"/>
      <c r="AH33" s="197"/>
      <c r="AI33" s="197"/>
      <c r="AJ33" s="197"/>
      <c r="AK33" s="197"/>
      <c r="AL33" s="197"/>
      <c r="AM33" s="197"/>
      <c r="AN33" s="197"/>
      <c r="AO33" s="197"/>
      <c r="AP33" s="197"/>
      <c r="AQ33" s="197"/>
      <c r="AR33" s="197"/>
      <c r="AS33" s="197"/>
      <c r="AT33" s="207"/>
    </row>
    <row r="34" spans="1:46" ht="60" customHeight="1" x14ac:dyDescent="0.35">
      <c r="A34" s="204" t="s">
        <v>4528</v>
      </c>
      <c r="B34" s="190"/>
      <c r="C34" s="191" t="s">
        <v>4533</v>
      </c>
      <c r="D34" s="193" t="s">
        <v>4534</v>
      </c>
      <c r="E34" s="193" t="s">
        <v>4535</v>
      </c>
      <c r="F34" s="195" t="str">
        <f>IF(COUNTIF(G34:AT34,"&lt;&gt;")=0,"",SUMPRODUCT(((Recommendations[ImplStatus]="Implemented")+(Recommendations[ImplStatus]="Compensated"))*ISNUMBER(MATCH(Recommendations[Id],G34:AT34,0)))/COUNTIF(G34:AT34,"&lt;&gt;"))</f>
        <v/>
      </c>
      <c r="G34" s="197"/>
      <c r="H34" s="197"/>
      <c r="I34" s="197"/>
      <c r="J34" s="197"/>
      <c r="K34" s="197"/>
      <c r="L34" s="197"/>
      <c r="M34" s="197"/>
      <c r="N34" s="197"/>
      <c r="O34" s="197"/>
      <c r="P34" s="197"/>
      <c r="Q34" s="197"/>
      <c r="R34" s="197"/>
      <c r="S34" s="197"/>
      <c r="T34" s="197"/>
      <c r="U34" s="197"/>
      <c r="V34" s="197"/>
      <c r="W34" s="197"/>
      <c r="X34" s="197"/>
      <c r="Y34" s="197"/>
      <c r="Z34" s="197"/>
      <c r="AA34" s="197"/>
      <c r="AB34" s="197"/>
      <c r="AC34" s="197"/>
      <c r="AD34" s="197"/>
      <c r="AE34" s="197"/>
      <c r="AF34" s="197"/>
      <c r="AG34" s="197"/>
      <c r="AH34" s="197"/>
      <c r="AI34" s="197"/>
      <c r="AJ34" s="197"/>
      <c r="AK34" s="197"/>
      <c r="AL34" s="197"/>
      <c r="AM34" s="197"/>
      <c r="AN34" s="197"/>
      <c r="AO34" s="197"/>
      <c r="AP34" s="197"/>
      <c r="AQ34" s="197"/>
      <c r="AR34" s="197"/>
      <c r="AS34" s="197"/>
      <c r="AT34" s="207"/>
    </row>
    <row r="35" spans="1:46" ht="60" customHeight="1" x14ac:dyDescent="0.35">
      <c r="A35" s="204" t="s">
        <v>4528</v>
      </c>
      <c r="B35" s="190"/>
      <c r="C35" s="191" t="s">
        <v>4536</v>
      </c>
      <c r="D35" s="193" t="s">
        <v>4537</v>
      </c>
      <c r="E35" s="193" t="s">
        <v>4538</v>
      </c>
      <c r="F35" s="195" t="str">
        <f>IF(COUNTIF(G35:AT35,"&lt;&gt;")=0,"",SUMPRODUCT(((Recommendations[ImplStatus]="Implemented")+(Recommendations[ImplStatus]="Compensated"))*ISNUMBER(MATCH(Recommendations[Id],G35:AT35,0)))/COUNTIF(G35:AT35,"&lt;&gt;"))</f>
        <v/>
      </c>
      <c r="G35" s="197"/>
      <c r="H35" s="197"/>
      <c r="I35" s="197"/>
      <c r="J35" s="197"/>
      <c r="K35" s="197"/>
      <c r="L35" s="197"/>
      <c r="M35" s="197"/>
      <c r="N35" s="197"/>
      <c r="O35" s="197"/>
      <c r="P35" s="197"/>
      <c r="Q35" s="197"/>
      <c r="R35" s="197"/>
      <c r="S35" s="197"/>
      <c r="T35" s="197"/>
      <c r="U35" s="197"/>
      <c r="V35" s="197"/>
      <c r="W35" s="197"/>
      <c r="X35" s="197"/>
      <c r="Y35" s="197"/>
      <c r="Z35" s="197"/>
      <c r="AA35" s="197"/>
      <c r="AB35" s="197"/>
      <c r="AC35" s="197"/>
      <c r="AD35" s="197"/>
      <c r="AE35" s="197"/>
      <c r="AF35" s="197"/>
      <c r="AG35" s="197"/>
      <c r="AH35" s="197"/>
      <c r="AI35" s="197"/>
      <c r="AJ35" s="197"/>
      <c r="AK35" s="197"/>
      <c r="AL35" s="197"/>
      <c r="AM35" s="197"/>
      <c r="AN35" s="197"/>
      <c r="AO35" s="197"/>
      <c r="AP35" s="197"/>
      <c r="AQ35" s="197"/>
      <c r="AR35" s="197"/>
      <c r="AS35" s="197"/>
      <c r="AT35" s="207"/>
    </row>
    <row r="36" spans="1:46" ht="60" customHeight="1" outlineLevel="1" x14ac:dyDescent="0.35">
      <c r="A36" s="203" t="s">
        <v>4528</v>
      </c>
      <c r="B36" s="189" t="s">
        <v>4539</v>
      </c>
      <c r="C36" s="189"/>
      <c r="D36" s="192" t="s">
        <v>4540</v>
      </c>
      <c r="E36" s="192"/>
      <c r="F36" s="194" t="str">
        <f>IF(COUNTIF(G36:AT36,"&lt;&gt;")=0,"",SUMPRODUCT(((Recommendations[ImplStatus]="Implemented")+(Recommendations[ImplStatus]="Compensated"))*ISNUMBER(MATCH(Recommendations[Id],G36:AT36,0)))/COUNTIF(G36:AT36,"&lt;&gt;"))</f>
        <v/>
      </c>
      <c r="G36" s="196"/>
      <c r="H36" s="196"/>
      <c r="I36" s="196"/>
      <c r="J36" s="196"/>
      <c r="K36" s="196"/>
      <c r="L36" s="196"/>
      <c r="M36" s="196"/>
      <c r="N36" s="196"/>
      <c r="O36" s="196"/>
      <c r="P36" s="196"/>
      <c r="Q36" s="196"/>
      <c r="R36" s="196"/>
      <c r="S36" s="196"/>
      <c r="T36" s="196"/>
      <c r="U36" s="196"/>
      <c r="V36" s="196"/>
      <c r="W36" s="196"/>
      <c r="X36" s="196"/>
      <c r="Y36" s="196"/>
      <c r="Z36" s="196"/>
      <c r="AA36" s="196"/>
      <c r="AB36" s="196"/>
      <c r="AC36" s="196"/>
      <c r="AD36" s="196"/>
      <c r="AE36" s="196"/>
      <c r="AF36" s="196"/>
      <c r="AG36" s="196"/>
      <c r="AH36" s="196"/>
      <c r="AI36" s="196"/>
      <c r="AJ36" s="196"/>
      <c r="AK36" s="196"/>
      <c r="AL36" s="196"/>
      <c r="AM36" s="196"/>
      <c r="AN36" s="196"/>
      <c r="AO36" s="196"/>
      <c r="AP36" s="196"/>
      <c r="AQ36" s="196"/>
      <c r="AR36" s="196"/>
      <c r="AS36" s="196"/>
      <c r="AT36" s="206"/>
    </row>
    <row r="37" spans="1:46" ht="60" customHeight="1" x14ac:dyDescent="0.35">
      <c r="A37" s="204" t="s">
        <v>4528</v>
      </c>
      <c r="B37" s="190" t="s">
        <v>4539</v>
      </c>
      <c r="C37" s="191" t="s">
        <v>4541</v>
      </c>
      <c r="D37" s="193" t="s">
        <v>4542</v>
      </c>
      <c r="E37" s="193" t="s">
        <v>4543</v>
      </c>
      <c r="F37" s="195" t="str">
        <f>IF(COUNTIF(G37:AT37,"&lt;&gt;")=0,"",SUMPRODUCT(((Recommendations[ImplStatus]="Implemented")+(Recommendations[ImplStatus]="Compensated"))*ISNUMBER(MATCH(Recommendations[Id],G37:AT37,0)))/COUNTIF(G37:AT37,"&lt;&gt;"))</f>
        <v/>
      </c>
      <c r="G37" s="197"/>
      <c r="H37" s="197"/>
      <c r="I37" s="197"/>
      <c r="J37" s="197"/>
      <c r="K37" s="197"/>
      <c r="L37" s="197"/>
      <c r="M37" s="197"/>
      <c r="N37" s="197"/>
      <c r="O37" s="197"/>
      <c r="P37" s="197"/>
      <c r="Q37" s="197"/>
      <c r="R37" s="197"/>
      <c r="S37" s="197"/>
      <c r="T37" s="197"/>
      <c r="U37" s="197"/>
      <c r="V37" s="197"/>
      <c r="W37" s="197"/>
      <c r="X37" s="197"/>
      <c r="Y37" s="197"/>
      <c r="Z37" s="197"/>
      <c r="AA37" s="197"/>
      <c r="AB37" s="197"/>
      <c r="AC37" s="197"/>
      <c r="AD37" s="197"/>
      <c r="AE37" s="197"/>
      <c r="AF37" s="197"/>
      <c r="AG37" s="197"/>
      <c r="AH37" s="197"/>
      <c r="AI37" s="197"/>
      <c r="AJ37" s="197"/>
      <c r="AK37" s="197"/>
      <c r="AL37" s="197"/>
      <c r="AM37" s="197"/>
      <c r="AN37" s="197"/>
      <c r="AO37" s="197"/>
      <c r="AP37" s="197"/>
      <c r="AQ37" s="197"/>
      <c r="AR37" s="197"/>
      <c r="AS37" s="197"/>
      <c r="AT37" s="207"/>
    </row>
    <row r="38" spans="1:46" ht="60" customHeight="1" x14ac:dyDescent="0.35">
      <c r="A38" s="204" t="s">
        <v>4528</v>
      </c>
      <c r="B38" s="190" t="s">
        <v>4539</v>
      </c>
      <c r="C38" s="191" t="s">
        <v>4544</v>
      </c>
      <c r="D38" s="193" t="s">
        <v>4545</v>
      </c>
      <c r="E38" s="193" t="s">
        <v>4546</v>
      </c>
      <c r="F38" s="195" t="str">
        <f>IF(COUNTIF(G38:AT38,"&lt;&gt;")=0,"",SUMPRODUCT(((Recommendations[ImplStatus]="Implemented")+(Recommendations[ImplStatus]="Compensated"))*ISNUMBER(MATCH(Recommendations[Id],G38:AT38,0)))/COUNTIF(G38:AT38,"&lt;&gt;"))</f>
        <v/>
      </c>
      <c r="G38" s="197"/>
      <c r="H38" s="197"/>
      <c r="I38" s="197"/>
      <c r="J38" s="197"/>
      <c r="K38" s="197"/>
      <c r="L38" s="197"/>
      <c r="M38" s="197"/>
      <c r="N38" s="197"/>
      <c r="O38" s="197"/>
      <c r="P38" s="197"/>
      <c r="Q38" s="197"/>
      <c r="R38" s="197"/>
      <c r="S38" s="197"/>
      <c r="T38" s="197"/>
      <c r="U38" s="197"/>
      <c r="V38" s="197"/>
      <c r="W38" s="197"/>
      <c r="X38" s="197"/>
      <c r="Y38" s="197"/>
      <c r="Z38" s="197"/>
      <c r="AA38" s="197"/>
      <c r="AB38" s="197"/>
      <c r="AC38" s="197"/>
      <c r="AD38" s="197"/>
      <c r="AE38" s="197"/>
      <c r="AF38" s="197"/>
      <c r="AG38" s="197"/>
      <c r="AH38" s="197"/>
      <c r="AI38" s="197"/>
      <c r="AJ38" s="197"/>
      <c r="AK38" s="197"/>
      <c r="AL38" s="197"/>
      <c r="AM38" s="197"/>
      <c r="AN38" s="197"/>
      <c r="AO38" s="197"/>
      <c r="AP38" s="197"/>
      <c r="AQ38" s="197"/>
      <c r="AR38" s="197"/>
      <c r="AS38" s="197"/>
      <c r="AT38" s="207"/>
    </row>
    <row r="39" spans="1:46" ht="60" customHeight="1" x14ac:dyDescent="0.35">
      <c r="A39" s="204" t="s">
        <v>4528</v>
      </c>
      <c r="B39" s="190" t="s">
        <v>4539</v>
      </c>
      <c r="C39" s="191" t="s">
        <v>4547</v>
      </c>
      <c r="D39" s="193" t="s">
        <v>4548</v>
      </c>
      <c r="E39" s="193" t="s">
        <v>4549</v>
      </c>
      <c r="F39" s="195" t="str">
        <f>IF(COUNTIF(G39:AT39,"&lt;&gt;")=0,"",SUMPRODUCT(((Recommendations[ImplStatus]="Implemented")+(Recommendations[ImplStatus]="Compensated"))*ISNUMBER(MATCH(Recommendations[Id],G39:AT39,0)))/COUNTIF(G39:AT39,"&lt;&gt;"))</f>
        <v/>
      </c>
      <c r="G39" s="197"/>
      <c r="H39" s="197"/>
      <c r="I39" s="197"/>
      <c r="J39" s="197"/>
      <c r="K39" s="197"/>
      <c r="L39" s="197"/>
      <c r="M39" s="197"/>
      <c r="N39" s="197"/>
      <c r="O39" s="197"/>
      <c r="P39" s="197"/>
      <c r="Q39" s="197"/>
      <c r="R39" s="197"/>
      <c r="S39" s="197"/>
      <c r="T39" s="197"/>
      <c r="U39" s="197"/>
      <c r="V39" s="197"/>
      <c r="W39" s="197"/>
      <c r="X39" s="197"/>
      <c r="Y39" s="197"/>
      <c r="Z39" s="197"/>
      <c r="AA39" s="197"/>
      <c r="AB39" s="197"/>
      <c r="AC39" s="197"/>
      <c r="AD39" s="197"/>
      <c r="AE39" s="197"/>
      <c r="AF39" s="197"/>
      <c r="AG39" s="197"/>
      <c r="AH39" s="197"/>
      <c r="AI39" s="197"/>
      <c r="AJ39" s="197"/>
      <c r="AK39" s="197"/>
      <c r="AL39" s="197"/>
      <c r="AM39" s="197"/>
      <c r="AN39" s="197"/>
      <c r="AO39" s="197"/>
      <c r="AP39" s="197"/>
      <c r="AQ39" s="197"/>
      <c r="AR39" s="197"/>
      <c r="AS39" s="197"/>
      <c r="AT39" s="207"/>
    </row>
    <row r="40" spans="1:46" ht="60" customHeight="1" x14ac:dyDescent="0.35">
      <c r="A40" s="204" t="s">
        <v>4528</v>
      </c>
      <c r="B40" s="190" t="s">
        <v>4539</v>
      </c>
      <c r="C40" s="191" t="s">
        <v>4550</v>
      </c>
      <c r="D40" s="193" t="s">
        <v>4551</v>
      </c>
      <c r="E40" s="193" t="s">
        <v>4552</v>
      </c>
      <c r="F40" s="195" t="str">
        <f>IF(COUNTIF(G40:AT40,"&lt;&gt;")=0,"",SUMPRODUCT(((Recommendations[ImplStatus]="Implemented")+(Recommendations[ImplStatus]="Compensated"))*ISNUMBER(MATCH(Recommendations[Id],G40:AT40,0)))/COUNTIF(G40:AT40,"&lt;&gt;"))</f>
        <v/>
      </c>
      <c r="G40" s="197"/>
      <c r="H40" s="197"/>
      <c r="I40" s="197"/>
      <c r="J40" s="197"/>
      <c r="K40" s="197"/>
      <c r="L40" s="197"/>
      <c r="M40" s="197"/>
      <c r="N40" s="197"/>
      <c r="O40" s="197"/>
      <c r="P40" s="197"/>
      <c r="Q40" s="197"/>
      <c r="R40" s="197"/>
      <c r="S40" s="197"/>
      <c r="T40" s="197"/>
      <c r="U40" s="197"/>
      <c r="V40" s="197"/>
      <c r="W40" s="197"/>
      <c r="X40" s="197"/>
      <c r="Y40" s="197"/>
      <c r="Z40" s="197"/>
      <c r="AA40" s="197"/>
      <c r="AB40" s="197"/>
      <c r="AC40" s="197"/>
      <c r="AD40" s="197"/>
      <c r="AE40" s="197"/>
      <c r="AF40" s="197"/>
      <c r="AG40" s="197"/>
      <c r="AH40" s="197"/>
      <c r="AI40" s="197"/>
      <c r="AJ40" s="197"/>
      <c r="AK40" s="197"/>
      <c r="AL40" s="197"/>
      <c r="AM40" s="197"/>
      <c r="AN40" s="197"/>
      <c r="AO40" s="197"/>
      <c r="AP40" s="197"/>
      <c r="AQ40" s="197"/>
      <c r="AR40" s="197"/>
      <c r="AS40" s="197"/>
      <c r="AT40" s="207"/>
    </row>
    <row r="41" spans="1:46" ht="60" customHeight="1" x14ac:dyDescent="0.35">
      <c r="A41" s="204" t="s">
        <v>4528</v>
      </c>
      <c r="B41" s="190" t="s">
        <v>4539</v>
      </c>
      <c r="C41" s="191" t="s">
        <v>4553</v>
      </c>
      <c r="D41" s="193" t="s">
        <v>4554</v>
      </c>
      <c r="E41" s="193" t="s">
        <v>4555</v>
      </c>
      <c r="F41" s="195" t="str">
        <f>IF(COUNTIF(G41:AT41,"&lt;&gt;")=0,"",SUMPRODUCT(((Recommendations[ImplStatus]="Implemented")+(Recommendations[ImplStatus]="Compensated"))*ISNUMBER(MATCH(Recommendations[Id],G41:AT41,0)))/COUNTIF(G41:AT41,"&lt;&gt;"))</f>
        <v/>
      </c>
      <c r="G41" s="197"/>
      <c r="H41" s="197"/>
      <c r="I41" s="197"/>
      <c r="J41" s="197"/>
      <c r="K41" s="197"/>
      <c r="L41" s="197"/>
      <c r="M41" s="197"/>
      <c r="N41" s="197"/>
      <c r="O41" s="197"/>
      <c r="P41" s="197"/>
      <c r="Q41" s="197"/>
      <c r="R41" s="197"/>
      <c r="S41" s="197"/>
      <c r="T41" s="197"/>
      <c r="U41" s="197"/>
      <c r="V41" s="197"/>
      <c r="W41" s="197"/>
      <c r="X41" s="197"/>
      <c r="Y41" s="197"/>
      <c r="Z41" s="197"/>
      <c r="AA41" s="197"/>
      <c r="AB41" s="197"/>
      <c r="AC41" s="197"/>
      <c r="AD41" s="197"/>
      <c r="AE41" s="197"/>
      <c r="AF41" s="197"/>
      <c r="AG41" s="197"/>
      <c r="AH41" s="197"/>
      <c r="AI41" s="197"/>
      <c r="AJ41" s="197"/>
      <c r="AK41" s="197"/>
      <c r="AL41" s="197"/>
      <c r="AM41" s="197"/>
      <c r="AN41" s="197"/>
      <c r="AO41" s="197"/>
      <c r="AP41" s="197"/>
      <c r="AQ41" s="197"/>
      <c r="AR41" s="197"/>
      <c r="AS41" s="197"/>
      <c r="AT41" s="207"/>
    </row>
    <row r="42" spans="1:46" ht="60" customHeight="1" x14ac:dyDescent="0.35">
      <c r="A42" s="204" t="s">
        <v>4528</v>
      </c>
      <c r="B42" s="190" t="s">
        <v>4539</v>
      </c>
      <c r="C42" s="191" t="s">
        <v>4556</v>
      </c>
      <c r="D42" s="193" t="s">
        <v>4557</v>
      </c>
      <c r="E42" s="193" t="s">
        <v>4558</v>
      </c>
      <c r="F42" s="195" t="str">
        <f>IF(COUNTIF(G42:AT42,"&lt;&gt;")=0,"",SUMPRODUCT(((Recommendations[ImplStatus]="Implemented")+(Recommendations[ImplStatus]="Compensated"))*ISNUMBER(MATCH(Recommendations[Id],G42:AT42,0)))/COUNTIF(G42:AT42,"&lt;&gt;"))</f>
        <v/>
      </c>
      <c r="G42" s="197"/>
      <c r="H42" s="197"/>
      <c r="I42" s="197"/>
      <c r="J42" s="197"/>
      <c r="K42" s="197"/>
      <c r="L42" s="197"/>
      <c r="M42" s="197"/>
      <c r="N42" s="197"/>
      <c r="O42" s="197"/>
      <c r="P42" s="197"/>
      <c r="Q42" s="197"/>
      <c r="R42" s="197"/>
      <c r="S42" s="197"/>
      <c r="T42" s="197"/>
      <c r="U42" s="197"/>
      <c r="V42" s="197"/>
      <c r="W42" s="197"/>
      <c r="X42" s="197"/>
      <c r="Y42" s="197"/>
      <c r="Z42" s="197"/>
      <c r="AA42" s="197"/>
      <c r="AB42" s="197"/>
      <c r="AC42" s="197"/>
      <c r="AD42" s="197"/>
      <c r="AE42" s="197"/>
      <c r="AF42" s="197"/>
      <c r="AG42" s="197"/>
      <c r="AH42" s="197"/>
      <c r="AI42" s="197"/>
      <c r="AJ42" s="197"/>
      <c r="AK42" s="197"/>
      <c r="AL42" s="197"/>
      <c r="AM42" s="197"/>
      <c r="AN42" s="197"/>
      <c r="AO42" s="197"/>
      <c r="AP42" s="197"/>
      <c r="AQ42" s="197"/>
      <c r="AR42" s="197"/>
      <c r="AS42" s="197"/>
      <c r="AT42" s="207"/>
    </row>
    <row r="43" spans="1:46" ht="60" customHeight="1" x14ac:dyDescent="0.35">
      <c r="A43" s="204" t="s">
        <v>4528</v>
      </c>
      <c r="B43" s="190" t="s">
        <v>4539</v>
      </c>
      <c r="C43" s="191" t="s">
        <v>4559</v>
      </c>
      <c r="D43" s="193" t="s">
        <v>4560</v>
      </c>
      <c r="E43" s="193" t="s">
        <v>4561</v>
      </c>
      <c r="F43" s="195" t="str">
        <f>IF(COUNTIF(G43:AT43,"&lt;&gt;")=0,"",SUMPRODUCT(((Recommendations[ImplStatus]="Implemented")+(Recommendations[ImplStatus]="Compensated"))*ISNUMBER(MATCH(Recommendations[Id],G43:AT43,0)))/COUNTIF(G43:AT43,"&lt;&gt;"))</f>
        <v/>
      </c>
      <c r="G43" s="197"/>
      <c r="H43" s="197"/>
      <c r="I43" s="197"/>
      <c r="J43" s="197"/>
      <c r="K43" s="197"/>
      <c r="L43" s="197"/>
      <c r="M43" s="197"/>
      <c r="N43" s="197"/>
      <c r="O43" s="197"/>
      <c r="P43" s="197"/>
      <c r="Q43" s="197"/>
      <c r="R43" s="197"/>
      <c r="S43" s="197"/>
      <c r="T43" s="197"/>
      <c r="U43" s="197"/>
      <c r="V43" s="197"/>
      <c r="W43" s="197"/>
      <c r="X43" s="197"/>
      <c r="Y43" s="197"/>
      <c r="Z43" s="197"/>
      <c r="AA43" s="197"/>
      <c r="AB43" s="197"/>
      <c r="AC43" s="197"/>
      <c r="AD43" s="197"/>
      <c r="AE43" s="197"/>
      <c r="AF43" s="197"/>
      <c r="AG43" s="197"/>
      <c r="AH43" s="197"/>
      <c r="AI43" s="197"/>
      <c r="AJ43" s="197"/>
      <c r="AK43" s="197"/>
      <c r="AL43" s="197"/>
      <c r="AM43" s="197"/>
      <c r="AN43" s="197"/>
      <c r="AO43" s="197"/>
      <c r="AP43" s="197"/>
      <c r="AQ43" s="197"/>
      <c r="AR43" s="197"/>
      <c r="AS43" s="197"/>
      <c r="AT43" s="207"/>
    </row>
    <row r="44" spans="1:46" ht="60" customHeight="1" x14ac:dyDescent="0.35">
      <c r="A44" s="204" t="s">
        <v>4528</v>
      </c>
      <c r="B44" s="190" t="s">
        <v>4539</v>
      </c>
      <c r="C44" s="191" t="s">
        <v>4562</v>
      </c>
      <c r="D44" s="193" t="s">
        <v>4563</v>
      </c>
      <c r="E44" s="193" t="s">
        <v>4564</v>
      </c>
      <c r="F44" s="195" t="str">
        <f>IF(COUNTIF(G44:AT44,"&lt;&gt;")=0,"",SUMPRODUCT(((Recommendations[ImplStatus]="Implemented")+(Recommendations[ImplStatus]="Compensated"))*ISNUMBER(MATCH(Recommendations[Id],G44:AT44,0)))/COUNTIF(G44:AT44,"&lt;&gt;"))</f>
        <v/>
      </c>
      <c r="G44" s="197"/>
      <c r="H44" s="197"/>
      <c r="I44" s="197"/>
      <c r="J44" s="197"/>
      <c r="K44" s="197"/>
      <c r="L44" s="197"/>
      <c r="M44" s="197"/>
      <c r="N44" s="197"/>
      <c r="O44" s="197"/>
      <c r="P44" s="197"/>
      <c r="Q44" s="197"/>
      <c r="R44" s="197"/>
      <c r="S44" s="197"/>
      <c r="T44" s="197"/>
      <c r="U44" s="197"/>
      <c r="V44" s="197"/>
      <c r="W44" s="197"/>
      <c r="X44" s="197"/>
      <c r="Y44" s="197"/>
      <c r="Z44" s="197"/>
      <c r="AA44" s="197"/>
      <c r="AB44" s="197"/>
      <c r="AC44" s="197"/>
      <c r="AD44" s="197"/>
      <c r="AE44" s="197"/>
      <c r="AF44" s="197"/>
      <c r="AG44" s="197"/>
      <c r="AH44" s="197"/>
      <c r="AI44" s="197"/>
      <c r="AJ44" s="197"/>
      <c r="AK44" s="197"/>
      <c r="AL44" s="197"/>
      <c r="AM44" s="197"/>
      <c r="AN44" s="197"/>
      <c r="AO44" s="197"/>
      <c r="AP44" s="197"/>
      <c r="AQ44" s="197"/>
      <c r="AR44" s="197"/>
      <c r="AS44" s="197"/>
      <c r="AT44" s="207"/>
    </row>
    <row r="45" spans="1:46" ht="60" customHeight="1" x14ac:dyDescent="0.35">
      <c r="A45" s="204" t="s">
        <v>4528</v>
      </c>
      <c r="B45" s="190" t="s">
        <v>4539</v>
      </c>
      <c r="C45" s="191" t="s">
        <v>4565</v>
      </c>
      <c r="D45" s="193" t="s">
        <v>4566</v>
      </c>
      <c r="E45" s="193" t="s">
        <v>4567</v>
      </c>
      <c r="F45" s="195" t="str">
        <f>IF(COUNTIF(G45:AT45,"&lt;&gt;")=0,"",SUMPRODUCT(((Recommendations[ImplStatus]="Implemented")+(Recommendations[ImplStatus]="Compensated"))*ISNUMBER(MATCH(Recommendations[Id],G45:AT45,0)))/COUNTIF(G45:AT45,"&lt;&gt;"))</f>
        <v/>
      </c>
      <c r="G45" s="197"/>
      <c r="H45" s="197"/>
      <c r="I45" s="197"/>
      <c r="J45" s="197"/>
      <c r="K45" s="197"/>
      <c r="L45" s="197"/>
      <c r="M45" s="197"/>
      <c r="N45" s="197"/>
      <c r="O45" s="197"/>
      <c r="P45" s="197"/>
      <c r="Q45" s="197"/>
      <c r="R45" s="197"/>
      <c r="S45" s="197"/>
      <c r="T45" s="197"/>
      <c r="U45" s="197"/>
      <c r="V45" s="197"/>
      <c r="W45" s="197"/>
      <c r="X45" s="197"/>
      <c r="Y45" s="197"/>
      <c r="Z45" s="197"/>
      <c r="AA45" s="197"/>
      <c r="AB45" s="197"/>
      <c r="AC45" s="197"/>
      <c r="AD45" s="197"/>
      <c r="AE45" s="197"/>
      <c r="AF45" s="197"/>
      <c r="AG45" s="197"/>
      <c r="AH45" s="197"/>
      <c r="AI45" s="197"/>
      <c r="AJ45" s="197"/>
      <c r="AK45" s="197"/>
      <c r="AL45" s="197"/>
      <c r="AM45" s="197"/>
      <c r="AN45" s="197"/>
      <c r="AO45" s="197"/>
      <c r="AP45" s="197"/>
      <c r="AQ45" s="197"/>
      <c r="AR45" s="197"/>
      <c r="AS45" s="197"/>
      <c r="AT45" s="207"/>
    </row>
    <row r="46" spans="1:46" ht="60" customHeight="1" x14ac:dyDescent="0.35">
      <c r="A46" s="204" t="s">
        <v>4528</v>
      </c>
      <c r="B46" s="190" t="s">
        <v>4539</v>
      </c>
      <c r="C46" s="191" t="s">
        <v>4568</v>
      </c>
      <c r="D46" s="193" t="s">
        <v>4569</v>
      </c>
      <c r="E46" s="193" t="s">
        <v>4570</v>
      </c>
      <c r="F46" s="195" t="str">
        <f>IF(COUNTIF(G46:AT46,"&lt;&gt;")=0,"",SUMPRODUCT(((Recommendations[ImplStatus]="Implemented")+(Recommendations[ImplStatus]="Compensated"))*ISNUMBER(MATCH(Recommendations[Id],G46:AT46,0)))/COUNTIF(G46:AT46,"&lt;&gt;"))</f>
        <v/>
      </c>
      <c r="G46" s="197"/>
      <c r="H46" s="197"/>
      <c r="I46" s="197"/>
      <c r="J46" s="197"/>
      <c r="K46" s="197"/>
      <c r="L46" s="197"/>
      <c r="M46" s="197"/>
      <c r="N46" s="197"/>
      <c r="O46" s="197"/>
      <c r="P46" s="197"/>
      <c r="Q46" s="197"/>
      <c r="R46" s="197"/>
      <c r="S46" s="197"/>
      <c r="T46" s="197"/>
      <c r="U46" s="197"/>
      <c r="V46" s="197"/>
      <c r="W46" s="197"/>
      <c r="X46" s="197"/>
      <c r="Y46" s="197"/>
      <c r="Z46" s="197"/>
      <c r="AA46" s="197"/>
      <c r="AB46" s="197"/>
      <c r="AC46" s="197"/>
      <c r="AD46" s="197"/>
      <c r="AE46" s="197"/>
      <c r="AF46" s="197"/>
      <c r="AG46" s="197"/>
      <c r="AH46" s="197"/>
      <c r="AI46" s="197"/>
      <c r="AJ46" s="197"/>
      <c r="AK46" s="197"/>
      <c r="AL46" s="197"/>
      <c r="AM46" s="197"/>
      <c r="AN46" s="197"/>
      <c r="AO46" s="197"/>
      <c r="AP46" s="197"/>
      <c r="AQ46" s="197"/>
      <c r="AR46" s="197"/>
      <c r="AS46" s="197"/>
      <c r="AT46" s="207"/>
    </row>
    <row r="47" spans="1:46" ht="60" customHeight="1" x14ac:dyDescent="0.35">
      <c r="A47" s="204" t="s">
        <v>4528</v>
      </c>
      <c r="B47" s="190" t="s">
        <v>4539</v>
      </c>
      <c r="C47" s="191" t="s">
        <v>4571</v>
      </c>
      <c r="D47" s="193" t="s">
        <v>4572</v>
      </c>
      <c r="E47" s="193" t="s">
        <v>4573</v>
      </c>
      <c r="F47" s="195" t="str">
        <f>IF(COUNTIF(G47:AT47,"&lt;&gt;")=0,"",SUMPRODUCT(((Recommendations[ImplStatus]="Implemented")+(Recommendations[ImplStatus]="Compensated"))*ISNUMBER(MATCH(Recommendations[Id],G47:AT47,0)))/COUNTIF(G47:AT47,"&lt;&gt;"))</f>
        <v/>
      </c>
      <c r="G47" s="197"/>
      <c r="H47" s="197"/>
      <c r="I47" s="197"/>
      <c r="J47" s="197"/>
      <c r="K47" s="197"/>
      <c r="L47" s="197"/>
      <c r="M47" s="197"/>
      <c r="N47" s="197"/>
      <c r="O47" s="197"/>
      <c r="P47" s="197"/>
      <c r="Q47" s="197"/>
      <c r="R47" s="197"/>
      <c r="S47" s="197"/>
      <c r="T47" s="197"/>
      <c r="U47" s="197"/>
      <c r="V47" s="197"/>
      <c r="W47" s="197"/>
      <c r="X47" s="197"/>
      <c r="Y47" s="197"/>
      <c r="Z47" s="197"/>
      <c r="AA47" s="197"/>
      <c r="AB47" s="197"/>
      <c r="AC47" s="197"/>
      <c r="AD47" s="197"/>
      <c r="AE47" s="197"/>
      <c r="AF47" s="197"/>
      <c r="AG47" s="197"/>
      <c r="AH47" s="197"/>
      <c r="AI47" s="197"/>
      <c r="AJ47" s="197"/>
      <c r="AK47" s="197"/>
      <c r="AL47" s="197"/>
      <c r="AM47" s="197"/>
      <c r="AN47" s="197"/>
      <c r="AO47" s="197"/>
      <c r="AP47" s="197"/>
      <c r="AQ47" s="197"/>
      <c r="AR47" s="197"/>
      <c r="AS47" s="197"/>
      <c r="AT47" s="207"/>
    </row>
    <row r="48" spans="1:46" ht="60" customHeight="1" x14ac:dyDescent="0.35">
      <c r="A48" s="204" t="s">
        <v>4528</v>
      </c>
      <c r="B48" s="190" t="s">
        <v>4539</v>
      </c>
      <c r="C48" s="191" t="s">
        <v>4574</v>
      </c>
      <c r="D48" s="193" t="s">
        <v>4575</v>
      </c>
      <c r="E48" s="193" t="s">
        <v>4576</v>
      </c>
      <c r="F48" s="195" t="str">
        <f>IF(COUNTIF(G48:AT48,"&lt;&gt;")=0,"",SUMPRODUCT(((Recommendations[ImplStatus]="Implemented")+(Recommendations[ImplStatus]="Compensated"))*ISNUMBER(MATCH(Recommendations[Id],G48:AT48,0)))/COUNTIF(G48:AT48,"&lt;&gt;"))</f>
        <v/>
      </c>
      <c r="G48" s="197"/>
      <c r="H48" s="197"/>
      <c r="I48" s="197"/>
      <c r="J48" s="197"/>
      <c r="K48" s="197"/>
      <c r="L48" s="197"/>
      <c r="M48" s="197"/>
      <c r="N48" s="197"/>
      <c r="O48" s="197"/>
      <c r="P48" s="197"/>
      <c r="Q48" s="197"/>
      <c r="R48" s="197"/>
      <c r="S48" s="197"/>
      <c r="T48" s="197"/>
      <c r="U48" s="197"/>
      <c r="V48" s="197"/>
      <c r="W48" s="197"/>
      <c r="X48" s="197"/>
      <c r="Y48" s="197"/>
      <c r="Z48" s="197"/>
      <c r="AA48" s="197"/>
      <c r="AB48" s="197"/>
      <c r="AC48" s="197"/>
      <c r="AD48" s="197"/>
      <c r="AE48" s="197"/>
      <c r="AF48" s="197"/>
      <c r="AG48" s="197"/>
      <c r="AH48" s="197"/>
      <c r="AI48" s="197"/>
      <c r="AJ48" s="197"/>
      <c r="AK48" s="197"/>
      <c r="AL48" s="197"/>
      <c r="AM48" s="197"/>
      <c r="AN48" s="197"/>
      <c r="AO48" s="197"/>
      <c r="AP48" s="197"/>
      <c r="AQ48" s="197"/>
      <c r="AR48" s="197"/>
      <c r="AS48" s="197"/>
      <c r="AT48" s="207"/>
    </row>
    <row r="49" spans="1:46" ht="60" customHeight="1" x14ac:dyDescent="0.35">
      <c r="A49" s="204" t="s">
        <v>4528</v>
      </c>
      <c r="B49" s="190" t="s">
        <v>4539</v>
      </c>
      <c r="C49" s="191" t="s">
        <v>4577</v>
      </c>
      <c r="D49" s="193" t="s">
        <v>4578</v>
      </c>
      <c r="E49" s="193" t="s">
        <v>4579</v>
      </c>
      <c r="F49" s="195" t="str">
        <f>IF(COUNTIF(G49:AT49,"&lt;&gt;")=0,"",SUMPRODUCT(((Recommendations[ImplStatus]="Implemented")+(Recommendations[ImplStatus]="Compensated"))*ISNUMBER(MATCH(Recommendations[Id],G49:AT49,0)))/COUNTIF(G49:AT49,"&lt;&gt;"))</f>
        <v/>
      </c>
      <c r="G49" s="197"/>
      <c r="H49" s="197"/>
      <c r="I49" s="197"/>
      <c r="J49" s="197"/>
      <c r="K49" s="197"/>
      <c r="L49" s="197"/>
      <c r="M49" s="197"/>
      <c r="N49" s="197"/>
      <c r="O49" s="197"/>
      <c r="P49" s="197"/>
      <c r="Q49" s="197"/>
      <c r="R49" s="197"/>
      <c r="S49" s="197"/>
      <c r="T49" s="197"/>
      <c r="U49" s="197"/>
      <c r="V49" s="197"/>
      <c r="W49" s="197"/>
      <c r="X49" s="197"/>
      <c r="Y49" s="197"/>
      <c r="Z49" s="197"/>
      <c r="AA49" s="197"/>
      <c r="AB49" s="197"/>
      <c r="AC49" s="197"/>
      <c r="AD49" s="197"/>
      <c r="AE49" s="197"/>
      <c r="AF49" s="197"/>
      <c r="AG49" s="197"/>
      <c r="AH49" s="197"/>
      <c r="AI49" s="197"/>
      <c r="AJ49" s="197"/>
      <c r="AK49" s="197"/>
      <c r="AL49" s="197"/>
      <c r="AM49" s="197"/>
      <c r="AN49" s="197"/>
      <c r="AO49" s="197"/>
      <c r="AP49" s="197"/>
      <c r="AQ49" s="197"/>
      <c r="AR49" s="197"/>
      <c r="AS49" s="197"/>
      <c r="AT49" s="207"/>
    </row>
    <row r="50" spans="1:46" ht="60" customHeight="1" x14ac:dyDescent="0.35">
      <c r="A50" s="204" t="s">
        <v>4528</v>
      </c>
      <c r="B50" s="190" t="s">
        <v>4539</v>
      </c>
      <c r="C50" s="191" t="s">
        <v>4580</v>
      </c>
      <c r="D50" s="193" t="s">
        <v>4581</v>
      </c>
      <c r="E50" s="193" t="s">
        <v>4582</v>
      </c>
      <c r="F50" s="195" t="str">
        <f>IF(COUNTIF(G50:AT50,"&lt;&gt;")=0,"",SUMPRODUCT(((Recommendations[ImplStatus]="Implemented")+(Recommendations[ImplStatus]="Compensated"))*ISNUMBER(MATCH(Recommendations[Id],G50:AT50,0)))/COUNTIF(G50:AT50,"&lt;&gt;"))</f>
        <v/>
      </c>
      <c r="G50" s="197"/>
      <c r="H50" s="197"/>
      <c r="I50" s="197"/>
      <c r="J50" s="197"/>
      <c r="K50" s="197"/>
      <c r="L50" s="197"/>
      <c r="M50" s="197"/>
      <c r="N50" s="197"/>
      <c r="O50" s="197"/>
      <c r="P50" s="197"/>
      <c r="Q50" s="197"/>
      <c r="R50" s="197"/>
      <c r="S50" s="197"/>
      <c r="T50" s="197"/>
      <c r="U50" s="197"/>
      <c r="V50" s="197"/>
      <c r="W50" s="197"/>
      <c r="X50" s="197"/>
      <c r="Y50" s="197"/>
      <c r="Z50" s="197"/>
      <c r="AA50" s="197"/>
      <c r="AB50" s="197"/>
      <c r="AC50" s="197"/>
      <c r="AD50" s="197"/>
      <c r="AE50" s="197"/>
      <c r="AF50" s="197"/>
      <c r="AG50" s="197"/>
      <c r="AH50" s="197"/>
      <c r="AI50" s="197"/>
      <c r="AJ50" s="197"/>
      <c r="AK50" s="197"/>
      <c r="AL50" s="197"/>
      <c r="AM50" s="197"/>
      <c r="AN50" s="197"/>
      <c r="AO50" s="197"/>
      <c r="AP50" s="197"/>
      <c r="AQ50" s="197"/>
      <c r="AR50" s="197"/>
      <c r="AS50" s="197"/>
      <c r="AT50" s="207"/>
    </row>
    <row r="51" spans="1:46" ht="60" customHeight="1" outlineLevel="1" x14ac:dyDescent="0.35">
      <c r="A51" s="203" t="s">
        <v>4528</v>
      </c>
      <c r="B51" s="189" t="s">
        <v>4583</v>
      </c>
      <c r="C51" s="189"/>
      <c r="D51" s="192" t="s">
        <v>4584</v>
      </c>
      <c r="E51" s="192"/>
      <c r="F51" s="194" t="str">
        <f>IF(COUNTIF(G51:AT51,"&lt;&gt;")=0,"",SUMPRODUCT(((Recommendations[ImplStatus]="Implemented")+(Recommendations[ImplStatus]="Compensated"))*ISNUMBER(MATCH(Recommendations[Id],G51:AT51,0)))/COUNTIF(G51:AT51,"&lt;&gt;"))</f>
        <v/>
      </c>
      <c r="G51" s="196"/>
      <c r="H51" s="196"/>
      <c r="I51" s="196"/>
      <c r="J51" s="196"/>
      <c r="K51" s="196"/>
      <c r="L51" s="196"/>
      <c r="M51" s="196"/>
      <c r="N51" s="196"/>
      <c r="O51" s="196"/>
      <c r="P51" s="196"/>
      <c r="Q51" s="196"/>
      <c r="R51" s="196"/>
      <c r="S51" s="196"/>
      <c r="T51" s="196"/>
      <c r="U51" s="196"/>
      <c r="V51" s="196"/>
      <c r="W51" s="196"/>
      <c r="X51" s="196"/>
      <c r="Y51" s="196"/>
      <c r="Z51" s="196"/>
      <c r="AA51" s="196"/>
      <c r="AB51" s="196"/>
      <c r="AC51" s="196"/>
      <c r="AD51" s="196"/>
      <c r="AE51" s="196"/>
      <c r="AF51" s="196"/>
      <c r="AG51" s="196"/>
      <c r="AH51" s="196"/>
      <c r="AI51" s="196"/>
      <c r="AJ51" s="196"/>
      <c r="AK51" s="196"/>
      <c r="AL51" s="196"/>
      <c r="AM51" s="196"/>
      <c r="AN51" s="196"/>
      <c r="AO51" s="196"/>
      <c r="AP51" s="196"/>
      <c r="AQ51" s="196"/>
      <c r="AR51" s="196"/>
      <c r="AS51" s="196"/>
      <c r="AT51" s="206"/>
    </row>
    <row r="52" spans="1:46" ht="60" customHeight="1" x14ac:dyDescent="0.35">
      <c r="A52" s="204" t="s">
        <v>4528</v>
      </c>
      <c r="B52" s="190" t="s">
        <v>4583</v>
      </c>
      <c r="C52" s="191" t="s">
        <v>4585</v>
      </c>
      <c r="D52" s="193" t="s">
        <v>4586</v>
      </c>
      <c r="E52" s="193" t="s">
        <v>4587</v>
      </c>
      <c r="F52" s="195">
        <f>IF(COUNTIF(G52:AT52,"&lt;&gt;")=0,"",SUMPRODUCT(((Recommendations[ImplStatus]="Implemented")+(Recommendations[ImplStatus]="Compensated"))*ISNUMBER(MATCH(Recommendations[Id],G52:AT52,0)))/COUNTIF(G52:AT52,"&lt;&gt;"))</f>
        <v>0</v>
      </c>
      <c r="G52" s="197" t="s">
        <v>635</v>
      </c>
      <c r="H52" s="197" t="s">
        <v>640</v>
      </c>
      <c r="I52" s="197" t="s">
        <v>1502</v>
      </c>
      <c r="J52" s="197" t="s">
        <v>1507</v>
      </c>
      <c r="K52" s="197" t="s">
        <v>1512</v>
      </c>
      <c r="L52" s="197" t="s">
        <v>1517</v>
      </c>
      <c r="M52" s="197" t="s">
        <v>1522</v>
      </c>
      <c r="N52" s="197" t="s">
        <v>1541</v>
      </c>
      <c r="O52" s="197" t="s">
        <v>1729</v>
      </c>
      <c r="P52" s="197" t="s">
        <v>1734</v>
      </c>
      <c r="Q52" s="197" t="s">
        <v>1738</v>
      </c>
      <c r="R52" s="197" t="s">
        <v>1742</v>
      </c>
      <c r="S52" s="197" t="s">
        <v>1747</v>
      </c>
      <c r="T52" s="197" t="s">
        <v>1751</v>
      </c>
      <c r="U52" s="197" t="s">
        <v>1865</v>
      </c>
      <c r="V52" s="197" t="s">
        <v>1870</v>
      </c>
      <c r="W52" s="197" t="s">
        <v>1874</v>
      </c>
      <c r="X52" s="197"/>
      <c r="Y52" s="197"/>
      <c r="Z52" s="197"/>
      <c r="AA52" s="197"/>
      <c r="AB52" s="197"/>
      <c r="AC52" s="197"/>
      <c r="AD52" s="197"/>
      <c r="AE52" s="197"/>
      <c r="AF52" s="197"/>
      <c r="AG52" s="197"/>
      <c r="AH52" s="197"/>
      <c r="AI52" s="197"/>
      <c r="AJ52" s="197"/>
      <c r="AK52" s="197"/>
      <c r="AL52" s="197"/>
      <c r="AM52" s="197"/>
      <c r="AN52" s="197"/>
      <c r="AO52" s="197"/>
      <c r="AP52" s="197"/>
      <c r="AQ52" s="197"/>
      <c r="AR52" s="197"/>
      <c r="AS52" s="197"/>
      <c r="AT52" s="207"/>
    </row>
    <row r="53" spans="1:46" ht="60" customHeight="1" x14ac:dyDescent="0.35">
      <c r="A53" s="204" t="s">
        <v>4528</v>
      </c>
      <c r="B53" s="190" t="s">
        <v>4583</v>
      </c>
      <c r="C53" s="191" t="s">
        <v>4588</v>
      </c>
      <c r="D53" s="193" t="s">
        <v>4589</v>
      </c>
      <c r="E53" s="193" t="s">
        <v>4590</v>
      </c>
      <c r="F53" s="195" t="str">
        <f>IF(COUNTIF(G53:AT53,"&lt;&gt;")=0,"",SUMPRODUCT(((Recommendations[ImplStatus]="Implemented")+(Recommendations[ImplStatus]="Compensated"))*ISNUMBER(MATCH(Recommendations[Id],G53:AT53,0)))/COUNTIF(G53:AT53,"&lt;&gt;"))</f>
        <v/>
      </c>
      <c r="G53" s="197"/>
      <c r="H53" s="197"/>
      <c r="I53" s="197"/>
      <c r="J53" s="197"/>
      <c r="K53" s="197"/>
      <c r="L53" s="197"/>
      <c r="M53" s="197"/>
      <c r="N53" s="197"/>
      <c r="O53" s="197"/>
      <c r="P53" s="197"/>
      <c r="Q53" s="197"/>
      <c r="R53" s="197"/>
      <c r="S53" s="197"/>
      <c r="T53" s="197"/>
      <c r="U53" s="197"/>
      <c r="V53" s="197"/>
      <c r="W53" s="197"/>
      <c r="X53" s="197"/>
      <c r="Y53" s="197"/>
      <c r="Z53" s="197"/>
      <c r="AA53" s="197"/>
      <c r="AB53" s="197"/>
      <c r="AC53" s="197"/>
      <c r="AD53" s="197"/>
      <c r="AE53" s="197"/>
      <c r="AF53" s="197"/>
      <c r="AG53" s="197"/>
      <c r="AH53" s="197"/>
      <c r="AI53" s="197"/>
      <c r="AJ53" s="197"/>
      <c r="AK53" s="197"/>
      <c r="AL53" s="197"/>
      <c r="AM53" s="197"/>
      <c r="AN53" s="197"/>
      <c r="AO53" s="197"/>
      <c r="AP53" s="197"/>
      <c r="AQ53" s="197"/>
      <c r="AR53" s="197"/>
      <c r="AS53" s="197"/>
      <c r="AT53" s="207"/>
    </row>
    <row r="54" spans="1:46" ht="60" customHeight="1" x14ac:dyDescent="0.35">
      <c r="A54" s="204" t="s">
        <v>4528</v>
      </c>
      <c r="B54" s="190" t="s">
        <v>4583</v>
      </c>
      <c r="C54" s="191" t="s">
        <v>4591</v>
      </c>
      <c r="D54" s="193" t="s">
        <v>4592</v>
      </c>
      <c r="E54" s="193" t="s">
        <v>4593</v>
      </c>
      <c r="F54" s="195" t="str">
        <f>IF(COUNTIF(G54:AT54,"&lt;&gt;")=0,"",SUMPRODUCT(((Recommendations[ImplStatus]="Implemented")+(Recommendations[ImplStatus]="Compensated"))*ISNUMBER(MATCH(Recommendations[Id],G54:AT54,0)))/COUNTIF(G54:AT54,"&lt;&gt;"))</f>
        <v/>
      </c>
      <c r="G54" s="197"/>
      <c r="H54" s="197"/>
      <c r="I54" s="197"/>
      <c r="J54" s="197"/>
      <c r="K54" s="197"/>
      <c r="L54" s="197"/>
      <c r="M54" s="197"/>
      <c r="N54" s="197"/>
      <c r="O54" s="197"/>
      <c r="P54" s="197"/>
      <c r="Q54" s="197"/>
      <c r="R54" s="197"/>
      <c r="S54" s="197"/>
      <c r="T54" s="197"/>
      <c r="U54" s="197"/>
      <c r="V54" s="197"/>
      <c r="W54" s="197"/>
      <c r="X54" s="197"/>
      <c r="Y54" s="197"/>
      <c r="Z54" s="197"/>
      <c r="AA54" s="197"/>
      <c r="AB54" s="197"/>
      <c r="AC54" s="197"/>
      <c r="AD54" s="197"/>
      <c r="AE54" s="197"/>
      <c r="AF54" s="197"/>
      <c r="AG54" s="197"/>
      <c r="AH54" s="197"/>
      <c r="AI54" s="197"/>
      <c r="AJ54" s="197"/>
      <c r="AK54" s="197"/>
      <c r="AL54" s="197"/>
      <c r="AM54" s="197"/>
      <c r="AN54" s="197"/>
      <c r="AO54" s="197"/>
      <c r="AP54" s="197"/>
      <c r="AQ54" s="197"/>
      <c r="AR54" s="197"/>
      <c r="AS54" s="197"/>
      <c r="AT54" s="207"/>
    </row>
    <row r="55" spans="1:46" ht="60" customHeight="1" x14ac:dyDescent="0.35">
      <c r="A55" s="204" t="s">
        <v>4528</v>
      </c>
      <c r="B55" s="190" t="s">
        <v>4583</v>
      </c>
      <c r="C55" s="191" t="s">
        <v>4594</v>
      </c>
      <c r="D55" s="193" t="s">
        <v>4595</v>
      </c>
      <c r="E55" s="193" t="s">
        <v>4596</v>
      </c>
      <c r="F55" s="195" t="str">
        <f>IF(COUNTIF(G55:AT55,"&lt;&gt;")=0,"",SUMPRODUCT(((Recommendations[ImplStatus]="Implemented")+(Recommendations[ImplStatus]="Compensated"))*ISNUMBER(MATCH(Recommendations[Id],G55:AT55,0)))/COUNTIF(G55:AT55,"&lt;&gt;"))</f>
        <v/>
      </c>
      <c r="G55" s="197"/>
      <c r="H55" s="197"/>
      <c r="I55" s="197"/>
      <c r="J55" s="197"/>
      <c r="K55" s="197"/>
      <c r="L55" s="197"/>
      <c r="M55" s="197"/>
      <c r="N55" s="197"/>
      <c r="O55" s="197"/>
      <c r="P55" s="197"/>
      <c r="Q55" s="197"/>
      <c r="R55" s="197"/>
      <c r="S55" s="197"/>
      <c r="T55" s="197"/>
      <c r="U55" s="197"/>
      <c r="V55" s="197"/>
      <c r="W55" s="197"/>
      <c r="X55" s="197"/>
      <c r="Y55" s="197"/>
      <c r="Z55" s="197"/>
      <c r="AA55" s="197"/>
      <c r="AB55" s="197"/>
      <c r="AC55" s="197"/>
      <c r="AD55" s="197"/>
      <c r="AE55" s="197"/>
      <c r="AF55" s="197"/>
      <c r="AG55" s="197"/>
      <c r="AH55" s="197"/>
      <c r="AI55" s="197"/>
      <c r="AJ55" s="197"/>
      <c r="AK55" s="197"/>
      <c r="AL55" s="197"/>
      <c r="AM55" s="197"/>
      <c r="AN55" s="197"/>
      <c r="AO55" s="197"/>
      <c r="AP55" s="197"/>
      <c r="AQ55" s="197"/>
      <c r="AR55" s="197"/>
      <c r="AS55" s="197"/>
      <c r="AT55" s="207"/>
    </row>
    <row r="56" spans="1:46" ht="60" customHeight="1" x14ac:dyDescent="0.35">
      <c r="A56" s="204" t="s">
        <v>4528</v>
      </c>
      <c r="B56" s="190" t="s">
        <v>4583</v>
      </c>
      <c r="C56" s="191" t="s">
        <v>4597</v>
      </c>
      <c r="D56" s="193" t="s">
        <v>4598</v>
      </c>
      <c r="E56" s="193" t="s">
        <v>4599</v>
      </c>
      <c r="F56" s="195" t="str">
        <f>IF(COUNTIF(G56:AT56,"&lt;&gt;")=0,"",SUMPRODUCT(((Recommendations[ImplStatus]="Implemented")+(Recommendations[ImplStatus]="Compensated"))*ISNUMBER(MATCH(Recommendations[Id],G56:AT56,0)))/COUNTIF(G56:AT56,"&lt;&gt;"))</f>
        <v/>
      </c>
      <c r="G56" s="197"/>
      <c r="H56" s="197"/>
      <c r="I56" s="197"/>
      <c r="J56" s="197"/>
      <c r="K56" s="197"/>
      <c r="L56" s="197"/>
      <c r="M56" s="197"/>
      <c r="N56" s="197"/>
      <c r="O56" s="197"/>
      <c r="P56" s="197"/>
      <c r="Q56" s="197"/>
      <c r="R56" s="197"/>
      <c r="S56" s="197"/>
      <c r="T56" s="197"/>
      <c r="U56" s="197"/>
      <c r="V56" s="197"/>
      <c r="W56" s="197"/>
      <c r="X56" s="197"/>
      <c r="Y56" s="197"/>
      <c r="Z56" s="197"/>
      <c r="AA56" s="197"/>
      <c r="AB56" s="197"/>
      <c r="AC56" s="197"/>
      <c r="AD56" s="197"/>
      <c r="AE56" s="197"/>
      <c r="AF56" s="197"/>
      <c r="AG56" s="197"/>
      <c r="AH56" s="197"/>
      <c r="AI56" s="197"/>
      <c r="AJ56" s="197"/>
      <c r="AK56" s="197"/>
      <c r="AL56" s="197"/>
      <c r="AM56" s="197"/>
      <c r="AN56" s="197"/>
      <c r="AO56" s="197"/>
      <c r="AP56" s="197"/>
      <c r="AQ56" s="197"/>
      <c r="AR56" s="197"/>
      <c r="AS56" s="197"/>
      <c r="AT56" s="207"/>
    </row>
    <row r="57" spans="1:46" ht="60" customHeight="1" x14ac:dyDescent="0.35">
      <c r="A57" s="204" t="s">
        <v>4528</v>
      </c>
      <c r="B57" s="190" t="s">
        <v>4583</v>
      </c>
      <c r="C57" s="191" t="s">
        <v>4600</v>
      </c>
      <c r="D57" s="193" t="s">
        <v>4601</v>
      </c>
      <c r="E57" s="193" t="s">
        <v>4602</v>
      </c>
      <c r="F57" s="195" t="str">
        <f>IF(COUNTIF(G57:AT57,"&lt;&gt;")=0,"",SUMPRODUCT(((Recommendations[ImplStatus]="Implemented")+(Recommendations[ImplStatus]="Compensated"))*ISNUMBER(MATCH(Recommendations[Id],G57:AT57,0)))/COUNTIF(G57:AT57,"&lt;&gt;"))</f>
        <v/>
      </c>
      <c r="G57" s="197"/>
      <c r="H57" s="197"/>
      <c r="I57" s="197"/>
      <c r="J57" s="197"/>
      <c r="K57" s="197"/>
      <c r="L57" s="197"/>
      <c r="M57" s="197"/>
      <c r="N57" s="197"/>
      <c r="O57" s="197"/>
      <c r="P57" s="197"/>
      <c r="Q57" s="197"/>
      <c r="R57" s="197"/>
      <c r="S57" s="197"/>
      <c r="T57" s="197"/>
      <c r="U57" s="197"/>
      <c r="V57" s="197"/>
      <c r="W57" s="197"/>
      <c r="X57" s="197"/>
      <c r="Y57" s="197"/>
      <c r="Z57" s="197"/>
      <c r="AA57" s="197"/>
      <c r="AB57" s="197"/>
      <c r="AC57" s="197"/>
      <c r="AD57" s="197"/>
      <c r="AE57" s="197"/>
      <c r="AF57" s="197"/>
      <c r="AG57" s="197"/>
      <c r="AH57" s="197"/>
      <c r="AI57" s="197"/>
      <c r="AJ57" s="197"/>
      <c r="AK57" s="197"/>
      <c r="AL57" s="197"/>
      <c r="AM57" s="197"/>
      <c r="AN57" s="197"/>
      <c r="AO57" s="197"/>
      <c r="AP57" s="197"/>
      <c r="AQ57" s="197"/>
      <c r="AR57" s="197"/>
      <c r="AS57" s="197"/>
      <c r="AT57" s="207"/>
    </row>
    <row r="58" spans="1:46" ht="60" customHeight="1" x14ac:dyDescent="0.35">
      <c r="A58" s="204" t="s">
        <v>4528</v>
      </c>
      <c r="B58" s="190" t="s">
        <v>4583</v>
      </c>
      <c r="C58" s="191" t="s">
        <v>4603</v>
      </c>
      <c r="D58" s="193" t="s">
        <v>4604</v>
      </c>
      <c r="E58" s="193" t="s">
        <v>4605</v>
      </c>
      <c r="F58" s="195" t="str">
        <f>IF(COUNTIF(G58:AT58,"&lt;&gt;")=0,"",SUMPRODUCT(((Recommendations[ImplStatus]="Implemented")+(Recommendations[ImplStatus]="Compensated"))*ISNUMBER(MATCH(Recommendations[Id],G58:AT58,0)))/COUNTIF(G58:AT58,"&lt;&gt;"))</f>
        <v/>
      </c>
      <c r="G58" s="197"/>
      <c r="H58" s="197"/>
      <c r="I58" s="197"/>
      <c r="J58" s="197"/>
      <c r="K58" s="197"/>
      <c r="L58" s="197"/>
      <c r="M58" s="197"/>
      <c r="N58" s="197"/>
      <c r="O58" s="197"/>
      <c r="P58" s="197"/>
      <c r="Q58" s="197"/>
      <c r="R58" s="197"/>
      <c r="S58" s="197"/>
      <c r="T58" s="197"/>
      <c r="U58" s="197"/>
      <c r="V58" s="197"/>
      <c r="W58" s="197"/>
      <c r="X58" s="197"/>
      <c r="Y58" s="197"/>
      <c r="Z58" s="197"/>
      <c r="AA58" s="197"/>
      <c r="AB58" s="197"/>
      <c r="AC58" s="197"/>
      <c r="AD58" s="197"/>
      <c r="AE58" s="197"/>
      <c r="AF58" s="197"/>
      <c r="AG58" s="197"/>
      <c r="AH58" s="197"/>
      <c r="AI58" s="197"/>
      <c r="AJ58" s="197"/>
      <c r="AK58" s="197"/>
      <c r="AL58" s="197"/>
      <c r="AM58" s="197"/>
      <c r="AN58" s="197"/>
      <c r="AO58" s="197"/>
      <c r="AP58" s="197"/>
      <c r="AQ58" s="197"/>
      <c r="AR58" s="197"/>
      <c r="AS58" s="197"/>
      <c r="AT58" s="207"/>
    </row>
    <row r="59" spans="1:46" ht="60" customHeight="1" x14ac:dyDescent="0.35">
      <c r="A59" s="204" t="s">
        <v>4528</v>
      </c>
      <c r="B59" s="190" t="s">
        <v>4583</v>
      </c>
      <c r="C59" s="191" t="s">
        <v>4606</v>
      </c>
      <c r="D59" s="193" t="s">
        <v>4607</v>
      </c>
      <c r="E59" s="193" t="s">
        <v>4608</v>
      </c>
      <c r="F59" s="195" t="str">
        <f>IF(COUNTIF(G59:AT59,"&lt;&gt;")=0,"",SUMPRODUCT(((Recommendations[ImplStatus]="Implemented")+(Recommendations[ImplStatus]="Compensated"))*ISNUMBER(MATCH(Recommendations[Id],G59:AT59,0)))/COUNTIF(G59:AT59,"&lt;&gt;"))</f>
        <v/>
      </c>
      <c r="G59" s="197"/>
      <c r="H59" s="197"/>
      <c r="I59" s="197"/>
      <c r="J59" s="197"/>
      <c r="K59" s="197"/>
      <c r="L59" s="197"/>
      <c r="M59" s="197"/>
      <c r="N59" s="197"/>
      <c r="O59" s="197"/>
      <c r="P59" s="197"/>
      <c r="Q59" s="197"/>
      <c r="R59" s="197"/>
      <c r="S59" s="197"/>
      <c r="T59" s="197"/>
      <c r="U59" s="197"/>
      <c r="V59" s="197"/>
      <c r="W59" s="197"/>
      <c r="X59" s="197"/>
      <c r="Y59" s="197"/>
      <c r="Z59" s="197"/>
      <c r="AA59" s="197"/>
      <c r="AB59" s="197"/>
      <c r="AC59" s="197"/>
      <c r="AD59" s="197"/>
      <c r="AE59" s="197"/>
      <c r="AF59" s="197"/>
      <c r="AG59" s="197"/>
      <c r="AH59" s="197"/>
      <c r="AI59" s="197"/>
      <c r="AJ59" s="197"/>
      <c r="AK59" s="197"/>
      <c r="AL59" s="197"/>
      <c r="AM59" s="197"/>
      <c r="AN59" s="197"/>
      <c r="AO59" s="197"/>
      <c r="AP59" s="197"/>
      <c r="AQ59" s="197"/>
      <c r="AR59" s="197"/>
      <c r="AS59" s="197"/>
      <c r="AT59" s="207"/>
    </row>
    <row r="60" spans="1:46" ht="60" customHeight="1" x14ac:dyDescent="0.35">
      <c r="A60" s="204" t="s">
        <v>4528</v>
      </c>
      <c r="B60" s="190" t="s">
        <v>4609</v>
      </c>
      <c r="C60" s="191" t="s">
        <v>4610</v>
      </c>
      <c r="D60" s="193" t="s">
        <v>4611</v>
      </c>
      <c r="E60" s="193" t="s">
        <v>4612</v>
      </c>
      <c r="F60" s="195" t="str">
        <f>IF(COUNTIF(G60:AT60,"&lt;&gt;")=0,"",SUMPRODUCT(((Recommendations[ImplStatus]="Implemented")+(Recommendations[ImplStatus]="Compensated"))*ISNUMBER(MATCH(Recommendations[Id],G60:AT60,0)))/COUNTIF(G60:AT60,"&lt;&gt;"))</f>
        <v/>
      </c>
      <c r="G60" s="197"/>
      <c r="H60" s="197"/>
      <c r="I60" s="197"/>
      <c r="J60" s="197"/>
      <c r="K60" s="197"/>
      <c r="L60" s="197"/>
      <c r="M60" s="197"/>
      <c r="N60" s="197"/>
      <c r="O60" s="197"/>
      <c r="P60" s="197"/>
      <c r="Q60" s="197"/>
      <c r="R60" s="197"/>
      <c r="S60" s="197"/>
      <c r="T60" s="197"/>
      <c r="U60" s="197"/>
      <c r="V60" s="197"/>
      <c r="W60" s="197"/>
      <c r="X60" s="197"/>
      <c r="Y60" s="197"/>
      <c r="Z60" s="197"/>
      <c r="AA60" s="197"/>
      <c r="AB60" s="197"/>
      <c r="AC60" s="197"/>
      <c r="AD60" s="197"/>
      <c r="AE60" s="197"/>
      <c r="AF60" s="197"/>
      <c r="AG60" s="197"/>
      <c r="AH60" s="197"/>
      <c r="AI60" s="197"/>
      <c r="AJ60" s="197"/>
      <c r="AK60" s="197"/>
      <c r="AL60" s="197"/>
      <c r="AM60" s="197"/>
      <c r="AN60" s="197"/>
      <c r="AO60" s="197"/>
      <c r="AP60" s="197"/>
      <c r="AQ60" s="197"/>
      <c r="AR60" s="197"/>
      <c r="AS60" s="197"/>
      <c r="AT60" s="207"/>
    </row>
    <row r="61" spans="1:46" ht="60" customHeight="1" x14ac:dyDescent="0.35">
      <c r="A61" s="204" t="s">
        <v>4528</v>
      </c>
      <c r="B61" s="190" t="s">
        <v>4609</v>
      </c>
      <c r="C61" s="191" t="s">
        <v>4613</v>
      </c>
      <c r="D61" s="193" t="s">
        <v>4614</v>
      </c>
      <c r="E61" s="193" t="s">
        <v>4615</v>
      </c>
      <c r="F61" s="195" t="str">
        <f>IF(COUNTIF(G61:AT61,"&lt;&gt;")=0,"",SUMPRODUCT(((Recommendations[ImplStatus]="Implemented")+(Recommendations[ImplStatus]="Compensated"))*ISNUMBER(MATCH(Recommendations[Id],G61:AT61,0)))/COUNTIF(G61:AT61,"&lt;&gt;"))</f>
        <v/>
      </c>
      <c r="G61" s="197"/>
      <c r="H61" s="197"/>
      <c r="I61" s="197"/>
      <c r="J61" s="197"/>
      <c r="K61" s="197"/>
      <c r="L61" s="197"/>
      <c r="M61" s="197"/>
      <c r="N61" s="197"/>
      <c r="O61" s="197"/>
      <c r="P61" s="197"/>
      <c r="Q61" s="197"/>
      <c r="R61" s="197"/>
      <c r="S61" s="197"/>
      <c r="T61" s="197"/>
      <c r="U61" s="197"/>
      <c r="V61" s="197"/>
      <c r="W61" s="197"/>
      <c r="X61" s="197"/>
      <c r="Y61" s="197"/>
      <c r="Z61" s="197"/>
      <c r="AA61" s="197"/>
      <c r="AB61" s="197"/>
      <c r="AC61" s="197"/>
      <c r="AD61" s="197"/>
      <c r="AE61" s="197"/>
      <c r="AF61" s="197"/>
      <c r="AG61" s="197"/>
      <c r="AH61" s="197"/>
      <c r="AI61" s="197"/>
      <c r="AJ61" s="197"/>
      <c r="AK61" s="197"/>
      <c r="AL61" s="197"/>
      <c r="AM61" s="197"/>
      <c r="AN61" s="197"/>
      <c r="AO61" s="197"/>
      <c r="AP61" s="197"/>
      <c r="AQ61" s="197"/>
      <c r="AR61" s="197"/>
      <c r="AS61" s="197"/>
      <c r="AT61" s="207"/>
    </row>
    <row r="62" spans="1:46" ht="60" customHeight="1" outlineLevel="1" x14ac:dyDescent="0.35">
      <c r="A62" s="203" t="s">
        <v>4528</v>
      </c>
      <c r="B62" s="189" t="s">
        <v>4616</v>
      </c>
      <c r="C62" s="189"/>
      <c r="D62" s="192" t="s">
        <v>4617</v>
      </c>
      <c r="E62" s="192"/>
      <c r="F62" s="194" t="str">
        <f>IF(COUNTIF(G62:AT62,"&lt;&gt;")=0,"",SUMPRODUCT(((Recommendations[ImplStatus]="Implemented")+(Recommendations[ImplStatus]="Compensated"))*ISNUMBER(MATCH(Recommendations[Id],G62:AT62,0)))/COUNTIF(G62:AT62,"&lt;&gt;"))</f>
        <v/>
      </c>
      <c r="G62" s="196"/>
      <c r="H62" s="196"/>
      <c r="I62" s="196"/>
      <c r="J62" s="196"/>
      <c r="K62" s="196"/>
      <c r="L62" s="196"/>
      <c r="M62" s="196"/>
      <c r="N62" s="196"/>
      <c r="O62" s="196"/>
      <c r="P62" s="196"/>
      <c r="Q62" s="196"/>
      <c r="R62" s="196"/>
      <c r="S62" s="196"/>
      <c r="T62" s="196"/>
      <c r="U62" s="196"/>
      <c r="V62" s="196"/>
      <c r="W62" s="196"/>
      <c r="X62" s="196"/>
      <c r="Y62" s="196"/>
      <c r="Z62" s="196"/>
      <c r="AA62" s="196"/>
      <c r="AB62" s="196"/>
      <c r="AC62" s="196"/>
      <c r="AD62" s="196"/>
      <c r="AE62" s="196"/>
      <c r="AF62" s="196"/>
      <c r="AG62" s="196"/>
      <c r="AH62" s="196"/>
      <c r="AI62" s="196"/>
      <c r="AJ62" s="196"/>
      <c r="AK62" s="196"/>
      <c r="AL62" s="196"/>
      <c r="AM62" s="196"/>
      <c r="AN62" s="196"/>
      <c r="AO62" s="196"/>
      <c r="AP62" s="196"/>
      <c r="AQ62" s="196"/>
      <c r="AR62" s="196"/>
      <c r="AS62" s="196"/>
      <c r="AT62" s="206"/>
    </row>
    <row r="63" spans="1:46" ht="60" customHeight="1" x14ac:dyDescent="0.35">
      <c r="A63" s="204" t="s">
        <v>4528</v>
      </c>
      <c r="B63" s="190" t="s">
        <v>4616</v>
      </c>
      <c r="C63" s="191" t="s">
        <v>4618</v>
      </c>
      <c r="D63" s="193" t="s">
        <v>4619</v>
      </c>
      <c r="E63" s="193" t="s">
        <v>4620</v>
      </c>
      <c r="F63" s="195" t="str">
        <f>IF(COUNTIF(G63:AT63,"&lt;&gt;")=0,"",SUMPRODUCT(((Recommendations[ImplStatus]="Implemented")+(Recommendations[ImplStatus]="Compensated"))*ISNUMBER(MATCH(Recommendations[Id],G63:AT63,0)))/COUNTIF(G63:AT63,"&lt;&gt;"))</f>
        <v/>
      </c>
      <c r="G63" s="197"/>
      <c r="H63" s="197"/>
      <c r="I63" s="197"/>
      <c r="J63" s="197"/>
      <c r="K63" s="197"/>
      <c r="L63" s="197"/>
      <c r="M63" s="197"/>
      <c r="N63" s="197"/>
      <c r="O63" s="197"/>
      <c r="P63" s="197"/>
      <c r="Q63" s="197"/>
      <c r="R63" s="197"/>
      <c r="S63" s="197"/>
      <c r="T63" s="197"/>
      <c r="U63" s="197"/>
      <c r="V63" s="197"/>
      <c r="W63" s="197"/>
      <c r="X63" s="197"/>
      <c r="Y63" s="197"/>
      <c r="Z63" s="197"/>
      <c r="AA63" s="197"/>
      <c r="AB63" s="197"/>
      <c r="AC63" s="197"/>
      <c r="AD63" s="197"/>
      <c r="AE63" s="197"/>
      <c r="AF63" s="197"/>
      <c r="AG63" s="197"/>
      <c r="AH63" s="197"/>
      <c r="AI63" s="197"/>
      <c r="AJ63" s="197"/>
      <c r="AK63" s="197"/>
      <c r="AL63" s="197"/>
      <c r="AM63" s="197"/>
      <c r="AN63" s="197"/>
      <c r="AO63" s="197"/>
      <c r="AP63" s="197"/>
      <c r="AQ63" s="197"/>
      <c r="AR63" s="197"/>
      <c r="AS63" s="197"/>
      <c r="AT63" s="207"/>
    </row>
    <row r="64" spans="1:46" ht="60" customHeight="1" x14ac:dyDescent="0.35">
      <c r="A64" s="204" t="s">
        <v>4528</v>
      </c>
      <c r="B64" s="190" t="s">
        <v>4616</v>
      </c>
      <c r="C64" s="191" t="s">
        <v>4621</v>
      </c>
      <c r="D64" s="193" t="s">
        <v>4622</v>
      </c>
      <c r="E64" s="193" t="s">
        <v>4623</v>
      </c>
      <c r="F64" s="195" t="str">
        <f>IF(COUNTIF(G64:AT64,"&lt;&gt;")=0,"",SUMPRODUCT(((Recommendations[ImplStatus]="Implemented")+(Recommendations[ImplStatus]="Compensated"))*ISNUMBER(MATCH(Recommendations[Id],G64:AT64,0)))/COUNTIF(G64:AT64,"&lt;&gt;"))</f>
        <v/>
      </c>
      <c r="G64" s="197"/>
      <c r="H64" s="197"/>
      <c r="I64" s="197"/>
      <c r="J64" s="197"/>
      <c r="K64" s="197"/>
      <c r="L64" s="197"/>
      <c r="M64" s="197"/>
      <c r="N64" s="197"/>
      <c r="O64" s="197"/>
      <c r="P64" s="197"/>
      <c r="Q64" s="197"/>
      <c r="R64" s="197"/>
      <c r="S64" s="197"/>
      <c r="T64" s="197"/>
      <c r="U64" s="197"/>
      <c r="V64" s="197"/>
      <c r="W64" s="197"/>
      <c r="X64" s="197"/>
      <c r="Y64" s="197"/>
      <c r="Z64" s="197"/>
      <c r="AA64" s="197"/>
      <c r="AB64" s="197"/>
      <c r="AC64" s="197"/>
      <c r="AD64" s="197"/>
      <c r="AE64" s="197"/>
      <c r="AF64" s="197"/>
      <c r="AG64" s="197"/>
      <c r="AH64" s="197"/>
      <c r="AI64" s="197"/>
      <c r="AJ64" s="197"/>
      <c r="AK64" s="197"/>
      <c r="AL64" s="197"/>
      <c r="AM64" s="197"/>
      <c r="AN64" s="197"/>
      <c r="AO64" s="197"/>
      <c r="AP64" s="197"/>
      <c r="AQ64" s="197"/>
      <c r="AR64" s="197"/>
      <c r="AS64" s="197"/>
      <c r="AT64" s="207"/>
    </row>
    <row r="65" spans="1:46" ht="60" customHeight="1" x14ac:dyDescent="0.35">
      <c r="A65" s="204" t="s">
        <v>4528</v>
      </c>
      <c r="B65" s="190" t="s">
        <v>4616</v>
      </c>
      <c r="C65" s="191" t="s">
        <v>4624</v>
      </c>
      <c r="D65" s="193" t="s">
        <v>4625</v>
      </c>
      <c r="E65" s="193" t="s">
        <v>4626</v>
      </c>
      <c r="F65" s="195" t="str">
        <f>IF(COUNTIF(G65:AT65,"&lt;&gt;")=0,"",SUMPRODUCT(((Recommendations[ImplStatus]="Implemented")+(Recommendations[ImplStatus]="Compensated"))*ISNUMBER(MATCH(Recommendations[Id],G65:AT65,0)))/COUNTIF(G65:AT65,"&lt;&gt;"))</f>
        <v/>
      </c>
      <c r="G65" s="197"/>
      <c r="H65" s="197"/>
      <c r="I65" s="197"/>
      <c r="J65" s="197"/>
      <c r="K65" s="197"/>
      <c r="L65" s="197"/>
      <c r="M65" s="197"/>
      <c r="N65" s="197"/>
      <c r="O65" s="197"/>
      <c r="P65" s="197"/>
      <c r="Q65" s="197"/>
      <c r="R65" s="197"/>
      <c r="S65" s="197"/>
      <c r="T65" s="197"/>
      <c r="U65" s="197"/>
      <c r="V65" s="197"/>
      <c r="W65" s="197"/>
      <c r="X65" s="197"/>
      <c r="Y65" s="197"/>
      <c r="Z65" s="197"/>
      <c r="AA65" s="197"/>
      <c r="AB65" s="197"/>
      <c r="AC65" s="197"/>
      <c r="AD65" s="197"/>
      <c r="AE65" s="197"/>
      <c r="AF65" s="197"/>
      <c r="AG65" s="197"/>
      <c r="AH65" s="197"/>
      <c r="AI65" s="197"/>
      <c r="AJ65" s="197"/>
      <c r="AK65" s="197"/>
      <c r="AL65" s="197"/>
      <c r="AM65" s="197"/>
      <c r="AN65" s="197"/>
      <c r="AO65" s="197"/>
      <c r="AP65" s="197"/>
      <c r="AQ65" s="197"/>
      <c r="AR65" s="197"/>
      <c r="AS65" s="197"/>
      <c r="AT65" s="207"/>
    </row>
    <row r="66" spans="1:46" ht="60" customHeight="1" x14ac:dyDescent="0.35">
      <c r="A66" s="204" t="s">
        <v>4528</v>
      </c>
      <c r="B66" s="190" t="s">
        <v>4616</v>
      </c>
      <c r="C66" s="191" t="s">
        <v>4627</v>
      </c>
      <c r="D66" s="193" t="s">
        <v>4628</v>
      </c>
      <c r="E66" s="193" t="s">
        <v>4629</v>
      </c>
      <c r="F66" s="195" t="str">
        <f>IF(COUNTIF(G66:AT66,"&lt;&gt;")=0,"",SUMPRODUCT(((Recommendations[ImplStatus]="Implemented")+(Recommendations[ImplStatus]="Compensated"))*ISNUMBER(MATCH(Recommendations[Id],G66:AT66,0)))/COUNTIF(G66:AT66,"&lt;&gt;"))</f>
        <v/>
      </c>
      <c r="G66" s="197"/>
      <c r="H66" s="197"/>
      <c r="I66" s="197"/>
      <c r="J66" s="197"/>
      <c r="K66" s="197"/>
      <c r="L66" s="197"/>
      <c r="M66" s="197"/>
      <c r="N66" s="197"/>
      <c r="O66" s="197"/>
      <c r="P66" s="197"/>
      <c r="Q66" s="197"/>
      <c r="R66" s="197"/>
      <c r="S66" s="197"/>
      <c r="T66" s="197"/>
      <c r="U66" s="197"/>
      <c r="V66" s="197"/>
      <c r="W66" s="197"/>
      <c r="X66" s="197"/>
      <c r="Y66" s="197"/>
      <c r="Z66" s="197"/>
      <c r="AA66" s="197"/>
      <c r="AB66" s="197"/>
      <c r="AC66" s="197"/>
      <c r="AD66" s="197"/>
      <c r="AE66" s="197"/>
      <c r="AF66" s="197"/>
      <c r="AG66" s="197"/>
      <c r="AH66" s="197"/>
      <c r="AI66" s="197"/>
      <c r="AJ66" s="197"/>
      <c r="AK66" s="197"/>
      <c r="AL66" s="197"/>
      <c r="AM66" s="197"/>
      <c r="AN66" s="197"/>
      <c r="AO66" s="197"/>
      <c r="AP66" s="197"/>
      <c r="AQ66" s="197"/>
      <c r="AR66" s="197"/>
      <c r="AS66" s="197"/>
      <c r="AT66" s="207"/>
    </row>
    <row r="67" spans="1:46" ht="60" customHeight="1" x14ac:dyDescent="0.35">
      <c r="A67" s="204" t="s">
        <v>4528</v>
      </c>
      <c r="B67" s="190" t="s">
        <v>4616</v>
      </c>
      <c r="C67" s="191" t="s">
        <v>4630</v>
      </c>
      <c r="D67" s="193" t="s">
        <v>4631</v>
      </c>
      <c r="E67" s="193" t="s">
        <v>4632</v>
      </c>
      <c r="F67" s="195" t="str">
        <f>IF(COUNTIF(G67:AT67,"&lt;&gt;")=0,"",SUMPRODUCT(((Recommendations[ImplStatus]="Implemented")+(Recommendations[ImplStatus]="Compensated"))*ISNUMBER(MATCH(Recommendations[Id],G67:AT67,0)))/COUNTIF(G67:AT67,"&lt;&gt;"))</f>
        <v/>
      </c>
      <c r="G67" s="197"/>
      <c r="H67" s="197"/>
      <c r="I67" s="197"/>
      <c r="J67" s="197"/>
      <c r="K67" s="197"/>
      <c r="L67" s="197"/>
      <c r="M67" s="197"/>
      <c r="N67" s="197"/>
      <c r="O67" s="197"/>
      <c r="P67" s="197"/>
      <c r="Q67" s="197"/>
      <c r="R67" s="197"/>
      <c r="S67" s="197"/>
      <c r="T67" s="197"/>
      <c r="U67" s="197"/>
      <c r="V67" s="197"/>
      <c r="W67" s="197"/>
      <c r="X67" s="197"/>
      <c r="Y67" s="197"/>
      <c r="Z67" s="197"/>
      <c r="AA67" s="197"/>
      <c r="AB67" s="197"/>
      <c r="AC67" s="197"/>
      <c r="AD67" s="197"/>
      <c r="AE67" s="197"/>
      <c r="AF67" s="197"/>
      <c r="AG67" s="197"/>
      <c r="AH67" s="197"/>
      <c r="AI67" s="197"/>
      <c r="AJ67" s="197"/>
      <c r="AK67" s="197"/>
      <c r="AL67" s="197"/>
      <c r="AM67" s="197"/>
      <c r="AN67" s="197"/>
      <c r="AO67" s="197"/>
      <c r="AP67" s="197"/>
      <c r="AQ67" s="197"/>
      <c r="AR67" s="197"/>
      <c r="AS67" s="197"/>
      <c r="AT67" s="207"/>
    </row>
    <row r="68" spans="1:46" ht="60" customHeight="1" x14ac:dyDescent="0.35">
      <c r="A68" s="204" t="s">
        <v>4528</v>
      </c>
      <c r="B68" s="190" t="s">
        <v>4616</v>
      </c>
      <c r="C68" s="191" t="s">
        <v>4633</v>
      </c>
      <c r="D68" s="193" t="s">
        <v>4634</v>
      </c>
      <c r="E68" s="193" t="s">
        <v>4635</v>
      </c>
      <c r="F68" s="195" t="str">
        <f>IF(COUNTIF(G68:AT68,"&lt;&gt;")=0,"",SUMPRODUCT(((Recommendations[ImplStatus]="Implemented")+(Recommendations[ImplStatus]="Compensated"))*ISNUMBER(MATCH(Recommendations[Id],G68:AT68,0)))/COUNTIF(G68:AT68,"&lt;&gt;"))</f>
        <v/>
      </c>
      <c r="G68" s="197"/>
      <c r="H68" s="197"/>
      <c r="I68" s="197"/>
      <c r="J68" s="197"/>
      <c r="K68" s="197"/>
      <c r="L68" s="197"/>
      <c r="M68" s="197"/>
      <c r="N68" s="197"/>
      <c r="O68" s="197"/>
      <c r="P68" s="197"/>
      <c r="Q68" s="197"/>
      <c r="R68" s="197"/>
      <c r="S68" s="197"/>
      <c r="T68" s="197"/>
      <c r="U68" s="197"/>
      <c r="V68" s="197"/>
      <c r="W68" s="197"/>
      <c r="X68" s="197"/>
      <c r="Y68" s="197"/>
      <c r="Z68" s="197"/>
      <c r="AA68" s="197"/>
      <c r="AB68" s="197"/>
      <c r="AC68" s="197"/>
      <c r="AD68" s="197"/>
      <c r="AE68" s="197"/>
      <c r="AF68" s="197"/>
      <c r="AG68" s="197"/>
      <c r="AH68" s="197"/>
      <c r="AI68" s="197"/>
      <c r="AJ68" s="197"/>
      <c r="AK68" s="197"/>
      <c r="AL68" s="197"/>
      <c r="AM68" s="197"/>
      <c r="AN68" s="197"/>
      <c r="AO68" s="197"/>
      <c r="AP68" s="197"/>
      <c r="AQ68" s="197"/>
      <c r="AR68" s="197"/>
      <c r="AS68" s="197"/>
      <c r="AT68" s="207"/>
    </row>
    <row r="69" spans="1:46" ht="60" customHeight="1" x14ac:dyDescent="0.35">
      <c r="A69" s="204" t="s">
        <v>4528</v>
      </c>
      <c r="B69" s="190" t="s">
        <v>4616</v>
      </c>
      <c r="C69" s="191" t="s">
        <v>4636</v>
      </c>
      <c r="D69" s="193" t="s">
        <v>4637</v>
      </c>
      <c r="E69" s="193" t="s">
        <v>4638</v>
      </c>
      <c r="F69" s="195" t="str">
        <f>IF(COUNTIF(G69:AT69,"&lt;&gt;")=0,"",SUMPRODUCT(((Recommendations[ImplStatus]="Implemented")+(Recommendations[ImplStatus]="Compensated"))*ISNUMBER(MATCH(Recommendations[Id],G69:AT69,0)))/COUNTIF(G69:AT69,"&lt;&gt;"))</f>
        <v/>
      </c>
      <c r="G69" s="197"/>
      <c r="H69" s="197"/>
      <c r="I69" s="197"/>
      <c r="J69" s="197"/>
      <c r="K69" s="197"/>
      <c r="L69" s="197"/>
      <c r="M69" s="197"/>
      <c r="N69" s="197"/>
      <c r="O69" s="197"/>
      <c r="P69" s="197"/>
      <c r="Q69" s="197"/>
      <c r="R69" s="197"/>
      <c r="S69" s="197"/>
      <c r="T69" s="197"/>
      <c r="U69" s="197"/>
      <c r="V69" s="197"/>
      <c r="W69" s="197"/>
      <c r="X69" s="197"/>
      <c r="Y69" s="197"/>
      <c r="Z69" s="197"/>
      <c r="AA69" s="197"/>
      <c r="AB69" s="197"/>
      <c r="AC69" s="197"/>
      <c r="AD69" s="197"/>
      <c r="AE69" s="197"/>
      <c r="AF69" s="197"/>
      <c r="AG69" s="197"/>
      <c r="AH69" s="197"/>
      <c r="AI69" s="197"/>
      <c r="AJ69" s="197"/>
      <c r="AK69" s="197"/>
      <c r="AL69" s="197"/>
      <c r="AM69" s="197"/>
      <c r="AN69" s="197"/>
      <c r="AO69" s="197"/>
      <c r="AP69" s="197"/>
      <c r="AQ69" s="197"/>
      <c r="AR69" s="197"/>
      <c r="AS69" s="197"/>
      <c r="AT69" s="207"/>
    </row>
    <row r="70" spans="1:46" ht="60" customHeight="1" x14ac:dyDescent="0.35">
      <c r="A70" s="204" t="s">
        <v>4528</v>
      </c>
      <c r="B70" s="190" t="s">
        <v>4616</v>
      </c>
      <c r="C70" s="191" t="s">
        <v>4639</v>
      </c>
      <c r="D70" s="193" t="s">
        <v>4640</v>
      </c>
      <c r="E70" s="193"/>
      <c r="F70" s="195" t="str">
        <f>IF(COUNTIF(G70:AT70,"&lt;&gt;")=0,"",SUMPRODUCT(((Recommendations[ImplStatus]="Implemented")+(Recommendations[ImplStatus]="Compensated"))*ISNUMBER(MATCH(Recommendations[Id],G70:AT70,0)))/COUNTIF(G70:AT70,"&lt;&gt;"))</f>
        <v/>
      </c>
      <c r="G70" s="197"/>
      <c r="H70" s="197"/>
      <c r="I70" s="197"/>
      <c r="J70" s="197"/>
      <c r="K70" s="197"/>
      <c r="L70" s="197"/>
      <c r="M70" s="197"/>
      <c r="N70" s="197"/>
      <c r="O70" s="197"/>
      <c r="P70" s="197"/>
      <c r="Q70" s="197"/>
      <c r="R70" s="197"/>
      <c r="S70" s="197"/>
      <c r="T70" s="197"/>
      <c r="U70" s="197"/>
      <c r="V70" s="197"/>
      <c r="W70" s="197"/>
      <c r="X70" s="197"/>
      <c r="Y70" s="197"/>
      <c r="Z70" s="197"/>
      <c r="AA70" s="197"/>
      <c r="AB70" s="197"/>
      <c r="AC70" s="197"/>
      <c r="AD70" s="197"/>
      <c r="AE70" s="197"/>
      <c r="AF70" s="197"/>
      <c r="AG70" s="197"/>
      <c r="AH70" s="197"/>
      <c r="AI70" s="197"/>
      <c r="AJ70" s="197"/>
      <c r="AK70" s="197"/>
      <c r="AL70" s="197"/>
      <c r="AM70" s="197"/>
      <c r="AN70" s="197"/>
      <c r="AO70" s="197"/>
      <c r="AP70" s="197"/>
      <c r="AQ70" s="197"/>
      <c r="AR70" s="197"/>
      <c r="AS70" s="197"/>
      <c r="AT70" s="207"/>
    </row>
    <row r="71" spans="1:46" ht="60" customHeight="1" x14ac:dyDescent="0.35">
      <c r="A71" s="204" t="s">
        <v>4528</v>
      </c>
      <c r="B71" s="190" t="s">
        <v>4616</v>
      </c>
      <c r="C71" s="191" t="s">
        <v>4641</v>
      </c>
      <c r="D71" s="193" t="s">
        <v>4642</v>
      </c>
      <c r="E71" s="193" t="s">
        <v>4643</v>
      </c>
      <c r="F71" s="195" t="str">
        <f>IF(COUNTIF(G71:AT71,"&lt;&gt;")=0,"",SUMPRODUCT(((Recommendations[ImplStatus]="Implemented")+(Recommendations[ImplStatus]="Compensated"))*ISNUMBER(MATCH(Recommendations[Id],G71:AT71,0)))/COUNTIF(G71:AT71,"&lt;&gt;"))</f>
        <v/>
      </c>
      <c r="G71" s="197"/>
      <c r="H71" s="197"/>
      <c r="I71" s="197"/>
      <c r="J71" s="197"/>
      <c r="K71" s="197"/>
      <c r="L71" s="197"/>
      <c r="M71" s="197"/>
      <c r="N71" s="197"/>
      <c r="O71" s="197"/>
      <c r="P71" s="197"/>
      <c r="Q71" s="197"/>
      <c r="R71" s="197"/>
      <c r="S71" s="197"/>
      <c r="T71" s="197"/>
      <c r="U71" s="197"/>
      <c r="V71" s="197"/>
      <c r="W71" s="197"/>
      <c r="X71" s="197"/>
      <c r="Y71" s="197"/>
      <c r="Z71" s="197"/>
      <c r="AA71" s="197"/>
      <c r="AB71" s="197"/>
      <c r="AC71" s="197"/>
      <c r="AD71" s="197"/>
      <c r="AE71" s="197"/>
      <c r="AF71" s="197"/>
      <c r="AG71" s="197"/>
      <c r="AH71" s="197"/>
      <c r="AI71" s="197"/>
      <c r="AJ71" s="197"/>
      <c r="AK71" s="197"/>
      <c r="AL71" s="197"/>
      <c r="AM71" s="197"/>
      <c r="AN71" s="197"/>
      <c r="AO71" s="197"/>
      <c r="AP71" s="197"/>
      <c r="AQ71" s="197"/>
      <c r="AR71" s="197"/>
      <c r="AS71" s="197"/>
      <c r="AT71" s="207"/>
    </row>
    <row r="72" spans="1:46" ht="60" customHeight="1" x14ac:dyDescent="0.35">
      <c r="A72" s="204" t="s">
        <v>4528</v>
      </c>
      <c r="B72" s="190" t="s">
        <v>4616</v>
      </c>
      <c r="C72" s="191" t="s">
        <v>4644</v>
      </c>
      <c r="D72" s="193" t="s">
        <v>4645</v>
      </c>
      <c r="E72" s="193" t="s">
        <v>4646</v>
      </c>
      <c r="F72" s="195" t="str">
        <f>IF(COUNTIF(G72:AT72,"&lt;&gt;")=0,"",SUMPRODUCT(((Recommendations[ImplStatus]="Implemented")+(Recommendations[ImplStatus]="Compensated"))*ISNUMBER(MATCH(Recommendations[Id],G72:AT72,0)))/COUNTIF(G72:AT72,"&lt;&gt;"))</f>
        <v/>
      </c>
      <c r="G72" s="197"/>
      <c r="H72" s="197"/>
      <c r="I72" s="197"/>
      <c r="J72" s="197"/>
      <c r="K72" s="197"/>
      <c r="L72" s="197"/>
      <c r="M72" s="197"/>
      <c r="N72" s="197"/>
      <c r="O72" s="197"/>
      <c r="P72" s="197"/>
      <c r="Q72" s="197"/>
      <c r="R72" s="197"/>
      <c r="S72" s="197"/>
      <c r="T72" s="197"/>
      <c r="U72" s="197"/>
      <c r="V72" s="197"/>
      <c r="W72" s="197"/>
      <c r="X72" s="197"/>
      <c r="Y72" s="197"/>
      <c r="Z72" s="197"/>
      <c r="AA72" s="197"/>
      <c r="AB72" s="197"/>
      <c r="AC72" s="197"/>
      <c r="AD72" s="197"/>
      <c r="AE72" s="197"/>
      <c r="AF72" s="197"/>
      <c r="AG72" s="197"/>
      <c r="AH72" s="197"/>
      <c r="AI72" s="197"/>
      <c r="AJ72" s="197"/>
      <c r="AK72" s="197"/>
      <c r="AL72" s="197"/>
      <c r="AM72" s="197"/>
      <c r="AN72" s="197"/>
      <c r="AO72" s="197"/>
      <c r="AP72" s="197"/>
      <c r="AQ72" s="197"/>
      <c r="AR72" s="197"/>
      <c r="AS72" s="197"/>
      <c r="AT72" s="207"/>
    </row>
    <row r="73" spans="1:46" ht="60" customHeight="1" x14ac:dyDescent="0.35">
      <c r="A73" s="204" t="s">
        <v>4528</v>
      </c>
      <c r="B73" s="190" t="s">
        <v>4616</v>
      </c>
      <c r="C73" s="191" t="s">
        <v>4647</v>
      </c>
      <c r="D73" s="193" t="s">
        <v>4648</v>
      </c>
      <c r="E73" s="193" t="s">
        <v>4649</v>
      </c>
      <c r="F73" s="195" t="str">
        <f>IF(COUNTIF(G73:AT73,"&lt;&gt;")=0,"",SUMPRODUCT(((Recommendations[ImplStatus]="Implemented")+(Recommendations[ImplStatus]="Compensated"))*ISNUMBER(MATCH(Recommendations[Id],G73:AT73,0)))/COUNTIF(G73:AT73,"&lt;&gt;"))</f>
        <v/>
      </c>
      <c r="G73" s="197"/>
      <c r="H73" s="197"/>
      <c r="I73" s="197"/>
      <c r="J73" s="197"/>
      <c r="K73" s="197"/>
      <c r="L73" s="197"/>
      <c r="M73" s="197"/>
      <c r="N73" s="197"/>
      <c r="O73" s="197"/>
      <c r="P73" s="197"/>
      <c r="Q73" s="197"/>
      <c r="R73" s="197"/>
      <c r="S73" s="197"/>
      <c r="T73" s="197"/>
      <c r="U73" s="197"/>
      <c r="V73" s="197"/>
      <c r="W73" s="197"/>
      <c r="X73" s="197"/>
      <c r="Y73" s="197"/>
      <c r="Z73" s="197"/>
      <c r="AA73" s="197"/>
      <c r="AB73" s="197"/>
      <c r="AC73" s="197"/>
      <c r="AD73" s="197"/>
      <c r="AE73" s="197"/>
      <c r="AF73" s="197"/>
      <c r="AG73" s="197"/>
      <c r="AH73" s="197"/>
      <c r="AI73" s="197"/>
      <c r="AJ73" s="197"/>
      <c r="AK73" s="197"/>
      <c r="AL73" s="197"/>
      <c r="AM73" s="197"/>
      <c r="AN73" s="197"/>
      <c r="AO73" s="197"/>
      <c r="AP73" s="197"/>
      <c r="AQ73" s="197"/>
      <c r="AR73" s="197"/>
      <c r="AS73" s="197"/>
      <c r="AT73" s="207"/>
    </row>
    <row r="74" spans="1:46" ht="60" customHeight="1" x14ac:dyDescent="0.35">
      <c r="A74" s="204" t="s">
        <v>4528</v>
      </c>
      <c r="B74" s="190" t="s">
        <v>4616</v>
      </c>
      <c r="C74" s="191" t="s">
        <v>4650</v>
      </c>
      <c r="D74" s="193" t="s">
        <v>4651</v>
      </c>
      <c r="E74" s="193" t="s">
        <v>4652</v>
      </c>
      <c r="F74" s="195">
        <f>IF(COUNTIF(G74:AT74,"&lt;&gt;")=0,"",SUMPRODUCT(((Recommendations[ImplStatus]="Implemented")+(Recommendations[ImplStatus]="Compensated"))*ISNUMBER(MATCH(Recommendations[Id],G74:AT74,0)))/COUNTIF(G74:AT74,"&lt;&gt;"))</f>
        <v>0</v>
      </c>
      <c r="G74" s="197" t="s">
        <v>223</v>
      </c>
      <c r="H74" s="197" t="s">
        <v>1962</v>
      </c>
      <c r="I74" s="197"/>
      <c r="J74" s="197"/>
      <c r="K74" s="197"/>
      <c r="L74" s="197"/>
      <c r="M74" s="197"/>
      <c r="N74" s="197"/>
      <c r="O74" s="197"/>
      <c r="P74" s="197"/>
      <c r="Q74" s="197"/>
      <c r="R74" s="197"/>
      <c r="S74" s="197"/>
      <c r="T74" s="197"/>
      <c r="U74" s="197"/>
      <c r="V74" s="197"/>
      <c r="W74" s="197"/>
      <c r="X74" s="197"/>
      <c r="Y74" s="197"/>
      <c r="Z74" s="197"/>
      <c r="AA74" s="197"/>
      <c r="AB74" s="197"/>
      <c r="AC74" s="197"/>
      <c r="AD74" s="197"/>
      <c r="AE74" s="197"/>
      <c r="AF74" s="197"/>
      <c r="AG74" s="197"/>
      <c r="AH74" s="197"/>
      <c r="AI74" s="197"/>
      <c r="AJ74" s="197"/>
      <c r="AK74" s="197"/>
      <c r="AL74" s="197"/>
      <c r="AM74" s="197"/>
      <c r="AN74" s="197"/>
      <c r="AO74" s="197"/>
      <c r="AP74" s="197"/>
      <c r="AQ74" s="197"/>
      <c r="AR74" s="197"/>
      <c r="AS74" s="197"/>
      <c r="AT74" s="207"/>
    </row>
    <row r="75" spans="1:46" ht="60" customHeight="1" x14ac:dyDescent="0.35">
      <c r="A75" s="204" t="s">
        <v>4528</v>
      </c>
      <c r="B75" s="190" t="s">
        <v>4616</v>
      </c>
      <c r="C75" s="191" t="s">
        <v>4653</v>
      </c>
      <c r="D75" s="193" t="s">
        <v>4654</v>
      </c>
      <c r="E75" s="193" t="s">
        <v>4655</v>
      </c>
      <c r="F75" s="195" t="str">
        <f>IF(COUNTIF(G75:AT75,"&lt;&gt;")=0,"",SUMPRODUCT(((Recommendations[ImplStatus]="Implemented")+(Recommendations[ImplStatus]="Compensated"))*ISNUMBER(MATCH(Recommendations[Id],G75:AT75,0)))/COUNTIF(G75:AT75,"&lt;&gt;"))</f>
        <v/>
      </c>
      <c r="G75" s="197"/>
      <c r="H75" s="197"/>
      <c r="I75" s="197"/>
      <c r="J75" s="197"/>
      <c r="K75" s="197"/>
      <c r="L75" s="197"/>
      <c r="M75" s="197"/>
      <c r="N75" s="197"/>
      <c r="O75" s="197"/>
      <c r="P75" s="197"/>
      <c r="Q75" s="197"/>
      <c r="R75" s="197"/>
      <c r="S75" s="197"/>
      <c r="T75" s="197"/>
      <c r="U75" s="197"/>
      <c r="V75" s="197"/>
      <c r="W75" s="197"/>
      <c r="X75" s="197"/>
      <c r="Y75" s="197"/>
      <c r="Z75" s="197"/>
      <c r="AA75" s="197"/>
      <c r="AB75" s="197"/>
      <c r="AC75" s="197"/>
      <c r="AD75" s="197"/>
      <c r="AE75" s="197"/>
      <c r="AF75" s="197"/>
      <c r="AG75" s="197"/>
      <c r="AH75" s="197"/>
      <c r="AI75" s="197"/>
      <c r="AJ75" s="197"/>
      <c r="AK75" s="197"/>
      <c r="AL75" s="197"/>
      <c r="AM75" s="197"/>
      <c r="AN75" s="197"/>
      <c r="AO75" s="197"/>
      <c r="AP75" s="197"/>
      <c r="AQ75" s="197"/>
      <c r="AR75" s="197"/>
      <c r="AS75" s="197"/>
      <c r="AT75" s="207"/>
    </row>
    <row r="76" spans="1:46" ht="60" customHeight="1" x14ac:dyDescent="0.35">
      <c r="A76" s="204" t="s">
        <v>4528</v>
      </c>
      <c r="B76" s="190" t="s">
        <v>4616</v>
      </c>
      <c r="C76" s="191" t="s">
        <v>4656</v>
      </c>
      <c r="D76" s="193" t="s">
        <v>4657</v>
      </c>
      <c r="E76" s="193" t="s">
        <v>4658</v>
      </c>
      <c r="F76" s="195" t="str">
        <f>IF(COUNTIF(G76:AT76,"&lt;&gt;")=0,"",SUMPRODUCT(((Recommendations[ImplStatus]="Implemented")+(Recommendations[ImplStatus]="Compensated"))*ISNUMBER(MATCH(Recommendations[Id],G76:AT76,0)))/COUNTIF(G76:AT76,"&lt;&gt;"))</f>
        <v/>
      </c>
      <c r="G76" s="197"/>
      <c r="H76" s="197"/>
      <c r="I76" s="197"/>
      <c r="J76" s="197"/>
      <c r="K76" s="197"/>
      <c r="L76" s="197"/>
      <c r="M76" s="197"/>
      <c r="N76" s="197"/>
      <c r="O76" s="197"/>
      <c r="P76" s="197"/>
      <c r="Q76" s="197"/>
      <c r="R76" s="197"/>
      <c r="S76" s="197"/>
      <c r="T76" s="197"/>
      <c r="U76" s="197"/>
      <c r="V76" s="197"/>
      <c r="W76" s="197"/>
      <c r="X76" s="197"/>
      <c r="Y76" s="197"/>
      <c r="Z76" s="197"/>
      <c r="AA76" s="197"/>
      <c r="AB76" s="197"/>
      <c r="AC76" s="197"/>
      <c r="AD76" s="197"/>
      <c r="AE76" s="197"/>
      <c r="AF76" s="197"/>
      <c r="AG76" s="197"/>
      <c r="AH76" s="197"/>
      <c r="AI76" s="197"/>
      <c r="AJ76" s="197"/>
      <c r="AK76" s="197"/>
      <c r="AL76" s="197"/>
      <c r="AM76" s="197"/>
      <c r="AN76" s="197"/>
      <c r="AO76" s="197"/>
      <c r="AP76" s="197"/>
      <c r="AQ76" s="197"/>
      <c r="AR76" s="197"/>
      <c r="AS76" s="197"/>
      <c r="AT76" s="207"/>
    </row>
    <row r="77" spans="1:46" ht="60" customHeight="1" x14ac:dyDescent="0.35">
      <c r="A77" s="204" t="s">
        <v>4528</v>
      </c>
      <c r="B77" s="190" t="s">
        <v>4616</v>
      </c>
      <c r="C77" s="191" t="s">
        <v>4659</v>
      </c>
      <c r="D77" s="193" t="s">
        <v>4660</v>
      </c>
      <c r="E77" s="193" t="s">
        <v>4661</v>
      </c>
      <c r="F77" s="195" t="str">
        <f>IF(COUNTIF(G77:AT77,"&lt;&gt;")=0,"",SUMPRODUCT(((Recommendations[ImplStatus]="Implemented")+(Recommendations[ImplStatus]="Compensated"))*ISNUMBER(MATCH(Recommendations[Id],G77:AT77,0)))/COUNTIF(G77:AT77,"&lt;&gt;"))</f>
        <v/>
      </c>
      <c r="G77" s="197"/>
      <c r="H77" s="197"/>
      <c r="I77" s="197"/>
      <c r="J77" s="197"/>
      <c r="K77" s="197"/>
      <c r="L77" s="197"/>
      <c r="M77" s="197"/>
      <c r="N77" s="197"/>
      <c r="O77" s="197"/>
      <c r="P77" s="197"/>
      <c r="Q77" s="197"/>
      <c r="R77" s="197"/>
      <c r="S77" s="197"/>
      <c r="T77" s="197"/>
      <c r="U77" s="197"/>
      <c r="V77" s="197"/>
      <c r="W77" s="197"/>
      <c r="X77" s="197"/>
      <c r="Y77" s="197"/>
      <c r="Z77" s="197"/>
      <c r="AA77" s="197"/>
      <c r="AB77" s="197"/>
      <c r="AC77" s="197"/>
      <c r="AD77" s="197"/>
      <c r="AE77" s="197"/>
      <c r="AF77" s="197"/>
      <c r="AG77" s="197"/>
      <c r="AH77" s="197"/>
      <c r="AI77" s="197"/>
      <c r="AJ77" s="197"/>
      <c r="AK77" s="197"/>
      <c r="AL77" s="197"/>
      <c r="AM77" s="197"/>
      <c r="AN77" s="197"/>
      <c r="AO77" s="197"/>
      <c r="AP77" s="197"/>
      <c r="AQ77" s="197"/>
      <c r="AR77" s="197"/>
      <c r="AS77" s="197"/>
      <c r="AT77" s="207"/>
    </row>
    <row r="78" spans="1:46" ht="60" customHeight="1" x14ac:dyDescent="0.35">
      <c r="A78" s="204" t="s">
        <v>4528</v>
      </c>
      <c r="B78" s="190" t="s">
        <v>4616</v>
      </c>
      <c r="C78" s="191" t="s">
        <v>4662</v>
      </c>
      <c r="D78" s="193" t="s">
        <v>4663</v>
      </c>
      <c r="E78" s="193" t="s">
        <v>4664</v>
      </c>
      <c r="F78" s="195" t="str">
        <f>IF(COUNTIF(G78:AT78,"&lt;&gt;")=0,"",SUMPRODUCT(((Recommendations[ImplStatus]="Implemented")+(Recommendations[ImplStatus]="Compensated"))*ISNUMBER(MATCH(Recommendations[Id],G78:AT78,0)))/COUNTIF(G78:AT78,"&lt;&gt;"))</f>
        <v/>
      </c>
      <c r="G78" s="197"/>
      <c r="H78" s="197"/>
      <c r="I78" s="197"/>
      <c r="J78" s="197"/>
      <c r="K78" s="197"/>
      <c r="L78" s="197"/>
      <c r="M78" s="197"/>
      <c r="N78" s="197"/>
      <c r="O78" s="197"/>
      <c r="P78" s="197"/>
      <c r="Q78" s="197"/>
      <c r="R78" s="197"/>
      <c r="S78" s="197"/>
      <c r="T78" s="197"/>
      <c r="U78" s="197"/>
      <c r="V78" s="197"/>
      <c r="W78" s="197"/>
      <c r="X78" s="197"/>
      <c r="Y78" s="197"/>
      <c r="Z78" s="197"/>
      <c r="AA78" s="197"/>
      <c r="AB78" s="197"/>
      <c r="AC78" s="197"/>
      <c r="AD78" s="197"/>
      <c r="AE78" s="197"/>
      <c r="AF78" s="197"/>
      <c r="AG78" s="197"/>
      <c r="AH78" s="197"/>
      <c r="AI78" s="197"/>
      <c r="AJ78" s="197"/>
      <c r="AK78" s="197"/>
      <c r="AL78" s="197"/>
      <c r="AM78" s="197"/>
      <c r="AN78" s="197"/>
      <c r="AO78" s="197"/>
      <c r="AP78" s="197"/>
      <c r="AQ78" s="197"/>
      <c r="AR78" s="197"/>
      <c r="AS78" s="197"/>
      <c r="AT78" s="207"/>
    </row>
    <row r="79" spans="1:46" ht="60" customHeight="1" outlineLevel="1" x14ac:dyDescent="0.35">
      <c r="A79" s="203" t="s">
        <v>4528</v>
      </c>
      <c r="B79" s="189" t="s">
        <v>4616</v>
      </c>
      <c r="C79" s="189"/>
      <c r="D79" s="192" t="s">
        <v>4665</v>
      </c>
      <c r="E79" s="192"/>
      <c r="F79" s="194" t="str">
        <f>IF(COUNTIF(G79:AT79,"&lt;&gt;")=0,"",SUMPRODUCT(((Recommendations[ImplStatus]="Implemented")+(Recommendations[ImplStatus]="Compensated"))*ISNUMBER(MATCH(Recommendations[Id],G79:AT79,0)))/COUNTIF(G79:AT79,"&lt;&gt;"))</f>
        <v/>
      </c>
      <c r="G79" s="196"/>
      <c r="H79" s="196"/>
      <c r="I79" s="196"/>
      <c r="J79" s="196"/>
      <c r="K79" s="196"/>
      <c r="L79" s="196"/>
      <c r="M79" s="196"/>
      <c r="N79" s="196"/>
      <c r="O79" s="196"/>
      <c r="P79" s="196"/>
      <c r="Q79" s="196"/>
      <c r="R79" s="196"/>
      <c r="S79" s="196"/>
      <c r="T79" s="196"/>
      <c r="U79" s="196"/>
      <c r="V79" s="196"/>
      <c r="W79" s="196"/>
      <c r="X79" s="196"/>
      <c r="Y79" s="196"/>
      <c r="Z79" s="196"/>
      <c r="AA79" s="196"/>
      <c r="AB79" s="196"/>
      <c r="AC79" s="196"/>
      <c r="AD79" s="196"/>
      <c r="AE79" s="196"/>
      <c r="AF79" s="196"/>
      <c r="AG79" s="196"/>
      <c r="AH79" s="196"/>
      <c r="AI79" s="196"/>
      <c r="AJ79" s="196"/>
      <c r="AK79" s="196"/>
      <c r="AL79" s="196"/>
      <c r="AM79" s="196"/>
      <c r="AN79" s="196"/>
      <c r="AO79" s="196"/>
      <c r="AP79" s="196"/>
      <c r="AQ79" s="196"/>
      <c r="AR79" s="196"/>
      <c r="AS79" s="196"/>
      <c r="AT79" s="206"/>
    </row>
    <row r="80" spans="1:46" ht="60" customHeight="1" x14ac:dyDescent="0.35">
      <c r="A80" s="204" t="s">
        <v>4666</v>
      </c>
      <c r="B80" s="190"/>
      <c r="C80" s="191" t="s">
        <v>4667</v>
      </c>
      <c r="D80" s="193" t="s">
        <v>4668</v>
      </c>
      <c r="E80" s="193" t="s">
        <v>4669</v>
      </c>
      <c r="F80" s="195" t="str">
        <f>IF(COUNTIF(G80:AT80,"&lt;&gt;")=0,"",SUMPRODUCT(((Recommendations[ImplStatus]="Implemented")+(Recommendations[ImplStatus]="Compensated"))*ISNUMBER(MATCH(Recommendations[Id],G80:AT80,0)))/COUNTIF(G80:AT80,"&lt;&gt;"))</f>
        <v/>
      </c>
      <c r="G80" s="197"/>
      <c r="H80" s="197"/>
      <c r="I80" s="197"/>
      <c r="J80" s="197"/>
      <c r="K80" s="197"/>
      <c r="L80" s="197"/>
      <c r="M80" s="197"/>
      <c r="N80" s="197"/>
      <c r="O80" s="197"/>
      <c r="P80" s="197"/>
      <c r="Q80" s="197"/>
      <c r="R80" s="197"/>
      <c r="S80" s="197"/>
      <c r="T80" s="197"/>
      <c r="U80" s="197"/>
      <c r="V80" s="197"/>
      <c r="W80" s="197"/>
      <c r="X80" s="197"/>
      <c r="Y80" s="197"/>
      <c r="Z80" s="197"/>
      <c r="AA80" s="197"/>
      <c r="AB80" s="197"/>
      <c r="AC80" s="197"/>
      <c r="AD80" s="197"/>
      <c r="AE80" s="197"/>
      <c r="AF80" s="197"/>
      <c r="AG80" s="197"/>
      <c r="AH80" s="197"/>
      <c r="AI80" s="197"/>
      <c r="AJ80" s="197"/>
      <c r="AK80" s="197"/>
      <c r="AL80" s="197"/>
      <c r="AM80" s="197"/>
      <c r="AN80" s="197"/>
      <c r="AO80" s="197"/>
      <c r="AP80" s="197"/>
      <c r="AQ80" s="197"/>
      <c r="AR80" s="197"/>
      <c r="AS80" s="197"/>
      <c r="AT80" s="207"/>
    </row>
    <row r="81" spans="1:46" ht="60" customHeight="1" x14ac:dyDescent="0.35">
      <c r="A81" s="204" t="s">
        <v>4666</v>
      </c>
      <c r="B81" s="190"/>
      <c r="C81" s="191" t="s">
        <v>4670</v>
      </c>
      <c r="D81" s="193" t="s">
        <v>4671</v>
      </c>
      <c r="E81" s="193" t="s">
        <v>4672</v>
      </c>
      <c r="F81" s="195" t="str">
        <f>IF(COUNTIF(G81:AT81,"&lt;&gt;")=0,"",SUMPRODUCT(((Recommendations[ImplStatus]="Implemented")+(Recommendations[ImplStatus]="Compensated"))*ISNUMBER(MATCH(Recommendations[Id],G81:AT81,0)))/COUNTIF(G81:AT81,"&lt;&gt;"))</f>
        <v/>
      </c>
      <c r="G81" s="197"/>
      <c r="H81" s="197"/>
      <c r="I81" s="197"/>
      <c r="J81" s="197"/>
      <c r="K81" s="197"/>
      <c r="L81" s="197"/>
      <c r="M81" s="197"/>
      <c r="N81" s="197"/>
      <c r="O81" s="197"/>
      <c r="P81" s="197"/>
      <c r="Q81" s="197"/>
      <c r="R81" s="197"/>
      <c r="S81" s="197"/>
      <c r="T81" s="197"/>
      <c r="U81" s="197"/>
      <c r="V81" s="197"/>
      <c r="W81" s="197"/>
      <c r="X81" s="197"/>
      <c r="Y81" s="197"/>
      <c r="Z81" s="197"/>
      <c r="AA81" s="197"/>
      <c r="AB81" s="197"/>
      <c r="AC81" s="197"/>
      <c r="AD81" s="197"/>
      <c r="AE81" s="197"/>
      <c r="AF81" s="197"/>
      <c r="AG81" s="197"/>
      <c r="AH81" s="197"/>
      <c r="AI81" s="197"/>
      <c r="AJ81" s="197"/>
      <c r="AK81" s="197"/>
      <c r="AL81" s="197"/>
      <c r="AM81" s="197"/>
      <c r="AN81" s="197"/>
      <c r="AO81" s="197"/>
      <c r="AP81" s="197"/>
      <c r="AQ81" s="197"/>
      <c r="AR81" s="197"/>
      <c r="AS81" s="197"/>
      <c r="AT81" s="207"/>
    </row>
    <row r="82" spans="1:46" ht="60" customHeight="1" x14ac:dyDescent="0.35">
      <c r="A82" s="204" t="s">
        <v>4666</v>
      </c>
      <c r="B82" s="190"/>
      <c r="C82" s="191" t="s">
        <v>4673</v>
      </c>
      <c r="D82" s="193" t="s">
        <v>4674</v>
      </c>
      <c r="E82" s="193" t="s">
        <v>4675</v>
      </c>
      <c r="F82" s="195" t="str">
        <f>IF(COUNTIF(G82:AT82,"&lt;&gt;")=0,"",SUMPRODUCT(((Recommendations[ImplStatus]="Implemented")+(Recommendations[ImplStatus]="Compensated"))*ISNUMBER(MATCH(Recommendations[Id],G82:AT82,0)))/COUNTIF(G82:AT82,"&lt;&gt;"))</f>
        <v/>
      </c>
      <c r="G82" s="197"/>
      <c r="H82" s="197"/>
      <c r="I82" s="197"/>
      <c r="J82" s="197"/>
      <c r="K82" s="197"/>
      <c r="L82" s="197"/>
      <c r="M82" s="197"/>
      <c r="N82" s="197"/>
      <c r="O82" s="197"/>
      <c r="P82" s="197"/>
      <c r="Q82" s="197"/>
      <c r="R82" s="197"/>
      <c r="S82" s="197"/>
      <c r="T82" s="197"/>
      <c r="U82" s="197"/>
      <c r="V82" s="197"/>
      <c r="W82" s="197"/>
      <c r="X82" s="197"/>
      <c r="Y82" s="197"/>
      <c r="Z82" s="197"/>
      <c r="AA82" s="197"/>
      <c r="AB82" s="197"/>
      <c r="AC82" s="197"/>
      <c r="AD82" s="197"/>
      <c r="AE82" s="197"/>
      <c r="AF82" s="197"/>
      <c r="AG82" s="197"/>
      <c r="AH82" s="197"/>
      <c r="AI82" s="197"/>
      <c r="AJ82" s="197"/>
      <c r="AK82" s="197"/>
      <c r="AL82" s="197"/>
      <c r="AM82" s="197"/>
      <c r="AN82" s="197"/>
      <c r="AO82" s="197"/>
      <c r="AP82" s="197"/>
      <c r="AQ82" s="197"/>
      <c r="AR82" s="197"/>
      <c r="AS82" s="197"/>
      <c r="AT82" s="207"/>
    </row>
    <row r="83" spans="1:46" ht="60" customHeight="1" x14ac:dyDescent="0.35">
      <c r="A83" s="204" t="s">
        <v>4666</v>
      </c>
      <c r="B83" s="190"/>
      <c r="C83" s="191" t="s">
        <v>4676</v>
      </c>
      <c r="D83" s="193" t="s">
        <v>4677</v>
      </c>
      <c r="E83" s="193" t="s">
        <v>4678</v>
      </c>
      <c r="F83" s="195" t="str">
        <f>IF(COUNTIF(G83:AT83,"&lt;&gt;")=0,"",SUMPRODUCT(((Recommendations[ImplStatus]="Implemented")+(Recommendations[ImplStatus]="Compensated"))*ISNUMBER(MATCH(Recommendations[Id],G83:AT83,0)))/COUNTIF(G83:AT83,"&lt;&gt;"))</f>
        <v/>
      </c>
      <c r="G83" s="197"/>
      <c r="H83" s="197"/>
      <c r="I83" s="197"/>
      <c r="J83" s="197"/>
      <c r="K83" s="197"/>
      <c r="L83" s="197"/>
      <c r="M83" s="197"/>
      <c r="N83" s="197"/>
      <c r="O83" s="197"/>
      <c r="P83" s="197"/>
      <c r="Q83" s="197"/>
      <c r="R83" s="197"/>
      <c r="S83" s="197"/>
      <c r="T83" s="197"/>
      <c r="U83" s="197"/>
      <c r="V83" s="197"/>
      <c r="W83" s="197"/>
      <c r="X83" s="197"/>
      <c r="Y83" s="197"/>
      <c r="Z83" s="197"/>
      <c r="AA83" s="197"/>
      <c r="AB83" s="197"/>
      <c r="AC83" s="197"/>
      <c r="AD83" s="197"/>
      <c r="AE83" s="197"/>
      <c r="AF83" s="197"/>
      <c r="AG83" s="197"/>
      <c r="AH83" s="197"/>
      <c r="AI83" s="197"/>
      <c r="AJ83" s="197"/>
      <c r="AK83" s="197"/>
      <c r="AL83" s="197"/>
      <c r="AM83" s="197"/>
      <c r="AN83" s="197"/>
      <c r="AO83" s="197"/>
      <c r="AP83" s="197"/>
      <c r="AQ83" s="197"/>
      <c r="AR83" s="197"/>
      <c r="AS83" s="197"/>
      <c r="AT83" s="207"/>
    </row>
    <row r="84" spans="1:46" ht="60" customHeight="1" outlineLevel="1" x14ac:dyDescent="0.35">
      <c r="A84" s="203" t="s">
        <v>4666</v>
      </c>
      <c r="B84" s="189"/>
      <c r="C84" s="189"/>
      <c r="D84" s="192" t="s">
        <v>4679</v>
      </c>
      <c r="E84" s="192"/>
      <c r="F84" s="194" t="str">
        <f>IF(COUNTIF(G84:AT84,"&lt;&gt;")=0,"",SUMPRODUCT(((Recommendations[ImplStatus]="Implemented")+(Recommendations[ImplStatus]="Compensated"))*ISNUMBER(MATCH(Recommendations[Id],G84:AT84,0)))/COUNTIF(G84:AT84,"&lt;&gt;"))</f>
        <v/>
      </c>
      <c r="G84" s="196"/>
      <c r="H84" s="196"/>
      <c r="I84" s="196"/>
      <c r="J84" s="196"/>
      <c r="K84" s="196"/>
      <c r="L84" s="196"/>
      <c r="M84" s="196"/>
      <c r="N84" s="196"/>
      <c r="O84" s="196"/>
      <c r="P84" s="196"/>
      <c r="Q84" s="196"/>
      <c r="R84" s="196"/>
      <c r="S84" s="196"/>
      <c r="T84" s="196"/>
      <c r="U84" s="196"/>
      <c r="V84" s="196"/>
      <c r="W84" s="196"/>
      <c r="X84" s="196"/>
      <c r="Y84" s="196"/>
      <c r="Z84" s="196"/>
      <c r="AA84" s="196"/>
      <c r="AB84" s="196"/>
      <c r="AC84" s="196"/>
      <c r="AD84" s="196"/>
      <c r="AE84" s="196"/>
      <c r="AF84" s="196"/>
      <c r="AG84" s="196"/>
      <c r="AH84" s="196"/>
      <c r="AI84" s="196"/>
      <c r="AJ84" s="196"/>
      <c r="AK84" s="196"/>
      <c r="AL84" s="196"/>
      <c r="AM84" s="196"/>
      <c r="AN84" s="196"/>
      <c r="AO84" s="196"/>
      <c r="AP84" s="196"/>
      <c r="AQ84" s="196"/>
      <c r="AR84" s="196"/>
      <c r="AS84" s="196"/>
      <c r="AT84" s="206"/>
    </row>
    <row r="85" spans="1:46" ht="60" customHeight="1" x14ac:dyDescent="0.35">
      <c r="A85" s="204" t="s">
        <v>4680</v>
      </c>
      <c r="B85" s="190"/>
      <c r="C85" s="191" t="s">
        <v>4681</v>
      </c>
      <c r="D85" s="193" t="s">
        <v>4682</v>
      </c>
      <c r="E85" s="193" t="s">
        <v>4683</v>
      </c>
      <c r="F85" s="195" t="str">
        <f>IF(COUNTIF(G85:AT85,"&lt;&gt;")=0,"",SUMPRODUCT(((Recommendations[ImplStatus]="Implemented")+(Recommendations[ImplStatus]="Compensated"))*ISNUMBER(MATCH(Recommendations[Id],G85:AT85,0)))/COUNTIF(G85:AT85,"&lt;&gt;"))</f>
        <v/>
      </c>
      <c r="G85" s="197"/>
      <c r="H85" s="197"/>
      <c r="I85" s="197"/>
      <c r="J85" s="197"/>
      <c r="K85" s="197"/>
      <c r="L85" s="197"/>
      <c r="M85" s="197"/>
      <c r="N85" s="197"/>
      <c r="O85" s="197"/>
      <c r="P85" s="197"/>
      <c r="Q85" s="197"/>
      <c r="R85" s="197"/>
      <c r="S85" s="197"/>
      <c r="T85" s="197"/>
      <c r="U85" s="197"/>
      <c r="V85" s="197"/>
      <c r="W85" s="197"/>
      <c r="X85" s="197"/>
      <c r="Y85" s="197"/>
      <c r="Z85" s="197"/>
      <c r="AA85" s="197"/>
      <c r="AB85" s="197"/>
      <c r="AC85" s="197"/>
      <c r="AD85" s="197"/>
      <c r="AE85" s="197"/>
      <c r="AF85" s="197"/>
      <c r="AG85" s="197"/>
      <c r="AH85" s="197"/>
      <c r="AI85" s="197"/>
      <c r="AJ85" s="197"/>
      <c r="AK85" s="197"/>
      <c r="AL85" s="197"/>
      <c r="AM85" s="197"/>
      <c r="AN85" s="197"/>
      <c r="AO85" s="197"/>
      <c r="AP85" s="197"/>
      <c r="AQ85" s="197"/>
      <c r="AR85" s="197"/>
      <c r="AS85" s="197"/>
      <c r="AT85" s="207"/>
    </row>
    <row r="86" spans="1:46" ht="60" customHeight="1" x14ac:dyDescent="0.35">
      <c r="A86" s="204" t="s">
        <v>4680</v>
      </c>
      <c r="B86" s="190"/>
      <c r="C86" s="191" t="s">
        <v>4684</v>
      </c>
      <c r="D86" s="193" t="s">
        <v>4685</v>
      </c>
      <c r="E86" s="193" t="s">
        <v>4686</v>
      </c>
      <c r="F86" s="195">
        <f>IF(COUNTIF(G86:AT86,"&lt;&gt;")=0,"",SUMPRODUCT(((Recommendations[ImplStatus]="Implemented")+(Recommendations[ImplStatus]="Compensated"))*ISNUMBER(MATCH(Recommendations[Id],G86:AT86,0)))/COUNTIF(G86:AT86,"&lt;&gt;"))</f>
        <v>0</v>
      </c>
      <c r="G86" s="197" t="s">
        <v>835</v>
      </c>
      <c r="H86" s="197"/>
      <c r="I86" s="197"/>
      <c r="J86" s="197"/>
      <c r="K86" s="197"/>
      <c r="L86" s="197"/>
      <c r="M86" s="197"/>
      <c r="N86" s="197"/>
      <c r="O86" s="197"/>
      <c r="P86" s="197"/>
      <c r="Q86" s="197"/>
      <c r="R86" s="197"/>
      <c r="S86" s="197"/>
      <c r="T86" s="197"/>
      <c r="U86" s="197"/>
      <c r="V86" s="197"/>
      <c r="W86" s="197"/>
      <c r="X86" s="197"/>
      <c r="Y86" s="197"/>
      <c r="Z86" s="197"/>
      <c r="AA86" s="197"/>
      <c r="AB86" s="197"/>
      <c r="AC86" s="197"/>
      <c r="AD86" s="197"/>
      <c r="AE86" s="197"/>
      <c r="AF86" s="197"/>
      <c r="AG86" s="197"/>
      <c r="AH86" s="197"/>
      <c r="AI86" s="197"/>
      <c r="AJ86" s="197"/>
      <c r="AK86" s="197"/>
      <c r="AL86" s="197"/>
      <c r="AM86" s="197"/>
      <c r="AN86" s="197"/>
      <c r="AO86" s="197"/>
      <c r="AP86" s="197"/>
      <c r="AQ86" s="197"/>
      <c r="AR86" s="197"/>
      <c r="AS86" s="197"/>
      <c r="AT86" s="207"/>
    </row>
    <row r="87" spans="1:46" ht="60" customHeight="1" x14ac:dyDescent="0.35">
      <c r="A87" s="204" t="s">
        <v>4680</v>
      </c>
      <c r="B87" s="190"/>
      <c r="C87" s="191" t="s">
        <v>4687</v>
      </c>
      <c r="D87" s="193" t="s">
        <v>4688</v>
      </c>
      <c r="E87" s="193" t="s">
        <v>4689</v>
      </c>
      <c r="F87" s="195" t="str">
        <f>IF(COUNTIF(G87:AT87,"&lt;&gt;")=0,"",SUMPRODUCT(((Recommendations[ImplStatus]="Implemented")+(Recommendations[ImplStatus]="Compensated"))*ISNUMBER(MATCH(Recommendations[Id],G87:AT87,0)))/COUNTIF(G87:AT87,"&lt;&gt;"))</f>
        <v/>
      </c>
      <c r="G87" s="197"/>
      <c r="H87" s="197"/>
      <c r="I87" s="197"/>
      <c r="J87" s="197"/>
      <c r="K87" s="197"/>
      <c r="L87" s="197"/>
      <c r="M87" s="197"/>
      <c r="N87" s="197"/>
      <c r="O87" s="197"/>
      <c r="P87" s="197"/>
      <c r="Q87" s="197"/>
      <c r="R87" s="197"/>
      <c r="S87" s="197"/>
      <c r="T87" s="197"/>
      <c r="U87" s="197"/>
      <c r="V87" s="197"/>
      <c r="W87" s="197"/>
      <c r="X87" s="197"/>
      <c r="Y87" s="197"/>
      <c r="Z87" s="197"/>
      <c r="AA87" s="197"/>
      <c r="AB87" s="197"/>
      <c r="AC87" s="197"/>
      <c r="AD87" s="197"/>
      <c r="AE87" s="197"/>
      <c r="AF87" s="197"/>
      <c r="AG87" s="197"/>
      <c r="AH87" s="197"/>
      <c r="AI87" s="197"/>
      <c r="AJ87" s="197"/>
      <c r="AK87" s="197"/>
      <c r="AL87" s="197"/>
      <c r="AM87" s="197"/>
      <c r="AN87" s="197"/>
      <c r="AO87" s="197"/>
      <c r="AP87" s="197"/>
      <c r="AQ87" s="197"/>
      <c r="AR87" s="197"/>
      <c r="AS87" s="197"/>
      <c r="AT87" s="207"/>
    </row>
    <row r="88" spans="1:46" ht="60" customHeight="1" x14ac:dyDescent="0.35">
      <c r="A88" s="204" t="s">
        <v>4680</v>
      </c>
      <c r="B88" s="190"/>
      <c r="C88" s="191" t="s">
        <v>4690</v>
      </c>
      <c r="D88" s="193" t="s">
        <v>4691</v>
      </c>
      <c r="E88" s="193" t="s">
        <v>4692</v>
      </c>
      <c r="F88" s="195" t="str">
        <f>IF(COUNTIF(G88:AT88,"&lt;&gt;")=0,"",SUMPRODUCT(((Recommendations[ImplStatus]="Implemented")+(Recommendations[ImplStatus]="Compensated"))*ISNUMBER(MATCH(Recommendations[Id],G88:AT88,0)))/COUNTIF(G88:AT88,"&lt;&gt;"))</f>
        <v/>
      </c>
      <c r="G88" s="197"/>
      <c r="H88" s="197"/>
      <c r="I88" s="197"/>
      <c r="J88" s="197"/>
      <c r="K88" s="197"/>
      <c r="L88" s="197"/>
      <c r="M88" s="197"/>
      <c r="N88" s="197"/>
      <c r="O88" s="197"/>
      <c r="P88" s="197"/>
      <c r="Q88" s="197"/>
      <c r="R88" s="197"/>
      <c r="S88" s="197"/>
      <c r="T88" s="197"/>
      <c r="U88" s="197"/>
      <c r="V88" s="197"/>
      <c r="W88" s="197"/>
      <c r="X88" s="197"/>
      <c r="Y88" s="197"/>
      <c r="Z88" s="197"/>
      <c r="AA88" s="197"/>
      <c r="AB88" s="197"/>
      <c r="AC88" s="197"/>
      <c r="AD88" s="197"/>
      <c r="AE88" s="197"/>
      <c r="AF88" s="197"/>
      <c r="AG88" s="197"/>
      <c r="AH88" s="197"/>
      <c r="AI88" s="197"/>
      <c r="AJ88" s="197"/>
      <c r="AK88" s="197"/>
      <c r="AL88" s="197"/>
      <c r="AM88" s="197"/>
      <c r="AN88" s="197"/>
      <c r="AO88" s="197"/>
      <c r="AP88" s="197"/>
      <c r="AQ88" s="197"/>
      <c r="AR88" s="197"/>
      <c r="AS88" s="197"/>
      <c r="AT88" s="207"/>
    </row>
    <row r="89" spans="1:46" ht="60" customHeight="1" x14ac:dyDescent="0.35">
      <c r="A89" s="204" t="s">
        <v>4680</v>
      </c>
      <c r="B89" s="190"/>
      <c r="C89" s="191" t="s">
        <v>4693</v>
      </c>
      <c r="D89" s="193" t="s">
        <v>4694</v>
      </c>
      <c r="E89" s="193" t="s">
        <v>4695</v>
      </c>
      <c r="F89" s="195" t="str">
        <f>IF(COUNTIF(G89:AT89,"&lt;&gt;")=0,"",SUMPRODUCT(((Recommendations[ImplStatus]="Implemented")+(Recommendations[ImplStatus]="Compensated"))*ISNUMBER(MATCH(Recommendations[Id],G89:AT89,0)))/COUNTIF(G89:AT89,"&lt;&gt;"))</f>
        <v/>
      </c>
      <c r="G89" s="197"/>
      <c r="H89" s="197"/>
      <c r="I89" s="197"/>
      <c r="J89" s="197"/>
      <c r="K89" s="197"/>
      <c r="L89" s="197"/>
      <c r="M89" s="197"/>
      <c r="N89" s="197"/>
      <c r="O89" s="197"/>
      <c r="P89" s="197"/>
      <c r="Q89" s="197"/>
      <c r="R89" s="197"/>
      <c r="S89" s="197"/>
      <c r="T89" s="197"/>
      <c r="U89" s="197"/>
      <c r="V89" s="197"/>
      <c r="W89" s="197"/>
      <c r="X89" s="197"/>
      <c r="Y89" s="197"/>
      <c r="Z89" s="197"/>
      <c r="AA89" s="197"/>
      <c r="AB89" s="197"/>
      <c r="AC89" s="197"/>
      <c r="AD89" s="197"/>
      <c r="AE89" s="197"/>
      <c r="AF89" s="197"/>
      <c r="AG89" s="197"/>
      <c r="AH89" s="197"/>
      <c r="AI89" s="197"/>
      <c r="AJ89" s="197"/>
      <c r="AK89" s="197"/>
      <c r="AL89" s="197"/>
      <c r="AM89" s="197"/>
      <c r="AN89" s="197"/>
      <c r="AO89" s="197"/>
      <c r="AP89" s="197"/>
      <c r="AQ89" s="197"/>
      <c r="AR89" s="197"/>
      <c r="AS89" s="197"/>
      <c r="AT89" s="207"/>
    </row>
    <row r="90" spans="1:46" ht="60" customHeight="1" outlineLevel="1" x14ac:dyDescent="0.35">
      <c r="A90" s="203" t="s">
        <v>4680</v>
      </c>
      <c r="B90" s="189" t="s">
        <v>4696</v>
      </c>
      <c r="C90" s="189"/>
      <c r="D90" s="192" t="s">
        <v>4697</v>
      </c>
      <c r="E90" s="192"/>
      <c r="F90" s="194" t="str">
        <f>IF(COUNTIF(G90:AT90,"&lt;&gt;")=0,"",SUMPRODUCT(((Recommendations[ImplStatus]="Implemented")+(Recommendations[ImplStatus]="Compensated"))*ISNUMBER(MATCH(Recommendations[Id],G90:AT90,0)))/COUNTIF(G90:AT90,"&lt;&gt;"))</f>
        <v/>
      </c>
      <c r="G90" s="196"/>
      <c r="H90" s="196"/>
      <c r="I90" s="196"/>
      <c r="J90" s="196"/>
      <c r="K90" s="196"/>
      <c r="L90" s="196"/>
      <c r="M90" s="196"/>
      <c r="N90" s="196"/>
      <c r="O90" s="196"/>
      <c r="P90" s="196"/>
      <c r="Q90" s="196"/>
      <c r="R90" s="196"/>
      <c r="S90" s="196"/>
      <c r="T90" s="196"/>
      <c r="U90" s="196"/>
      <c r="V90" s="196"/>
      <c r="W90" s="196"/>
      <c r="X90" s="196"/>
      <c r="Y90" s="196"/>
      <c r="Z90" s="196"/>
      <c r="AA90" s="196"/>
      <c r="AB90" s="196"/>
      <c r="AC90" s="196"/>
      <c r="AD90" s="196"/>
      <c r="AE90" s="196"/>
      <c r="AF90" s="196"/>
      <c r="AG90" s="196"/>
      <c r="AH90" s="196"/>
      <c r="AI90" s="196"/>
      <c r="AJ90" s="196"/>
      <c r="AK90" s="196"/>
      <c r="AL90" s="196"/>
      <c r="AM90" s="196"/>
      <c r="AN90" s="196"/>
      <c r="AO90" s="196"/>
      <c r="AP90" s="196"/>
      <c r="AQ90" s="196"/>
      <c r="AR90" s="196"/>
      <c r="AS90" s="196"/>
      <c r="AT90" s="206"/>
    </row>
    <row r="91" spans="1:46" ht="60" customHeight="1" x14ac:dyDescent="0.35">
      <c r="A91" s="204" t="s">
        <v>4680</v>
      </c>
      <c r="B91" s="190" t="s">
        <v>4696</v>
      </c>
      <c r="C91" s="191" t="s">
        <v>4698</v>
      </c>
      <c r="D91" s="193" t="s">
        <v>4699</v>
      </c>
      <c r="E91" s="193" t="s">
        <v>4700</v>
      </c>
      <c r="F91" s="195">
        <f>IF(COUNTIF(G91:AT91,"&lt;&gt;")=0,"",SUMPRODUCT(((Recommendations[ImplStatus]="Implemented")+(Recommendations[ImplStatus]="Compensated"))*ISNUMBER(MATCH(Recommendations[Id],G91:AT91,0)))/COUNTIF(G91:AT91,"&lt;&gt;"))</f>
        <v>0</v>
      </c>
      <c r="G91" s="197" t="s">
        <v>574</v>
      </c>
      <c r="H91" s="197" t="s">
        <v>583</v>
      </c>
      <c r="I91" s="197" t="s">
        <v>588</v>
      </c>
      <c r="J91" s="197"/>
      <c r="K91" s="197"/>
      <c r="L91" s="197"/>
      <c r="M91" s="197"/>
      <c r="N91" s="197"/>
      <c r="O91" s="197"/>
      <c r="P91" s="197"/>
      <c r="Q91" s="197"/>
      <c r="R91" s="197"/>
      <c r="S91" s="197"/>
      <c r="T91" s="197"/>
      <c r="U91" s="197"/>
      <c r="V91" s="197"/>
      <c r="W91" s="197"/>
      <c r="X91" s="197"/>
      <c r="Y91" s="197"/>
      <c r="Z91" s="197"/>
      <c r="AA91" s="197"/>
      <c r="AB91" s="197"/>
      <c r="AC91" s="197"/>
      <c r="AD91" s="197"/>
      <c r="AE91" s="197"/>
      <c r="AF91" s="197"/>
      <c r="AG91" s="197"/>
      <c r="AH91" s="197"/>
      <c r="AI91" s="197"/>
      <c r="AJ91" s="197"/>
      <c r="AK91" s="197"/>
      <c r="AL91" s="197"/>
      <c r="AM91" s="197"/>
      <c r="AN91" s="197"/>
      <c r="AO91" s="197"/>
      <c r="AP91" s="197"/>
      <c r="AQ91" s="197"/>
      <c r="AR91" s="197"/>
      <c r="AS91" s="197"/>
      <c r="AT91" s="207"/>
    </row>
    <row r="92" spans="1:46" ht="60" customHeight="1" x14ac:dyDescent="0.35">
      <c r="A92" s="204" t="s">
        <v>4680</v>
      </c>
      <c r="B92" s="190" t="s">
        <v>4696</v>
      </c>
      <c r="C92" s="191" t="s">
        <v>4701</v>
      </c>
      <c r="D92" s="193" t="s">
        <v>4702</v>
      </c>
      <c r="E92" s="193" t="s">
        <v>4703</v>
      </c>
      <c r="F92" s="195">
        <f>IF(COUNTIF(G92:AT92,"&lt;&gt;")=0,"",SUMPRODUCT(((Recommendations[ImplStatus]="Implemented")+(Recommendations[ImplStatus]="Compensated"))*ISNUMBER(MATCH(Recommendations[Id],G92:AT92,0)))/COUNTIF(G92:AT92,"&lt;&gt;"))</f>
        <v>0</v>
      </c>
      <c r="G92" s="197" t="s">
        <v>537</v>
      </c>
      <c r="H92" s="197" t="s">
        <v>547</v>
      </c>
      <c r="I92" s="197" t="s">
        <v>551</v>
      </c>
      <c r="J92" s="197" t="s">
        <v>592</v>
      </c>
      <c r="K92" s="197" t="s">
        <v>978</v>
      </c>
      <c r="L92" s="197"/>
      <c r="M92" s="197"/>
      <c r="N92" s="197"/>
      <c r="O92" s="197"/>
      <c r="P92" s="197"/>
      <c r="Q92" s="197"/>
      <c r="R92" s="197"/>
      <c r="S92" s="197"/>
      <c r="T92" s="197"/>
      <c r="U92" s="197"/>
      <c r="V92" s="197"/>
      <c r="W92" s="197"/>
      <c r="X92" s="197"/>
      <c r="Y92" s="197"/>
      <c r="Z92" s="197"/>
      <c r="AA92" s="197"/>
      <c r="AB92" s="197"/>
      <c r="AC92" s="197"/>
      <c r="AD92" s="197"/>
      <c r="AE92" s="197"/>
      <c r="AF92" s="197"/>
      <c r="AG92" s="197"/>
      <c r="AH92" s="197"/>
      <c r="AI92" s="197"/>
      <c r="AJ92" s="197"/>
      <c r="AK92" s="197"/>
      <c r="AL92" s="197"/>
      <c r="AM92" s="197"/>
      <c r="AN92" s="197"/>
      <c r="AO92" s="197"/>
      <c r="AP92" s="197"/>
      <c r="AQ92" s="197"/>
      <c r="AR92" s="197"/>
      <c r="AS92" s="197"/>
      <c r="AT92" s="207"/>
    </row>
    <row r="93" spans="1:46" ht="60" customHeight="1" x14ac:dyDescent="0.35">
      <c r="A93" s="204"/>
      <c r="B93" s="190" t="s">
        <v>4696</v>
      </c>
      <c r="C93" s="191" t="s">
        <v>4704</v>
      </c>
      <c r="D93" s="193" t="s">
        <v>4705</v>
      </c>
      <c r="E93" s="193" t="s">
        <v>4706</v>
      </c>
      <c r="F93" s="195" t="str">
        <f>IF(COUNTIF(G93:AT93,"&lt;&gt;")=0,"",SUMPRODUCT(((Recommendations[ImplStatus]="Implemented")+(Recommendations[ImplStatus]="Compensated"))*ISNUMBER(MATCH(Recommendations[Id],G93:AT93,0)))/COUNTIF(G93:AT93,"&lt;&gt;"))</f>
        <v/>
      </c>
      <c r="G93" s="197"/>
      <c r="H93" s="197"/>
      <c r="I93" s="197"/>
      <c r="J93" s="197"/>
      <c r="K93" s="197"/>
      <c r="L93" s="197"/>
      <c r="M93" s="197"/>
      <c r="N93" s="197"/>
      <c r="O93" s="197"/>
      <c r="P93" s="197"/>
      <c r="Q93" s="197"/>
      <c r="R93" s="197"/>
      <c r="S93" s="197"/>
      <c r="T93" s="197"/>
      <c r="U93" s="197"/>
      <c r="V93" s="197"/>
      <c r="W93" s="197"/>
      <c r="X93" s="197"/>
      <c r="Y93" s="197"/>
      <c r="Z93" s="197"/>
      <c r="AA93" s="197"/>
      <c r="AB93" s="197"/>
      <c r="AC93" s="197"/>
      <c r="AD93" s="197"/>
      <c r="AE93" s="197"/>
      <c r="AF93" s="197"/>
      <c r="AG93" s="197"/>
      <c r="AH93" s="197"/>
      <c r="AI93" s="197"/>
      <c r="AJ93" s="197"/>
      <c r="AK93" s="197"/>
      <c r="AL93" s="197"/>
      <c r="AM93" s="197"/>
      <c r="AN93" s="197"/>
      <c r="AO93" s="197"/>
      <c r="AP93" s="197"/>
      <c r="AQ93" s="197"/>
      <c r="AR93" s="197"/>
      <c r="AS93" s="197"/>
      <c r="AT93" s="207"/>
    </row>
    <row r="94" spans="1:46" ht="60" customHeight="1" x14ac:dyDescent="0.35">
      <c r="A94" s="204"/>
      <c r="B94" s="190" t="s">
        <v>4696</v>
      </c>
      <c r="C94" s="191" t="s">
        <v>4707</v>
      </c>
      <c r="D94" s="193" t="s">
        <v>4708</v>
      </c>
      <c r="E94" s="193" t="s">
        <v>4709</v>
      </c>
      <c r="F94" s="195" t="str">
        <f>IF(COUNTIF(G94:AT94,"&lt;&gt;")=0,"",SUMPRODUCT(((Recommendations[ImplStatus]="Implemented")+(Recommendations[ImplStatus]="Compensated"))*ISNUMBER(MATCH(Recommendations[Id],G94:AT94,0)))/COUNTIF(G94:AT94,"&lt;&gt;"))</f>
        <v/>
      </c>
      <c r="G94" s="197"/>
      <c r="H94" s="197"/>
      <c r="I94" s="197"/>
      <c r="J94" s="197"/>
      <c r="K94" s="197"/>
      <c r="L94" s="197"/>
      <c r="M94" s="197"/>
      <c r="N94" s="197"/>
      <c r="O94" s="197"/>
      <c r="P94" s="197"/>
      <c r="Q94" s="197"/>
      <c r="R94" s="197"/>
      <c r="S94" s="197"/>
      <c r="T94" s="197"/>
      <c r="U94" s="197"/>
      <c r="V94" s="197"/>
      <c r="W94" s="197"/>
      <c r="X94" s="197"/>
      <c r="Y94" s="197"/>
      <c r="Z94" s="197"/>
      <c r="AA94" s="197"/>
      <c r="AB94" s="197"/>
      <c r="AC94" s="197"/>
      <c r="AD94" s="197"/>
      <c r="AE94" s="197"/>
      <c r="AF94" s="197"/>
      <c r="AG94" s="197"/>
      <c r="AH94" s="197"/>
      <c r="AI94" s="197"/>
      <c r="AJ94" s="197"/>
      <c r="AK94" s="197"/>
      <c r="AL94" s="197"/>
      <c r="AM94" s="197"/>
      <c r="AN94" s="197"/>
      <c r="AO94" s="197"/>
      <c r="AP94" s="197"/>
      <c r="AQ94" s="197"/>
      <c r="AR94" s="197"/>
      <c r="AS94" s="197"/>
      <c r="AT94" s="207"/>
    </row>
    <row r="95" spans="1:46" ht="60" customHeight="1" x14ac:dyDescent="0.35">
      <c r="A95" s="204"/>
      <c r="B95" s="190" t="s">
        <v>4696</v>
      </c>
      <c r="C95" s="191" t="s">
        <v>4710</v>
      </c>
      <c r="D95" s="193" t="s">
        <v>4711</v>
      </c>
      <c r="E95" s="193" t="s">
        <v>4712</v>
      </c>
      <c r="F95" s="195" t="str">
        <f>IF(COUNTIF(G95:AT95,"&lt;&gt;")=0,"",SUMPRODUCT(((Recommendations[ImplStatus]="Implemented")+(Recommendations[ImplStatus]="Compensated"))*ISNUMBER(MATCH(Recommendations[Id],G95:AT95,0)))/COUNTIF(G95:AT95,"&lt;&gt;"))</f>
        <v/>
      </c>
      <c r="G95" s="197"/>
      <c r="H95" s="197"/>
      <c r="I95" s="197"/>
      <c r="J95" s="197"/>
      <c r="K95" s="197"/>
      <c r="L95" s="197"/>
      <c r="M95" s="197"/>
      <c r="N95" s="197"/>
      <c r="O95" s="197"/>
      <c r="P95" s="197"/>
      <c r="Q95" s="197"/>
      <c r="R95" s="197"/>
      <c r="S95" s="197"/>
      <c r="T95" s="197"/>
      <c r="U95" s="197"/>
      <c r="V95" s="197"/>
      <c r="W95" s="197"/>
      <c r="X95" s="197"/>
      <c r="Y95" s="197"/>
      <c r="Z95" s="197"/>
      <c r="AA95" s="197"/>
      <c r="AB95" s="197"/>
      <c r="AC95" s="197"/>
      <c r="AD95" s="197"/>
      <c r="AE95" s="197"/>
      <c r="AF95" s="197"/>
      <c r="AG95" s="197"/>
      <c r="AH95" s="197"/>
      <c r="AI95" s="197"/>
      <c r="AJ95" s="197"/>
      <c r="AK95" s="197"/>
      <c r="AL95" s="197"/>
      <c r="AM95" s="197"/>
      <c r="AN95" s="197"/>
      <c r="AO95" s="197"/>
      <c r="AP95" s="197"/>
      <c r="AQ95" s="197"/>
      <c r="AR95" s="197"/>
      <c r="AS95" s="197"/>
      <c r="AT95" s="207"/>
    </row>
    <row r="96" spans="1:46" ht="60" customHeight="1" x14ac:dyDescent="0.35">
      <c r="A96" s="204"/>
      <c r="B96" s="190" t="s">
        <v>4696</v>
      </c>
      <c r="C96" s="191" t="s">
        <v>4713</v>
      </c>
      <c r="D96" s="193" t="s">
        <v>4714</v>
      </c>
      <c r="E96" s="193" t="s">
        <v>4715</v>
      </c>
      <c r="F96" s="195" t="str">
        <f>IF(COUNTIF(G96:AT96,"&lt;&gt;")=0,"",SUMPRODUCT(((Recommendations[ImplStatus]="Implemented")+(Recommendations[ImplStatus]="Compensated"))*ISNUMBER(MATCH(Recommendations[Id],G96:AT96,0)))/COUNTIF(G96:AT96,"&lt;&gt;"))</f>
        <v/>
      </c>
      <c r="G96" s="197"/>
      <c r="H96" s="197"/>
      <c r="I96" s="197"/>
      <c r="J96" s="197"/>
      <c r="K96" s="197"/>
      <c r="L96" s="197"/>
      <c r="M96" s="197"/>
      <c r="N96" s="197"/>
      <c r="O96" s="197"/>
      <c r="P96" s="197"/>
      <c r="Q96" s="197"/>
      <c r="R96" s="197"/>
      <c r="S96" s="197"/>
      <c r="T96" s="197"/>
      <c r="U96" s="197"/>
      <c r="V96" s="197"/>
      <c r="W96" s="197"/>
      <c r="X96" s="197"/>
      <c r="Y96" s="197"/>
      <c r="Z96" s="197"/>
      <c r="AA96" s="197"/>
      <c r="AB96" s="197"/>
      <c r="AC96" s="197"/>
      <c r="AD96" s="197"/>
      <c r="AE96" s="197"/>
      <c r="AF96" s="197"/>
      <c r="AG96" s="197"/>
      <c r="AH96" s="197"/>
      <c r="AI96" s="197"/>
      <c r="AJ96" s="197"/>
      <c r="AK96" s="197"/>
      <c r="AL96" s="197"/>
      <c r="AM96" s="197"/>
      <c r="AN96" s="197"/>
      <c r="AO96" s="197"/>
      <c r="AP96" s="197"/>
      <c r="AQ96" s="197"/>
      <c r="AR96" s="197"/>
      <c r="AS96" s="197"/>
      <c r="AT96" s="207"/>
    </row>
    <row r="97" spans="1:46" ht="60" customHeight="1" x14ac:dyDescent="0.35">
      <c r="A97" s="204"/>
      <c r="B97" s="190" t="s">
        <v>4696</v>
      </c>
      <c r="C97" s="191" t="s">
        <v>4716</v>
      </c>
      <c r="D97" s="193" t="s">
        <v>4717</v>
      </c>
      <c r="E97" s="193" t="s">
        <v>4718</v>
      </c>
      <c r="F97" s="195" t="str">
        <f>IF(COUNTIF(G97:AT97,"&lt;&gt;")=0,"",SUMPRODUCT(((Recommendations[ImplStatus]="Implemented")+(Recommendations[ImplStatus]="Compensated"))*ISNUMBER(MATCH(Recommendations[Id],G97:AT97,0)))/COUNTIF(G97:AT97,"&lt;&gt;"))</f>
        <v/>
      </c>
      <c r="G97" s="197"/>
      <c r="H97" s="197"/>
      <c r="I97" s="197"/>
      <c r="J97" s="197"/>
      <c r="K97" s="197"/>
      <c r="L97" s="197"/>
      <c r="M97" s="197"/>
      <c r="N97" s="197"/>
      <c r="O97" s="197"/>
      <c r="P97" s="197"/>
      <c r="Q97" s="197"/>
      <c r="R97" s="197"/>
      <c r="S97" s="197"/>
      <c r="T97" s="197"/>
      <c r="U97" s="197"/>
      <c r="V97" s="197"/>
      <c r="W97" s="197"/>
      <c r="X97" s="197"/>
      <c r="Y97" s="197"/>
      <c r="Z97" s="197"/>
      <c r="AA97" s="197"/>
      <c r="AB97" s="197"/>
      <c r="AC97" s="197"/>
      <c r="AD97" s="197"/>
      <c r="AE97" s="197"/>
      <c r="AF97" s="197"/>
      <c r="AG97" s="197"/>
      <c r="AH97" s="197"/>
      <c r="AI97" s="197"/>
      <c r="AJ97" s="197"/>
      <c r="AK97" s="197"/>
      <c r="AL97" s="197"/>
      <c r="AM97" s="197"/>
      <c r="AN97" s="197"/>
      <c r="AO97" s="197"/>
      <c r="AP97" s="197"/>
      <c r="AQ97" s="197"/>
      <c r="AR97" s="197"/>
      <c r="AS97" s="197"/>
      <c r="AT97" s="207"/>
    </row>
    <row r="98" spans="1:46" ht="60" customHeight="1" x14ac:dyDescent="0.35">
      <c r="A98" s="204"/>
      <c r="B98" s="190" t="s">
        <v>4696</v>
      </c>
      <c r="C98" s="191" t="s">
        <v>4719</v>
      </c>
      <c r="D98" s="193" t="s">
        <v>4720</v>
      </c>
      <c r="E98" s="193" t="s">
        <v>4721</v>
      </c>
      <c r="F98" s="195" t="str">
        <f>IF(COUNTIF(G98:AT98,"&lt;&gt;")=0,"",SUMPRODUCT(((Recommendations[ImplStatus]="Implemented")+(Recommendations[ImplStatus]="Compensated"))*ISNUMBER(MATCH(Recommendations[Id],G98:AT98,0)))/COUNTIF(G98:AT98,"&lt;&gt;"))</f>
        <v/>
      </c>
      <c r="G98" s="197"/>
      <c r="H98" s="197"/>
      <c r="I98" s="197"/>
      <c r="J98" s="197"/>
      <c r="K98" s="197"/>
      <c r="L98" s="197"/>
      <c r="M98" s="197"/>
      <c r="N98" s="197"/>
      <c r="O98" s="197"/>
      <c r="P98" s="197"/>
      <c r="Q98" s="197"/>
      <c r="R98" s="197"/>
      <c r="S98" s="197"/>
      <c r="T98" s="197"/>
      <c r="U98" s="197"/>
      <c r="V98" s="197"/>
      <c r="W98" s="197"/>
      <c r="X98" s="197"/>
      <c r="Y98" s="197"/>
      <c r="Z98" s="197"/>
      <c r="AA98" s="197"/>
      <c r="AB98" s="197"/>
      <c r="AC98" s="197"/>
      <c r="AD98" s="197"/>
      <c r="AE98" s="197"/>
      <c r="AF98" s="197"/>
      <c r="AG98" s="197"/>
      <c r="AH98" s="197"/>
      <c r="AI98" s="197"/>
      <c r="AJ98" s="197"/>
      <c r="AK98" s="197"/>
      <c r="AL98" s="197"/>
      <c r="AM98" s="197"/>
      <c r="AN98" s="197"/>
      <c r="AO98" s="197"/>
      <c r="AP98" s="197"/>
      <c r="AQ98" s="197"/>
      <c r="AR98" s="197"/>
      <c r="AS98" s="197"/>
      <c r="AT98" s="207"/>
    </row>
    <row r="99" spans="1:46" ht="60" customHeight="1" outlineLevel="1" x14ac:dyDescent="0.35">
      <c r="A99" s="203"/>
      <c r="B99" s="189" t="s">
        <v>4722</v>
      </c>
      <c r="C99" s="189"/>
      <c r="D99" s="192" t="s">
        <v>4723</v>
      </c>
      <c r="E99" s="192"/>
      <c r="F99" s="194" t="str">
        <f>IF(COUNTIF(G99:AT99,"&lt;&gt;")=0,"",SUMPRODUCT(((Recommendations[ImplStatus]="Implemented")+(Recommendations[ImplStatus]="Compensated"))*ISNUMBER(MATCH(Recommendations[Id],G99:AT99,0)))/COUNTIF(G99:AT99,"&lt;&gt;"))</f>
        <v/>
      </c>
      <c r="G99" s="196"/>
      <c r="H99" s="196"/>
      <c r="I99" s="196"/>
      <c r="J99" s="196"/>
      <c r="K99" s="196"/>
      <c r="L99" s="196"/>
      <c r="M99" s="196"/>
      <c r="N99" s="196"/>
      <c r="O99" s="196"/>
      <c r="P99" s="196"/>
      <c r="Q99" s="196"/>
      <c r="R99" s="196"/>
      <c r="S99" s="196"/>
      <c r="T99" s="196"/>
      <c r="U99" s="196"/>
      <c r="V99" s="196"/>
      <c r="W99" s="196"/>
      <c r="X99" s="196"/>
      <c r="Y99" s="196"/>
      <c r="Z99" s="196"/>
      <c r="AA99" s="196"/>
      <c r="AB99" s="196"/>
      <c r="AC99" s="196"/>
      <c r="AD99" s="196"/>
      <c r="AE99" s="196"/>
      <c r="AF99" s="196"/>
      <c r="AG99" s="196"/>
      <c r="AH99" s="196"/>
      <c r="AI99" s="196"/>
      <c r="AJ99" s="196"/>
      <c r="AK99" s="196"/>
      <c r="AL99" s="196"/>
      <c r="AM99" s="196"/>
      <c r="AN99" s="196"/>
      <c r="AO99" s="196"/>
      <c r="AP99" s="196"/>
      <c r="AQ99" s="196"/>
      <c r="AR99" s="196"/>
      <c r="AS99" s="196"/>
      <c r="AT99" s="206"/>
    </row>
    <row r="100" spans="1:46" ht="60" customHeight="1" x14ac:dyDescent="0.35">
      <c r="A100" s="204"/>
      <c r="B100" s="190" t="s">
        <v>4722</v>
      </c>
      <c r="C100" s="191" t="s">
        <v>4724</v>
      </c>
      <c r="D100" s="193" t="s">
        <v>4725</v>
      </c>
      <c r="E100" s="193" t="s">
        <v>4726</v>
      </c>
      <c r="F100" s="195" t="str">
        <f>IF(COUNTIF(G100:AT100,"&lt;&gt;")=0,"",SUMPRODUCT(((Recommendations[ImplStatus]="Implemented")+(Recommendations[ImplStatus]="Compensated"))*ISNUMBER(MATCH(Recommendations[Id],G100:AT100,0)))/COUNTIF(G100:AT100,"&lt;&gt;"))</f>
        <v/>
      </c>
      <c r="G100" s="197"/>
      <c r="H100" s="197"/>
      <c r="I100" s="197"/>
      <c r="J100" s="197"/>
      <c r="K100" s="197"/>
      <c r="L100" s="197"/>
      <c r="M100" s="197"/>
      <c r="N100" s="197"/>
      <c r="O100" s="197"/>
      <c r="P100" s="197"/>
      <c r="Q100" s="197"/>
      <c r="R100" s="197"/>
      <c r="S100" s="197"/>
      <c r="T100" s="197"/>
      <c r="U100" s="197"/>
      <c r="V100" s="197"/>
      <c r="W100" s="197"/>
      <c r="X100" s="197"/>
      <c r="Y100" s="197"/>
      <c r="Z100" s="197"/>
      <c r="AA100" s="197"/>
      <c r="AB100" s="197"/>
      <c r="AC100" s="197"/>
      <c r="AD100" s="197"/>
      <c r="AE100" s="197"/>
      <c r="AF100" s="197"/>
      <c r="AG100" s="197"/>
      <c r="AH100" s="197"/>
      <c r="AI100" s="197"/>
      <c r="AJ100" s="197"/>
      <c r="AK100" s="197"/>
      <c r="AL100" s="197"/>
      <c r="AM100" s="197"/>
      <c r="AN100" s="197"/>
      <c r="AO100" s="197"/>
      <c r="AP100" s="197"/>
      <c r="AQ100" s="197"/>
      <c r="AR100" s="197"/>
      <c r="AS100" s="197"/>
      <c r="AT100" s="207"/>
    </row>
    <row r="101" spans="1:46" ht="60" customHeight="1" x14ac:dyDescent="0.35">
      <c r="A101" s="204"/>
      <c r="B101" s="190" t="s">
        <v>4722</v>
      </c>
      <c r="C101" s="191" t="s">
        <v>4727</v>
      </c>
      <c r="D101" s="193" t="s">
        <v>4728</v>
      </c>
      <c r="E101" s="193" t="s">
        <v>4729</v>
      </c>
      <c r="F101" s="195" t="str">
        <f>IF(COUNTIF(G101:AT101,"&lt;&gt;")=0,"",SUMPRODUCT(((Recommendations[ImplStatus]="Implemented")+(Recommendations[ImplStatus]="Compensated"))*ISNUMBER(MATCH(Recommendations[Id],G101:AT101,0)))/COUNTIF(G101:AT101,"&lt;&gt;"))</f>
        <v/>
      </c>
      <c r="G101" s="197"/>
      <c r="H101" s="197"/>
      <c r="I101" s="197"/>
      <c r="J101" s="197"/>
      <c r="K101" s="197"/>
      <c r="L101" s="197"/>
      <c r="M101" s="197"/>
      <c r="N101" s="197"/>
      <c r="O101" s="197"/>
      <c r="P101" s="197"/>
      <c r="Q101" s="197"/>
      <c r="R101" s="197"/>
      <c r="S101" s="197"/>
      <c r="T101" s="197"/>
      <c r="U101" s="197"/>
      <c r="V101" s="197"/>
      <c r="W101" s="197"/>
      <c r="X101" s="197"/>
      <c r="Y101" s="197"/>
      <c r="Z101" s="197"/>
      <c r="AA101" s="197"/>
      <c r="AB101" s="197"/>
      <c r="AC101" s="197"/>
      <c r="AD101" s="197"/>
      <c r="AE101" s="197"/>
      <c r="AF101" s="197"/>
      <c r="AG101" s="197"/>
      <c r="AH101" s="197"/>
      <c r="AI101" s="197"/>
      <c r="AJ101" s="197"/>
      <c r="AK101" s="197"/>
      <c r="AL101" s="197"/>
      <c r="AM101" s="197"/>
      <c r="AN101" s="197"/>
      <c r="AO101" s="197"/>
      <c r="AP101" s="197"/>
      <c r="AQ101" s="197"/>
      <c r="AR101" s="197"/>
      <c r="AS101" s="197"/>
      <c r="AT101" s="207"/>
    </row>
    <row r="102" spans="1:46" ht="60" customHeight="1" x14ac:dyDescent="0.35">
      <c r="A102" s="204"/>
      <c r="B102" s="190" t="s">
        <v>4722</v>
      </c>
      <c r="C102" s="191" t="s">
        <v>4730</v>
      </c>
      <c r="D102" s="193" t="s">
        <v>4731</v>
      </c>
      <c r="E102" s="193" t="s">
        <v>4732</v>
      </c>
      <c r="F102" s="195" t="str">
        <f>IF(COUNTIF(G102:AT102,"&lt;&gt;")=0,"",SUMPRODUCT(((Recommendations[ImplStatus]="Implemented")+(Recommendations[ImplStatus]="Compensated"))*ISNUMBER(MATCH(Recommendations[Id],G102:AT102,0)))/COUNTIF(G102:AT102,"&lt;&gt;"))</f>
        <v/>
      </c>
      <c r="G102" s="197"/>
      <c r="H102" s="197"/>
      <c r="I102" s="197"/>
      <c r="J102" s="197"/>
      <c r="K102" s="197"/>
      <c r="L102" s="197"/>
      <c r="M102" s="197"/>
      <c r="N102" s="197"/>
      <c r="O102" s="197"/>
      <c r="P102" s="197"/>
      <c r="Q102" s="197"/>
      <c r="R102" s="197"/>
      <c r="S102" s="197"/>
      <c r="T102" s="197"/>
      <c r="U102" s="197"/>
      <c r="V102" s="197"/>
      <c r="W102" s="197"/>
      <c r="X102" s="197"/>
      <c r="Y102" s="197"/>
      <c r="Z102" s="197"/>
      <c r="AA102" s="197"/>
      <c r="AB102" s="197"/>
      <c r="AC102" s="197"/>
      <c r="AD102" s="197"/>
      <c r="AE102" s="197"/>
      <c r="AF102" s="197"/>
      <c r="AG102" s="197"/>
      <c r="AH102" s="197"/>
      <c r="AI102" s="197"/>
      <c r="AJ102" s="197"/>
      <c r="AK102" s="197"/>
      <c r="AL102" s="197"/>
      <c r="AM102" s="197"/>
      <c r="AN102" s="197"/>
      <c r="AO102" s="197"/>
      <c r="AP102" s="197"/>
      <c r="AQ102" s="197"/>
      <c r="AR102" s="197"/>
      <c r="AS102" s="197"/>
      <c r="AT102" s="207"/>
    </row>
    <row r="103" spans="1:46" ht="60" customHeight="1" x14ac:dyDescent="0.35">
      <c r="A103" s="204"/>
      <c r="B103" s="190" t="s">
        <v>4722</v>
      </c>
      <c r="C103" s="191" t="s">
        <v>4733</v>
      </c>
      <c r="D103" s="193" t="s">
        <v>4734</v>
      </c>
      <c r="E103" s="193" t="s">
        <v>4735</v>
      </c>
      <c r="F103" s="195" t="str">
        <f>IF(COUNTIF(G103:AT103,"&lt;&gt;")=0,"",SUMPRODUCT(((Recommendations[ImplStatus]="Implemented")+(Recommendations[ImplStatus]="Compensated"))*ISNUMBER(MATCH(Recommendations[Id],G103:AT103,0)))/COUNTIF(G103:AT103,"&lt;&gt;"))</f>
        <v/>
      </c>
      <c r="G103" s="197"/>
      <c r="H103" s="197"/>
      <c r="I103" s="197"/>
      <c r="J103" s="197"/>
      <c r="K103" s="197"/>
      <c r="L103" s="197"/>
      <c r="M103" s="197"/>
      <c r="N103" s="197"/>
      <c r="O103" s="197"/>
      <c r="P103" s="197"/>
      <c r="Q103" s="197"/>
      <c r="R103" s="197"/>
      <c r="S103" s="197"/>
      <c r="T103" s="197"/>
      <c r="U103" s="197"/>
      <c r="V103" s="197"/>
      <c r="W103" s="197"/>
      <c r="X103" s="197"/>
      <c r="Y103" s="197"/>
      <c r="Z103" s="197"/>
      <c r="AA103" s="197"/>
      <c r="AB103" s="197"/>
      <c r="AC103" s="197"/>
      <c r="AD103" s="197"/>
      <c r="AE103" s="197"/>
      <c r="AF103" s="197"/>
      <c r="AG103" s="197"/>
      <c r="AH103" s="197"/>
      <c r="AI103" s="197"/>
      <c r="AJ103" s="197"/>
      <c r="AK103" s="197"/>
      <c r="AL103" s="197"/>
      <c r="AM103" s="197"/>
      <c r="AN103" s="197"/>
      <c r="AO103" s="197"/>
      <c r="AP103" s="197"/>
      <c r="AQ103" s="197"/>
      <c r="AR103" s="197"/>
      <c r="AS103" s="197"/>
      <c r="AT103" s="207"/>
    </row>
    <row r="104" spans="1:46" ht="60" customHeight="1" x14ac:dyDescent="0.35">
      <c r="A104" s="205"/>
      <c r="B104" s="198" t="s">
        <v>4722</v>
      </c>
      <c r="C104" s="199" t="s">
        <v>4736</v>
      </c>
      <c r="D104" s="200" t="s">
        <v>4737</v>
      </c>
      <c r="E104" s="200" t="s">
        <v>4738</v>
      </c>
      <c r="F104" s="201" t="str">
        <f>IF(COUNTIF(G104:AT104,"&lt;&gt;")=0,"",SUMPRODUCT(((Recommendations[ImplStatus]="Implemented")+(Recommendations[ImplStatus]="Compensated"))*ISNUMBER(MATCH(Recommendations[Id],G104:AT104,0)))/COUNTIF(G104:AT104,"&lt;&gt;"))</f>
        <v/>
      </c>
      <c r="G104" s="202"/>
      <c r="H104" s="202"/>
      <c r="I104" s="202"/>
      <c r="J104" s="202"/>
      <c r="K104" s="202"/>
      <c r="L104" s="202"/>
      <c r="M104" s="202"/>
      <c r="N104" s="202"/>
      <c r="O104" s="202"/>
      <c r="P104" s="202"/>
      <c r="Q104" s="202"/>
      <c r="R104" s="202"/>
      <c r="S104" s="202"/>
      <c r="T104" s="202"/>
      <c r="U104" s="202"/>
      <c r="V104" s="202"/>
      <c r="W104" s="202"/>
      <c r="X104" s="202"/>
      <c r="Y104" s="202"/>
      <c r="Z104" s="202"/>
      <c r="AA104" s="202"/>
      <c r="AB104" s="202"/>
      <c r="AC104" s="202"/>
      <c r="AD104" s="202"/>
      <c r="AE104" s="202"/>
      <c r="AF104" s="202"/>
      <c r="AG104" s="202"/>
      <c r="AH104" s="202"/>
      <c r="AI104" s="202"/>
      <c r="AJ104" s="202"/>
      <c r="AK104" s="202"/>
      <c r="AL104" s="202"/>
      <c r="AM104" s="202"/>
      <c r="AN104" s="202"/>
      <c r="AO104" s="202"/>
      <c r="AP104" s="202"/>
      <c r="AQ104" s="202"/>
      <c r="AR104" s="202"/>
      <c r="AS104" s="202"/>
      <c r="AT104" s="208"/>
    </row>
    <row r="108" spans="1:46" ht="32" customHeight="1" x14ac:dyDescent="0.35">
      <c r="A108" s="291" t="s">
        <v>1971</v>
      </c>
      <c r="B108" s="291"/>
      <c r="C108" s="291"/>
      <c r="D108" s="291"/>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IFERROR(INDEX('Recommendations'!$H$2:$H$461, MATCH(G2,'Recommendations'!$A$2:$A$461,0))="Implemented", FALSE))</xm:f>
            <x14:dxf>
              <font>
                <color rgb="FF000000"/>
              </font>
              <fill>
                <patternFill>
                  <bgColor rgb="FF3C7D22"/>
                </patternFill>
              </fill>
            </x14:dxf>
          </x14:cfRule>
          <x14:cfRule type="expression" priority="2" id="{00000000-000E-0000-0800-000002000000}">
            <xm:f>AND(G2&lt;&gt;"", IFERROR(INDEX('Recommendations'!$H$2:$H$461, MATCH(G2,'Recommendations'!$A$2:$A$461,0))="Compensated", FALSE))</xm:f>
            <x14:dxf>
              <font>
                <color rgb="FF000000"/>
              </font>
              <fill>
                <patternFill>
                  <bgColor rgb="FFC6E0B4"/>
                </patternFill>
              </fill>
            </x14:dxf>
          </x14:cfRule>
          <x14:cfRule type="expression" priority="3" id="{00000000-000E-0000-0800-000003000000}">
            <xm:f>AND(G2&lt;&gt;"", IFERROR(INDEX('Recommendations'!$H$2:$H$461, MATCH(G2,'Recommendations'!$A$2:$A$461,0))="Testing", FALSE))</xm:f>
            <x14:dxf>
              <font>
                <color rgb="FF000000"/>
              </font>
              <fill>
                <patternFill>
                  <bgColor rgb="FFFFC000"/>
                </patternFill>
              </fill>
            </x14:dxf>
          </x14:cfRule>
          <x14:cfRule type="expression" priority="4" id="{00000000-000E-0000-0800-000004000000}">
            <xm:f>AND(G2&lt;&gt;"", IFERROR(INDEX('Recommendations'!$H$2:$H$461, MATCH(G2,'Recommendations'!$A$2:$A$461,0))="Failed", FALSE))</xm:f>
            <x14:dxf>
              <font>
                <color rgb="FF000000"/>
              </font>
              <fill>
                <patternFill>
                  <bgColor rgb="FFD82891"/>
                </patternFill>
              </fill>
            </x14:dxf>
          </x14:cfRule>
          <x14:cfRule type="expression" priority="5" id="{00000000-000E-0000-0800-000005000000}">
            <xm:f>AND(G2&lt;&gt;"", IFERROR(INDEX('Recommendations'!$H$2:$H$461, MATCH(G2,'Recommendations'!$A$2:$A$461,0))="Risk Accepted", FALSE))</xm:f>
            <x14:dxf>
              <font>
                <color rgb="FF000000"/>
              </font>
              <fill>
                <patternFill>
                  <bgColor rgb="FFD9D9D9"/>
                </patternFill>
              </fill>
            </x14:dxf>
          </x14:cfRule>
          <x14:cfRule type="expression" priority="6" id="{00000000-000E-0000-0800-000006000000}">
            <xm:f>AND(G2&lt;&gt;"", IFERROR(INDEX('Recommendations'!$H$2:$H$461, MATCH(G2,'Recommendations'!$A$2:$A$461,0))="N/A",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Security Technical Implementation Guide - SHGIR</dc:title>
  <dc:subject>Generated on: 2026-06-08 12:47:32</dc:subject>
  <dc:creator>Anicet Fopa Tchoffo</dc:creator>
  <cp:keywords>Baseline;Hardening;DISA;STIG</cp:keywords>
  <dc:description>Baseline Developed By: VMware and Defense Information Systems Agency (DISA) for the US DoD</dc:description>
  <cp:lastModifiedBy>Anicet Fopa Tchoffo</cp:lastModifiedBy>
  <dcterms:modified xsi:type="dcterms:W3CDTF">2026-06-08T11:47:42Z</dcterms:modified>
  <cp:category>DISA-STIG</cp:category>
  <cp:contentStatus>Draft</cp:contentStatus>
</cp:coreProperties>
</file>