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89E55531DB03B2537EC3B6C8A767053E92AB772F" xr6:coauthVersionLast="47" xr6:coauthVersionMax="47" xr10:uidLastSave="{A7EDA4DC-FFDE-438E-831A-ECCEA4159D2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F87" i="3"/>
  <c r="E95" i="3" s="1"/>
  <c r="E87" i="3"/>
  <c r="D87" i="3"/>
  <c r="C87" i="3"/>
  <c r="E86" i="3"/>
  <c r="D86" i="3"/>
  <c r="C86" i="3"/>
  <c r="W138" i="3" s="1"/>
  <c r="E85" i="3"/>
  <c r="D85" i="3"/>
  <c r="C85" i="3"/>
  <c r="F85" i="3" s="1"/>
  <c r="F84" i="3"/>
  <c r="T168" i="3" s="1"/>
  <c r="E84" i="3"/>
  <c r="D84" i="3"/>
  <c r="C84" i="3"/>
  <c r="S138" i="3" s="1"/>
  <c r="E69" i="3"/>
  <c r="D69" i="3"/>
  <c r="C69" i="3"/>
  <c r="F69" i="3" s="1"/>
  <c r="E68" i="3"/>
  <c r="D68" i="3"/>
  <c r="C68" i="3"/>
  <c r="F68" i="3" s="1"/>
  <c r="E67" i="3"/>
  <c r="D67" i="3"/>
  <c r="C67" i="3"/>
  <c r="F67" i="3" s="1"/>
  <c r="E49" i="3"/>
  <c r="D49" i="3"/>
  <c r="C49" i="3"/>
  <c r="F49" i="3" s="1"/>
  <c r="E48" i="3"/>
  <c r="F48" i="3" s="1"/>
  <c r="D48" i="3"/>
  <c r="C48" i="3"/>
  <c r="E47" i="3"/>
  <c r="D47" i="3"/>
  <c r="C47" i="3"/>
  <c r="F47" i="3" s="1"/>
  <c r="E46" i="3"/>
  <c r="D46" i="3"/>
  <c r="C46" i="3"/>
  <c r="F46" i="3" s="1"/>
  <c r="E45" i="3"/>
  <c r="F45" i="3" s="1"/>
  <c r="D45" i="3"/>
  <c r="C45" i="3"/>
  <c r="E44" i="3"/>
  <c r="D44" i="3"/>
  <c r="C44" i="3"/>
  <c r="F44" i="3" s="1"/>
  <c r="E30" i="3"/>
  <c r="D30" i="3"/>
  <c r="C30" i="3"/>
  <c r="F30" i="3" s="1"/>
  <c r="E29" i="3"/>
  <c r="D29" i="3"/>
  <c r="C29" i="3"/>
  <c r="F29" i="3" s="1"/>
  <c r="E16" i="3"/>
  <c r="D16" i="3"/>
  <c r="C16" i="3"/>
  <c r="F16" i="3" s="1"/>
  <c r="D9" i="3"/>
  <c r="C9" i="3"/>
  <c r="C7" i="3" s="1"/>
  <c r="D7" i="3" s="1"/>
  <c r="C8" i="3"/>
  <c r="D8" i="3" s="1"/>
  <c r="E115" i="3" l="1"/>
  <c r="D115" i="3"/>
  <c r="C115" i="3"/>
  <c r="E73" i="3"/>
  <c r="D73" i="3"/>
  <c r="C73" i="3"/>
  <c r="G127" i="3"/>
  <c r="V167" i="3"/>
  <c r="V162" i="3"/>
  <c r="V157" i="3"/>
  <c r="V152" i="3"/>
  <c r="V147" i="3"/>
  <c r="V142" i="3"/>
  <c r="E93" i="3"/>
  <c r="D93" i="3"/>
  <c r="V166" i="3"/>
  <c r="V161" i="3"/>
  <c r="V156" i="3"/>
  <c r="V151" i="3"/>
  <c r="V146" i="3"/>
  <c r="V141" i="3"/>
  <c r="V170" i="3"/>
  <c r="V165" i="3"/>
  <c r="V160" i="3"/>
  <c r="V155" i="3"/>
  <c r="V150" i="3"/>
  <c r="V145" i="3"/>
  <c r="V140" i="3"/>
  <c r="V169" i="3"/>
  <c r="V164" i="3"/>
  <c r="V159" i="3"/>
  <c r="V154" i="3"/>
  <c r="V149" i="3"/>
  <c r="V144" i="3"/>
  <c r="C93" i="3"/>
  <c r="V168" i="3"/>
  <c r="V163" i="3"/>
  <c r="V158" i="3"/>
  <c r="V153" i="3"/>
  <c r="V148" i="3"/>
  <c r="V143" i="3"/>
  <c r="R168" i="3"/>
  <c r="R163" i="3"/>
  <c r="R158" i="3"/>
  <c r="R153" i="3"/>
  <c r="R148" i="3"/>
  <c r="R143"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E58" i="3"/>
  <c r="C58" i="3"/>
  <c r="D58" i="3"/>
  <c r="E74" i="3"/>
  <c r="D74" i="3"/>
  <c r="C74" i="3"/>
  <c r="E113" i="3"/>
  <c r="D113" i="3"/>
  <c r="C113" i="3"/>
  <c r="E57" i="3"/>
  <c r="D57" i="3"/>
  <c r="C57" i="3"/>
  <c r="D53" i="3"/>
  <c r="C53" i="3"/>
  <c r="E53" i="3"/>
  <c r="E75" i="3"/>
  <c r="D75" i="3"/>
  <c r="C75" i="3"/>
  <c r="E54" i="3"/>
  <c r="D54" i="3"/>
  <c r="C54" i="3"/>
  <c r="E56" i="3"/>
  <c r="D56" i="3"/>
  <c r="C56" i="3"/>
  <c r="E114" i="3"/>
  <c r="D114" i="3"/>
  <c r="C114" i="3"/>
  <c r="E34" i="3"/>
  <c r="C34" i="3"/>
  <c r="D34" i="3"/>
  <c r="E35" i="3"/>
  <c r="D35" i="3"/>
  <c r="C35" i="3"/>
  <c r="E96" i="3"/>
  <c r="D96" i="3"/>
  <c r="C96" i="3"/>
  <c r="E112" i="3"/>
  <c r="D112" i="3"/>
  <c r="C112" i="3"/>
  <c r="D55" i="3"/>
  <c r="C55" i="3"/>
  <c r="E55" i="3"/>
  <c r="C95" i="3"/>
  <c r="D95" i="3"/>
  <c r="Q138" i="3"/>
  <c r="F86" i="3"/>
  <c r="T144" i="3"/>
  <c r="T149" i="3"/>
  <c r="T154" i="3"/>
  <c r="T159" i="3"/>
  <c r="T164" i="3"/>
  <c r="T169" i="3"/>
  <c r="U138" i="3"/>
  <c r="T140" i="3"/>
  <c r="T145" i="3"/>
  <c r="T150" i="3"/>
  <c r="T155" i="3"/>
  <c r="T160" i="3"/>
  <c r="T165" i="3"/>
  <c r="T170" i="3"/>
  <c r="C92" i="3"/>
  <c r="T141" i="3"/>
  <c r="T146" i="3"/>
  <c r="T151" i="3"/>
  <c r="T156" i="3"/>
  <c r="T161" i="3"/>
  <c r="T166" i="3"/>
  <c r="D92" i="3"/>
  <c r="E92" i="3"/>
  <c r="T142" i="3"/>
  <c r="T147" i="3"/>
  <c r="T152" i="3"/>
  <c r="T157" i="3"/>
  <c r="T162" i="3"/>
  <c r="T167" i="3"/>
  <c r="T143" i="3"/>
  <c r="T148" i="3"/>
  <c r="T153" i="3"/>
  <c r="T158" i="3"/>
  <c r="T163" i="3"/>
  <c r="D94" i="3" l="1"/>
  <c r="X167" i="3"/>
  <c r="X162" i="3"/>
  <c r="X157" i="3"/>
  <c r="X152" i="3"/>
  <c r="X147" i="3"/>
  <c r="X142" i="3"/>
  <c r="C94" i="3"/>
  <c r="X166" i="3"/>
  <c r="X161" i="3"/>
  <c r="X156" i="3"/>
  <c r="X151" i="3"/>
  <c r="X146" i="3"/>
  <c r="X141" i="3"/>
  <c r="X170" i="3"/>
  <c r="X165" i="3"/>
  <c r="X160" i="3"/>
  <c r="X155" i="3"/>
  <c r="X150" i="3"/>
  <c r="X145" i="3"/>
  <c r="X140" i="3"/>
  <c r="X169" i="3"/>
  <c r="X164" i="3"/>
  <c r="X159" i="3"/>
  <c r="X154" i="3"/>
  <c r="X149" i="3"/>
  <c r="X144" i="3"/>
  <c r="X168" i="3"/>
  <c r="X163" i="3"/>
  <c r="X158" i="3"/>
  <c r="X153" i="3"/>
  <c r="X148" i="3"/>
  <c r="X143" i="3"/>
  <c r="E94" i="3"/>
</calcChain>
</file>

<file path=xl/sharedStrings.xml><?xml version="1.0" encoding="utf-8"?>
<sst xmlns="http://schemas.openxmlformats.org/spreadsheetml/2006/main" count="1300" uniqueCount="523">
  <si>
    <t>Id</t>
  </si>
  <si>
    <t>Title</t>
  </si>
  <si>
    <t>Severity</t>
  </si>
  <si>
    <t>Component</t>
  </si>
  <si>
    <t>MoSCoW</t>
  </si>
  <si>
    <t>OpsImpact</t>
  </si>
  <si>
    <t>Phase</t>
  </si>
  <si>
    <t>ImplStatus</t>
  </si>
  <si>
    <t>Notes</t>
  </si>
  <si>
    <t>Remediation</t>
  </si>
  <si>
    <t>Description</t>
  </si>
  <si>
    <t>Audit</t>
  </si>
  <si>
    <t>Status</t>
  </si>
  <si>
    <t>LogID</t>
  </si>
  <si>
    <t>V-242167</t>
  </si>
  <si>
    <r>
      <rPr>
        <sz val="11"/>
        <rFont val="Calibri"/>
      </rPr>
      <t>To protect against unauthorized data mining, the TPS must prevent code injection attacks launched against data storage objects, including, at a minimum, databases, database records, queries, and fields.</t>
    </r>
  </si>
  <si>
    <t>CAT II (Medium)</t>
  </si>
  <si>
    <t>IDPS</t>
  </si>
  <si>
    <t>Unassigned</t>
  </si>
  <si>
    <t>Unassessed</t>
  </si>
  <si>
    <t>Pending</t>
  </si>
  <si>
    <t/>
  </si>
  <si>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"Search". </t>
    </r>
    <r>
      <rPr>
        <sz val="11"/>
        <color rgb="FF000000"/>
        <rFont val="Calibri"/>
      </rPr>
      <t xml:space="preserve">
</t>
    </r>
    <r>
      <rPr>
        <sz val="11"/>
        <color rgb="FF000000"/>
        <rFont val="Calibri"/>
      </rPr>
      <t xml:space="preserve">4. Under "Filter criteria", select all "Filter categories". Select the "Filter Name" section and type "database". </t>
    </r>
    <r>
      <rPr>
        <sz val="11"/>
        <color rgb="FF000000"/>
        <rFont val="Calibri"/>
      </rPr>
      <t xml:space="preserve">
</t>
    </r>
    <r>
      <rPr>
        <sz val="11"/>
        <color rgb="FF000000"/>
        <rFont val="Calibri"/>
      </rPr>
      <t>5. Ensure all items in the search results have "Use Category Settings" selected.</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</si>
  <si>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r>
      <rPr>
        <sz val="11"/>
        <color rgb="FF000000"/>
        <rFont val="Calibri"/>
      </rPr>
      <t>Data mining is the analysis of large quantities of data to discover patterns and is used in intelligence gathering. Failure to detect attacks that use unauthorized data mining techniques to attack databases may result in the compromise of information.</t>
    </r>
    <r>
      <rPr>
        <sz val="11"/>
        <color rgb="FF000000"/>
        <rFont val="Calibri"/>
      </rPr>
      <t xml:space="preserve">
</t>
    </r>
    <r>
      <rPr>
        <sz val="11"/>
        <color rgb="FF000000"/>
        <rFont val="Calibri"/>
      </rPr>
      <t xml:space="preserve">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 </t>
    </r>
    <r>
      <rPr>
        <sz val="11"/>
        <color rgb="FF000000"/>
        <rFont val="Calibri"/>
      </rPr>
      <t xml:space="preserve">
</t>
    </r>
    <r>
      <rPr>
        <sz val="11"/>
        <color rgb="FF000000"/>
        <rFont val="Calibri"/>
      </rPr>
      <t>TPS component(s) with the capability to prevent code injections must be included in the TPS implementation to protect against unauthorized data mining. These components must include rules and anomaly detection algorithms to monitor for atypical database queries or accesses.</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</si>
  <si>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"Search". </t>
    </r>
    <r>
      <rPr>
        <sz val="11"/>
        <color rgb="FF000000"/>
        <rFont val="Calibri"/>
      </rPr>
      <t xml:space="preserve">
</t>
    </r>
    <r>
      <rPr>
        <sz val="11"/>
        <color rgb="FF000000"/>
        <rFont val="Calibri"/>
      </rPr>
      <t>4. Under "Filter criteria", select all "Filter categories". Select the "Filter Name" section and type "database".</t>
    </r>
    <r>
      <rPr>
        <sz val="11"/>
        <color rgb="FF000000"/>
        <rFont val="Calibri"/>
      </rPr>
      <t xml:space="preserve">
</t>
    </r>
    <r>
      <rPr>
        <sz val="11"/>
        <color rgb="FF000000"/>
        <rFont val="Calibri"/>
      </rPr>
      <t>If the filter settings are not set for each to "Use Category Settings" or there are filter items disabled that are outside of recommended Trend Micro settings, this is a finding.</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</si>
  <si>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t>V-242168</t>
  </si>
  <si>
    <r>
      <rPr>
        <sz val="11"/>
        <rFont val="Calibri"/>
      </rPr>
      <t>To protect against unauthorized data mining, the TPS must prevent code injection attacks launched against application objects including, at a minimum, application URLs and application code.</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</si>
  <si>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"Search". </t>
    </r>
    <r>
      <rPr>
        <sz val="11"/>
        <color rgb="FF000000"/>
        <rFont val="Calibri"/>
      </rPr>
      <t xml:space="preserve">
</t>
    </r>
    <r>
      <rPr>
        <sz val="11"/>
        <color rgb="FF000000"/>
        <rFont val="Calibri"/>
      </rPr>
      <t xml:space="preserve">4. Under "Filter criteria", select all "Filter categories". Then select the "Filter Name" section and type "database", and select HTTP under "Filter Taxonomy Criteria as the Protocol". </t>
    </r>
    <r>
      <rPr>
        <sz val="11"/>
        <color rgb="FF000000"/>
        <rFont val="Calibri"/>
      </rPr>
      <t xml:space="preserve">
</t>
    </r>
    <r>
      <rPr>
        <sz val="11"/>
        <color rgb="FF000000"/>
        <rFont val="Calibri"/>
      </rPr>
      <t>5. Ensure all items in the search results have "Use Category Settings" selected.</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</si>
  <si>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r>
      <rPr>
        <sz val="11"/>
        <color rgb="FF000000"/>
        <rFont val="Calibri"/>
      </rPr>
      <t>Data mining is the analysis of large quantities of data to discover patterns and is used in intelligence gathering. Failure to detect attacks that use unauthorized data mining techniques to attack applications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TPS component(s) with the capability to prevent code injections must be included in the IDPS implementation to protect against unauthorized data mining. These components must include rules and anomaly detection algorithms to monitor for atypical database queries or accesses.</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</si>
  <si>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"Search". Under "Filter criteria", select all "Filter categories". </t>
    </r>
    <r>
      <rPr>
        <sz val="11"/>
        <color rgb="FF000000"/>
        <rFont val="Calibri"/>
      </rPr>
      <t xml:space="preserve">
</t>
    </r>
    <r>
      <rPr>
        <sz val="11"/>
        <color rgb="FF000000"/>
        <rFont val="Calibri"/>
      </rPr>
      <t>4. Select the "Filter Name" section and type "database", and select HTTP under "Filter Taxonomy Criteria as the Protocol".</t>
    </r>
    <r>
      <rPr>
        <sz val="11"/>
        <color rgb="FF000000"/>
        <rFont val="Calibri"/>
      </rPr>
      <t xml:space="preserve">
</t>
    </r>
    <r>
      <rPr>
        <sz val="11"/>
        <color rgb="FF000000"/>
        <rFont val="Calibri"/>
      </rPr>
      <t>If the filter settings are not set for each to "Use Category Settings" or there are filter items disabled that are outside of recommended Trend Micro settings, this is a finding.</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</si>
  <si>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t>V-242169</t>
  </si>
  <si>
    <r>
      <rPr>
        <sz val="11"/>
        <rFont val="Calibri"/>
      </rPr>
      <t>To protect against unauthorized data mining, the TPS must prevent SQL injection attacks launched against data storage objects, including, at a minimum, databases, database records, and database fields.</t>
    </r>
  </si>
  <si>
    <r>
      <rPr>
        <sz val="11"/>
        <color rgb="FF000000"/>
        <rFont val="Calibri"/>
      </rPr>
      <t>Data mining is the analysis of large quantities of data to discover patterns and is used in intelligence gathering. Failure to detect attacks that use unauthorized data mining techniques to attack databases may result in the compromise of information.</t>
    </r>
    <r>
      <rPr>
        <sz val="11"/>
        <color rgb="FF000000"/>
        <rFont val="Calibri"/>
      </rPr>
      <t xml:space="preserve">
</t>
    </r>
    <r>
      <rPr>
        <sz val="11"/>
        <color rgb="FF000000"/>
        <rFont val="Calibri"/>
      </rPr>
      <t>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t>
    </r>
    <r>
      <rPr>
        <sz val="11"/>
        <color rgb="FF000000"/>
        <rFont val="Calibri"/>
      </rPr>
      <t xml:space="preserve">
</t>
    </r>
    <r>
      <rPr>
        <sz val="11"/>
        <color rgb="FF000000"/>
        <rFont val="Calibri"/>
      </rPr>
      <t>TPS component(s) with the capability to prevent SQL code injections must be included in the IDPS implementation to protect against unauthorized data mining. These components must include rules and anomaly detection algorithms to monitor for SQL injection attacks.</t>
    </r>
  </si>
  <si>
    <t>V-242170</t>
  </si>
  <si>
    <r>
      <rPr>
        <sz val="11"/>
        <rFont val="Calibri"/>
      </rPr>
      <t>To protect against unauthorized data mining, the TPS must detect code injection attacks launched against data storage objects, including, at a minimum, databases, database records, queries, and fields.</t>
    </r>
  </si>
  <si>
    <r>
      <rPr>
        <sz val="11"/>
        <color rgb="FF000000"/>
        <rFont val="Calibri"/>
      </rPr>
      <t>Data mining is the analysis of large quantities of data to discover patterns and is used in intelligence gathering. Failure to detect attacks that use unauthorized data mining techniques to attack databases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t>
    </r>
    <r>
      <rPr>
        <sz val="11"/>
        <color rgb="FF000000"/>
        <rFont val="Calibri"/>
      </rPr>
      <t xml:space="preserve">
</t>
    </r>
    <r>
      <rPr>
        <sz val="11"/>
        <color rgb="FF000000"/>
        <rFont val="Calibri"/>
      </rPr>
      <t>TPS component(s) with anomaly detection must be included in the IDPS implementation to protect against unauthorized data mining. These components must include rules and anomaly detection algorithms to monitor for atypical database queries or accesses.</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</si>
  <si>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"Search". </t>
    </r>
    <r>
      <rPr>
        <sz val="11"/>
        <color rgb="FF000000"/>
        <rFont val="Calibri"/>
      </rPr>
      <t xml:space="preserve">
</t>
    </r>
    <r>
      <rPr>
        <sz val="11"/>
        <color rgb="FF000000"/>
        <rFont val="Calibri"/>
      </rPr>
      <t xml:space="preserve">4. Under "Filter criteria", select all "Filter categories". Select the "Filter Name" section and type "database". </t>
    </r>
    <r>
      <rPr>
        <sz val="11"/>
        <color rgb="FF000000"/>
        <rFont val="Calibri"/>
      </rPr>
      <t xml:space="preserve">
</t>
    </r>
    <r>
      <rPr>
        <sz val="11"/>
        <color rgb="FF000000"/>
        <rFont val="Calibri"/>
      </rPr>
      <t>If the filter settings are not set for each to "Use Category Settings" or there are filter items disabled that are outside of recommended Trend Micro settings, this is a finding.</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</si>
  <si>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t>V-242171</t>
  </si>
  <si>
    <r>
      <rPr>
        <sz val="11"/>
        <rFont val="Calibri"/>
      </rPr>
      <t>To protect against unauthorized data mining, the TPS must detect code injection attacks launched against application objects including, at a minimum, application URLs and application code.</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</si>
  <si>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"Search". </t>
    </r>
    <r>
      <rPr>
        <sz val="11"/>
        <color rgb="FF000000"/>
        <rFont val="Calibri"/>
      </rPr>
      <t xml:space="preserve">
</t>
    </r>
    <r>
      <rPr>
        <sz val="11"/>
        <color rgb="FF000000"/>
        <rFont val="Calibri"/>
      </rPr>
      <t xml:space="preserve">4. Under "Filter criteria", select all "Filter categories". Select the "Filter Name" section and type "database", and select HTTP under "Filter Taxonomy Criteria as the Protocol". </t>
    </r>
    <r>
      <rPr>
        <sz val="11"/>
        <color rgb="FF000000"/>
        <rFont val="Calibri"/>
      </rPr>
      <t xml:space="preserve">
</t>
    </r>
    <r>
      <rPr>
        <sz val="11"/>
        <color rgb="FF000000"/>
        <rFont val="Calibri"/>
      </rPr>
      <t>5. Ensure all items in the search results have "Use Category Settings" selected.</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</si>
  <si>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r>
      <rPr>
        <sz val="11"/>
        <color rgb="FF000000"/>
        <rFont val="Calibri"/>
      </rPr>
      <t>Data mining is the analysis of large quantities of data to discover patterns and is used in intelligence gathering. Failure to detect attacks that use unauthorized data mining techniques to attack applications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TPS component(s) with anomaly detection must be included in the IDPS implementation. These components must include rules and anomaly detection algorithms to monitor for atypical application behavior, commands, and accesses.</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</si>
  <si>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"Search". </t>
    </r>
    <r>
      <rPr>
        <sz val="11"/>
        <color rgb="FF000000"/>
        <rFont val="Calibri"/>
      </rPr>
      <t xml:space="preserve">
</t>
    </r>
    <r>
      <rPr>
        <sz val="11"/>
        <color rgb="FF000000"/>
        <rFont val="Calibri"/>
      </rPr>
      <t xml:space="preserve">4. Under "Filter criteria", select all "Filter categories". Select the "Filter Name" section and type "database", and select HTTP under "Filter Taxonomy Criteria as the Protocol". </t>
    </r>
    <r>
      <rPr>
        <sz val="11"/>
        <color rgb="FF000000"/>
        <rFont val="Calibri"/>
      </rPr>
      <t xml:space="preserve">
</t>
    </r>
    <r>
      <rPr>
        <sz val="11"/>
        <color rgb="FF000000"/>
        <rFont val="Calibri"/>
      </rPr>
      <t>If the filter settings are not set for each to "Use Category Settings" or there are filter items disabled that are outside of recommended Trend Micro settings, this is a finding.</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</si>
  <si>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t>V-242172</t>
  </si>
  <si>
    <r>
      <rPr>
        <sz val="11"/>
        <rFont val="Calibri"/>
      </rPr>
      <t>To protect against unauthorized data mining, the TPS must detect SQL injection attacks launched against data storage objects, including, at a minimum, databases, database records, and database fields.</t>
    </r>
  </si>
  <si>
    <r>
      <rPr>
        <sz val="11"/>
        <color rgb="FF000000"/>
        <rFont val="Calibri"/>
      </rPr>
      <t>Data mining is the analysis of large quantities of data to discover patterns and is used in intelligence gathering. Failure to detect attacks that use unauthorized data mining techniques to attack databases may result in the compromise of information.</t>
    </r>
    <r>
      <rPr>
        <sz val="11"/>
        <color rgb="FF000000"/>
        <rFont val="Calibri"/>
      </rPr>
      <t xml:space="preserve">
</t>
    </r>
    <r>
      <rPr>
        <sz val="11"/>
        <color rgb="FF000000"/>
        <rFont val="Calibri"/>
      </rPr>
      <t>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t>
    </r>
    <r>
      <rPr>
        <sz val="11"/>
        <color rgb="FF000000"/>
        <rFont val="Calibri"/>
      </rPr>
      <t xml:space="preserve">
</t>
    </r>
    <r>
      <rPr>
        <sz val="11"/>
        <color rgb="FF000000"/>
        <rFont val="Calibri"/>
      </rPr>
      <t>TPS component(s) with anomaly detection must be included in the IDPS implementation to monitor for and detect unauthorized data mining. These components must include rules and anomaly detection algorithms to monitor for SQL injection attacks.</t>
    </r>
  </si>
  <si>
    <t>V-242173</t>
  </si>
  <si>
    <r>
      <rPr>
        <sz val="11"/>
        <rFont val="Calibri"/>
      </rPr>
      <t>The Trend Micro TippingPoint Security Management System (SMS) must be configured to send security IPS policy to the Trend Micro Threat Protection System (TPS).</t>
    </r>
  </si>
  <si>
    <t>CAT I (High)</t>
  </si>
  <si>
    <r>
      <rPr>
        <sz val="11"/>
        <color rgb="FF000000"/>
        <rFont val="Calibri"/>
      </rPr>
      <t>1. In the Trend Micro SMS, navigate to "Profiles" and "Inspection Profiles" and select the organization's profile.</t>
    </r>
    <r>
      <rPr>
        <sz val="11"/>
        <color rgb="FF000000"/>
        <rFont val="Calibri"/>
      </rPr>
      <t xml:space="preserve">
</t>
    </r>
    <r>
      <rPr>
        <sz val="11"/>
        <color rgb="FF000000"/>
        <rFont val="Calibri"/>
      </rPr>
      <t xml:space="preserve">2. If there is no profile configured, select "default". </t>
    </r>
    <r>
      <rPr>
        <sz val="11"/>
        <color rgb="FF000000"/>
        <rFont val="Calibri"/>
      </rPr>
      <t xml:space="preserve">
</t>
    </r>
    <r>
      <rPr>
        <sz val="11"/>
        <color rgb="FF000000"/>
        <rFont val="Calibri"/>
      </rPr>
      <t xml:space="preserve">3. Click "Edit Details". Select the deployment mode of "Default". The default deployment mode ensures all strict DoD vulnerabilities are blocked and alerted upon. </t>
    </r>
    <r>
      <rPr>
        <sz val="11"/>
        <color rgb="FF000000"/>
        <rFont val="Calibri"/>
      </rPr>
      <t xml:space="preserve">
</t>
    </r>
    <r>
      <rPr>
        <sz val="11"/>
        <color rgb="FF000000"/>
        <rFont val="Calibri"/>
      </rPr>
      <t>4. Navigate to "Profile Overview", and select the action set for each category to "Recommended". The recommended action set is set to ensure all suspicious and vulnerable traffic is blocked and alerted upon.</t>
    </r>
    <r>
      <rPr>
        <sz val="11"/>
        <color rgb="FF000000"/>
        <rFont val="Calibri"/>
      </rPr>
      <t xml:space="preserve">
</t>
    </r>
    <r>
      <rPr>
        <sz val="11"/>
        <color rgb="FF000000"/>
        <rFont val="Calibri"/>
      </rPr>
      <t>5. Go through each default rule and tune the block and disabled rules to ensure they reflect the network environment's traffic patterns. Not all default block or disabled rules may be applicable to all DoD networks, especially in the cases of multitenancy.</t>
    </r>
    <r>
      <rPr>
        <sz val="11"/>
        <color rgb="FF000000"/>
        <rFont val="Calibri"/>
      </rPr>
      <t xml:space="preserve">
</t>
    </r>
    <r>
      <rPr>
        <sz val="11"/>
        <color rgb="FF000000"/>
        <rFont val="Calibri"/>
      </rPr>
      <t>Note: If the site has set up a security profile (i.e., not using the default profile), then verify compliance using the site's SSP.</t>
    </r>
  </si>
  <si>
    <r>
      <rPr>
        <sz val="11"/>
        <color rgb="FF000000"/>
        <rFont val="Calibri"/>
      </rPr>
      <t>The flow of all communications traffic must be monitored and controlled so it does not introduce any unacceptable risk to the network infrastructure or data.</t>
    </r>
    <r>
      <rPr>
        <sz val="11"/>
        <color rgb="FF000000"/>
        <rFont val="Calibri"/>
      </rPr>
      <t xml:space="preserve">
</t>
    </r>
    <r>
      <rPr>
        <sz val="11"/>
        <color rgb="FF000000"/>
        <rFont val="Calibri"/>
      </rPr>
      <t>Restricting the flow of communications traffic, also known as Information flow control, regulates where information is allowed to travel as opposed to who is allowed to access the information and without explicit regard to subsequent accesses to that information.</t>
    </r>
    <r>
      <rPr>
        <sz val="11"/>
        <color rgb="FF000000"/>
        <rFont val="Calibri"/>
      </rPr>
      <t xml:space="preserve">
</t>
    </r>
    <r>
      <rPr>
        <sz val="11"/>
        <color rgb="FF000000"/>
        <rFont val="Calibri"/>
      </rPr>
      <t>The Trend Micro SMS will include policy filters, rules, signatures, and behavior analysis algorithms that inspects and restricts traffic based on the characteristics of the information and/or the information path as it crosses internal network boundaries. The Trend Micro SMS monitors for harmful or suspicious information flows and restricts or blocks this traffic based on attribute- and content-based inspection of the source, destination, headers, and/or content of the communications traffic.</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</si>
  <si>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"Edit Details". Ensure the deployment mode of "Default" is selected. The default deployment mode ensures all strict DoD vulnerabilities are blocked and alerted upon. </t>
    </r>
    <r>
      <rPr>
        <sz val="11"/>
        <color rgb="FF000000"/>
        <rFont val="Calibri"/>
      </rPr>
      <t xml:space="preserve">
</t>
    </r>
    <r>
      <rPr>
        <sz val="11"/>
        <color rgb="FF000000"/>
        <rFont val="Calibri"/>
      </rPr>
      <t xml:space="preserve">4. Navigate to "Profile Overview" and ensure the action set for each category is set to "Recommended". The recommended action set is set to ensure all suspicious and vulnerable traffic is blocked and alerted upon. </t>
    </r>
    <r>
      <rPr>
        <sz val="11"/>
        <color rgb="FF000000"/>
        <rFont val="Calibri"/>
      </rPr>
      <t xml:space="preserve">
</t>
    </r>
    <r>
      <rPr>
        <sz val="11"/>
        <color rgb="FF000000"/>
        <rFont val="Calibri"/>
      </rPr>
      <t>If the "default" deployment mode is used, but not configured in a compliant manner, this is a finding.</t>
    </r>
    <r>
      <rPr>
        <sz val="11"/>
        <color rgb="FF000000"/>
        <rFont val="Calibri"/>
      </rPr>
      <t xml:space="preserve">
</t>
    </r>
    <r>
      <rPr>
        <sz val="11"/>
        <color rgb="FF000000"/>
        <rFont val="Calibri"/>
      </rPr>
      <t>Note: If the site has set up a security profile (i.e., not using the default profile), then verify compliance with the site's SSP requirements.</t>
    </r>
  </si>
  <si>
    <t>V-242175</t>
  </si>
  <si>
    <r>
      <rPr>
        <sz val="11"/>
        <rFont val="Calibri"/>
      </rPr>
      <t>The Trend Micro TPS must immediately use updates made to policy filters, rules, signatures, and anomaly analysis algorithms for traffic detection and prevention functions which are all contained in the Digital Vaccine (DV) updates.</t>
    </r>
  </si>
  <si>
    <r>
      <rPr>
        <sz val="11"/>
        <color rgb="FF000000"/>
        <rFont val="Calibri"/>
      </rPr>
      <t xml:space="preserve">1. In the Trend Micro SMS interface, go to the "Profiles" and then "Digital Vaccines". </t>
    </r>
    <r>
      <rPr>
        <sz val="11"/>
        <color rgb="FF000000"/>
        <rFont val="Calibri"/>
      </rPr>
      <t xml:space="preserve">
</t>
    </r>
    <r>
      <rPr>
        <sz val="11"/>
        <color rgb="FF000000"/>
        <rFont val="Calibri"/>
      </rPr>
      <t xml:space="preserve">2. Check the latest DV version that is downloaded/imported and is active. Go the Trend Micro support system located here: https://tmc.tippingpoint.com/TMC/Releases </t>
    </r>
    <r>
      <rPr>
        <sz val="11"/>
        <color rgb="FF000000"/>
        <rFont val="Calibri"/>
      </rPr>
      <t xml:space="preserve">
</t>
    </r>
    <r>
      <rPr>
        <sz val="11"/>
        <color rgb="FF000000"/>
        <rFont val="Calibri"/>
      </rPr>
      <t>3. Under Digital Vaccines, select the DV major version (3.2.0 currently).</t>
    </r>
    <r>
      <rPr>
        <sz val="11"/>
        <color rgb="FF000000"/>
        <rFont val="Calibri"/>
      </rPr>
      <t xml:space="preserve">
</t>
    </r>
    <r>
      <rPr>
        <sz val="11"/>
        <color rgb="FF000000"/>
        <rFont val="Calibri"/>
      </rPr>
      <t>4. Download the latest signature file (e.g. SIG_3.2.0_9404.pkg).</t>
    </r>
    <r>
      <rPr>
        <sz val="11"/>
        <color rgb="FF000000"/>
        <rFont val="Calibri"/>
      </rPr>
      <t xml:space="preserve">
</t>
    </r>
    <r>
      <rPr>
        <sz val="11"/>
        <color rgb="FF000000"/>
        <rFont val="Calibri"/>
      </rPr>
      <t xml:space="preserve">5. Read the EULA acceptance notice, then select Accept. </t>
    </r>
    <r>
      <rPr>
        <sz val="11"/>
        <color rgb="FF000000"/>
        <rFont val="Calibri"/>
      </rPr>
      <t xml:space="preserve">
</t>
    </r>
    <r>
      <rPr>
        <sz val="11"/>
        <color rgb="FF000000"/>
        <rFont val="Calibri"/>
      </rPr>
      <t xml:space="preserve">6. Under an approved network change window, go back to the SMS, Profiles, and Digital Vaccines. </t>
    </r>
    <r>
      <rPr>
        <sz val="11"/>
        <color rgb="FF000000"/>
        <rFont val="Calibri"/>
      </rPr>
      <t xml:space="preserve">
</t>
    </r>
    <r>
      <rPr>
        <sz val="11"/>
        <color rgb="FF000000"/>
        <rFont val="Calibri"/>
      </rPr>
      <t xml:space="preserve">7. Select "import", then select the file downloaded from the TMC site. </t>
    </r>
    <r>
      <rPr>
        <sz val="11"/>
        <color rgb="FF000000"/>
        <rFont val="Calibri"/>
      </rPr>
      <t xml:space="preserve">
</t>
    </r>
    <r>
      <rPr>
        <sz val="11"/>
        <color rgb="FF000000"/>
        <rFont val="Calibri"/>
      </rPr>
      <t>8. Once prompted, select distribute to all TPS devices in the network.</t>
    </r>
  </si>
  <si>
    <r>
      <rPr>
        <sz val="11"/>
        <color rgb="FF000000"/>
        <rFont val="Calibri"/>
      </rPr>
      <t>Information flow policies regarding dynamic information flow control include, for example, allowing or disallowing information flows based on changes to the PPSM CAL, vulnerability assessments, or mission conditions. Changing conditions include changes in the threat environment and detection of potentially harmful or adverse events.</t>
    </r>
    <r>
      <rPr>
        <sz val="11"/>
        <color rgb="FF000000"/>
        <rFont val="Calibri"/>
      </rPr>
      <t xml:space="preserve">
</t>
    </r>
    <r>
      <rPr>
        <sz val="11"/>
        <color rgb="FF000000"/>
        <rFont val="Calibri"/>
      </rPr>
      <t>Changes to the TPS must take effect when made by an authorized administrator and the new configuration is put in place or committed, including upon restart or the application or reboot of the system. With some devices, the changes take effect as the configuration is changed, while with others, the new configuration must be submitted to the device. In any case, the behavior of the TPS must immediately be affected to reflect the configuration change.</t>
    </r>
  </si>
  <si>
    <r>
      <rPr>
        <sz val="11"/>
        <color rgb="FF000000"/>
        <rFont val="Calibri"/>
      </rPr>
      <t xml:space="preserve">1. In the Trend Micro SMS interface, go to the "Profiles" and then "Digital Vaccines". </t>
    </r>
    <r>
      <rPr>
        <sz val="11"/>
        <color rgb="FF000000"/>
        <rFont val="Calibri"/>
      </rPr>
      <t xml:space="preserve">
</t>
    </r>
    <r>
      <rPr>
        <sz val="11"/>
        <color rgb="FF000000"/>
        <rFont val="Calibri"/>
      </rPr>
      <t>2. Check the latest DV version that is downloaded/imported and is active. Go the Trend Micro support system located here: https://tmc.tippingpoint.com/TMC/Releases</t>
    </r>
    <r>
      <rPr>
        <sz val="11"/>
        <color rgb="FF000000"/>
        <rFont val="Calibri"/>
      </rPr>
      <t xml:space="preserve">
</t>
    </r>
    <r>
      <rPr>
        <sz val="11"/>
        <color rgb="FF000000"/>
        <rFont val="Calibri"/>
      </rPr>
      <t>3. Under Digital Vaccines, select the DV major version (3.2.0 currently).</t>
    </r>
    <r>
      <rPr>
        <sz val="11"/>
        <color rgb="FF000000"/>
        <rFont val="Calibri"/>
      </rPr>
      <t xml:space="preserve">
</t>
    </r>
    <r>
      <rPr>
        <sz val="11"/>
        <color rgb="FF000000"/>
        <rFont val="Calibri"/>
      </rPr>
      <t xml:space="preserve">4. Ensure the latest signature release is the current one that is applied to the SMS and is active to all TPS systems in the network. </t>
    </r>
    <r>
      <rPr>
        <sz val="11"/>
        <color rgb="FF000000"/>
        <rFont val="Calibri"/>
      </rPr>
      <t xml:space="preserve">
</t>
    </r>
    <r>
      <rPr>
        <sz val="11"/>
        <color rgb="FF000000"/>
        <rFont val="Calibri"/>
      </rPr>
      <t>If the latest one is not applied as the Active DV version, this is a finding.</t>
    </r>
  </si>
  <si>
    <t>V-242176</t>
  </si>
  <si>
    <r>
      <rPr>
        <sz val="11"/>
        <rFont val="Calibri"/>
      </rPr>
      <t>The TPS must provide audit record generation capability for detection events based on implementation of policy filters, rules, signatures, and anomaly analysis.</t>
    </r>
  </si>
  <si>
    <r>
      <rPr>
        <sz val="11"/>
        <color rgb="FF000000"/>
        <rFont val="Calibri"/>
      </rPr>
      <t>In the Trend Micro SMS interface</t>
    </r>
    <r>
      <rPr>
        <sz val="11"/>
        <color rgb="FF000000"/>
        <rFont val="Calibri"/>
      </rPr>
      <t xml:space="preserve">
</t>
    </r>
    <r>
      <rPr>
        <sz val="11"/>
        <color rgb="FF000000"/>
        <rFont val="Calibri"/>
      </rPr>
      <t xml:space="preserve">1. Go to the "Admin" tab and select "Server Properties". </t>
    </r>
    <r>
      <rPr>
        <sz val="11"/>
        <color rgb="FF000000"/>
        <rFont val="Calibri"/>
      </rPr>
      <t xml:space="preserve">
</t>
    </r>
    <r>
      <rPr>
        <sz val="11"/>
        <color rgb="FF000000"/>
        <rFont val="Calibri"/>
      </rPr>
      <t xml:space="preserve">2. Select the "syslog" tab. </t>
    </r>
    <r>
      <rPr>
        <sz val="11"/>
        <color rgb="FF000000"/>
        <rFont val="Calibri"/>
      </rPr>
      <t xml:space="preserve">
</t>
    </r>
    <r>
      <rPr>
        <sz val="11"/>
        <color rgb="FF000000"/>
        <rFont val="Calibri"/>
      </rPr>
      <t xml:space="preserve">3. Click "New". </t>
    </r>
    <r>
      <rPr>
        <sz val="11"/>
        <color rgb="FF000000"/>
        <rFont val="Calibri"/>
      </rPr>
      <t xml:space="preserve">
</t>
    </r>
    <r>
      <rPr>
        <sz val="11"/>
        <color rgb="FF000000"/>
        <rFont val="Calibri"/>
      </rPr>
      <t>4. Under syslog server, type the hostname or IP address of the syslog server. (If using Encrypted TCP, and depending on the syslog server, enter the hostname, if needed).</t>
    </r>
    <r>
      <rPr>
        <sz val="11"/>
        <color rgb="FF000000"/>
        <rFont val="Calibri"/>
      </rPr>
      <t xml:space="preserve">
</t>
    </r>
    <r>
      <rPr>
        <sz val="11"/>
        <color rgb="FF000000"/>
        <rFont val="Calibri"/>
      </rPr>
      <t xml:space="preserve">5. Click "TCP" to ensure logging data is queued in the case of disconnection of the syslog server. </t>
    </r>
    <r>
      <rPr>
        <sz val="11"/>
        <color rgb="FF000000"/>
        <rFont val="Calibri"/>
      </rPr>
      <t xml:space="preserve">
</t>
    </r>
    <r>
      <rPr>
        <sz val="11"/>
        <color rgb="FF000000"/>
        <rFont val="Calibri"/>
      </rPr>
      <t xml:space="preserve">6. Type the port used by the centralized logging server (traditionally it is port 514 for TCP and 6514 for Encrypted TCP). </t>
    </r>
    <r>
      <rPr>
        <sz val="11"/>
        <color rgb="FF000000"/>
        <rFont val="Calibri"/>
      </rPr>
      <t xml:space="preserve">
</t>
    </r>
    <r>
      <rPr>
        <sz val="11"/>
        <color rgb="FF000000"/>
        <rFont val="Calibri"/>
      </rPr>
      <t xml:space="preserve">7. Under log type, select "Device Audit". </t>
    </r>
    <r>
      <rPr>
        <sz val="11"/>
        <color rgb="FF000000"/>
        <rFont val="Calibri"/>
      </rPr>
      <t xml:space="preserve">
</t>
    </r>
    <r>
      <rPr>
        <sz val="11"/>
        <color rgb="FF000000"/>
        <rFont val="Calibri"/>
      </rPr>
      <t>8. Repeat steps to configure all syslog servers.</t>
    </r>
    <r>
      <rPr>
        <sz val="11"/>
        <color rgb="FF000000"/>
        <rFont val="Calibri"/>
      </rPr>
      <t xml:space="preserve">
</t>
    </r>
    <r>
      <rPr>
        <sz val="11"/>
        <color rgb="FF000000"/>
        <rFont val="Calibri"/>
      </rPr>
      <t xml:space="preserve">9. Under facility click "Log Audit". </t>
    </r>
    <r>
      <rPr>
        <sz val="11"/>
        <color rgb="FF000000"/>
        <rFont val="Calibri"/>
      </rPr>
      <t xml:space="preserve">
</t>
    </r>
    <r>
      <rPr>
        <sz val="11"/>
        <color rgb="FF000000"/>
        <rFont val="Calibri"/>
      </rPr>
      <t xml:space="preserve">10. Click Event timestamp under "Include Timestamp in Header". </t>
    </r>
    <r>
      <rPr>
        <sz val="11"/>
        <color rgb="FF000000"/>
        <rFont val="Calibri"/>
      </rPr>
      <t xml:space="preserve">
</t>
    </r>
    <r>
      <rPr>
        <sz val="11"/>
        <color rgb="FF000000"/>
        <rFont val="Calibri"/>
      </rPr>
      <t>11. Select "include SMS hostname in header".</t>
    </r>
    <r>
      <rPr>
        <sz val="11"/>
        <color rgb="FF000000"/>
        <rFont val="Calibri"/>
      </rPr>
      <t xml:space="preserve">
</t>
    </r>
    <r>
      <rPr>
        <sz val="11"/>
        <color rgb="FF000000"/>
        <rFont val="Calibri"/>
      </rPr>
      <t>Repeat this three more times to change the Log Type to include Device System, SMS Audit, and SMS System.</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</si>
  <si>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While auditing and logging are closely related, they are not the same. Logging is recording data about events that take place in a system, while auditing is the use of log records to identify security-relevant information such as system or user accesses. In short, log records are audited to establish an accurate history. Without logging, it would be impossible to establish an audit trail.</t>
    </r>
    <r>
      <rPr>
        <sz val="11"/>
        <color rgb="FF000000"/>
        <rFont val="Calibri"/>
      </rPr>
      <t xml:space="preserve">
</t>
    </r>
    <r>
      <rPr>
        <sz val="11"/>
        <color rgb="FF000000"/>
        <rFont val="Calibri"/>
      </rPr>
      <t>TPS has the capability to capture and log detected security violations and potential security violations. DOD requires TCP at a minimum, but if operational needs permit, Encrypted TCP (also called TLS Syslog) is also supported.</t>
    </r>
  </si>
  <si>
    <r>
      <rPr>
        <sz val="11"/>
        <color rgb="FF000000"/>
        <rFont val="Calibri"/>
      </rPr>
      <t>In the Trend Micro SMS interface:</t>
    </r>
    <r>
      <rPr>
        <sz val="11"/>
        <color rgb="FF000000"/>
        <rFont val="Calibri"/>
      </rPr>
      <t xml:space="preserve">
</t>
    </r>
    <r>
      <rPr>
        <sz val="11"/>
        <color rgb="FF000000"/>
        <rFont val="Calibri"/>
      </rPr>
      <t xml:space="preserve">1. Go to the "Admin" tab and select "Server Properties". </t>
    </r>
    <r>
      <rPr>
        <sz val="11"/>
        <color rgb="FF000000"/>
        <rFont val="Calibri"/>
      </rPr>
      <t xml:space="preserve">
</t>
    </r>
    <r>
      <rPr>
        <sz val="11"/>
        <color rgb="FF000000"/>
        <rFont val="Calibri"/>
      </rPr>
      <t xml:space="preserve">2. Select the "Syslog" tab. </t>
    </r>
    <r>
      <rPr>
        <sz val="11"/>
        <color rgb="FF000000"/>
        <rFont val="Calibri"/>
      </rPr>
      <t xml:space="preserve">
</t>
    </r>
    <r>
      <rPr>
        <sz val="11"/>
        <color rgb="FF000000"/>
        <rFont val="Calibri"/>
      </rPr>
      <t>3. Navigate to Device Audit &gt;&gt; Device System &gt;&gt; SMS Audit &gt;&gt; SMS system.</t>
    </r>
    <r>
      <rPr>
        <sz val="11"/>
        <color rgb="FF000000"/>
        <rFont val="Calibri"/>
      </rPr>
      <t xml:space="preserve">
</t>
    </r>
    <r>
      <rPr>
        <sz val="11"/>
        <color rgb="FF000000"/>
        <rFont val="Calibri"/>
      </rPr>
      <t>4. Review the settings for all syslogs servers.</t>
    </r>
    <r>
      <rPr>
        <sz val="11"/>
        <color rgb="FF000000"/>
        <rFont val="Calibri"/>
      </rPr>
      <t xml:space="preserve">
</t>
    </r>
    <r>
      <rPr>
        <sz val="11"/>
        <color rgb="FF000000"/>
        <rFont val="Calibri"/>
      </rPr>
      <t>If each syslog server is not configured to use TCP or Encrypted TCP, this is a finding.</t>
    </r>
  </si>
  <si>
    <t>V-242177</t>
  </si>
  <si>
    <r>
      <rPr>
        <sz val="11"/>
        <rFont val="Calibri"/>
      </rPr>
      <t>The TPS must provide audit record generation capability for events where communication traffic is blocked or restricted based on policy filters, rules, signatures, and anomaly analysis.</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</si>
  <si>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"Search". </t>
    </r>
    <r>
      <rPr>
        <sz val="11"/>
        <color rgb="FF000000"/>
        <rFont val="Calibri"/>
      </rPr>
      <t xml:space="preserve">
</t>
    </r>
    <r>
      <rPr>
        <sz val="11"/>
        <color rgb="FF000000"/>
        <rFont val="Calibri"/>
      </rPr>
      <t xml:space="preserve">4. Under "Filter criteria", select all "Filter categories". Select the "Additional Criteria" section. </t>
    </r>
    <r>
      <rPr>
        <sz val="11"/>
        <color rgb="FF000000"/>
        <rFont val="Calibri"/>
      </rPr>
      <t xml:space="preserve">
</t>
    </r>
    <r>
      <rPr>
        <sz val="11"/>
        <color rgb="FF000000"/>
        <rFont val="Calibri"/>
      </rPr>
      <t xml:space="preserve">5. Uncheck "permit" and "rate limit", then click "Search". </t>
    </r>
    <r>
      <rPr>
        <sz val="11"/>
        <color rgb="FF000000"/>
        <rFont val="Calibri"/>
      </rPr>
      <t xml:space="preserve">
</t>
    </r>
    <r>
      <rPr>
        <sz val="11"/>
        <color rgb="FF000000"/>
        <rFont val="Calibri"/>
      </rPr>
      <t xml:space="preserve">6. Once the results are presented, click the "Action Set" column to filter by action type. If any items state "Block": </t>
    </r>
    <r>
      <rPr>
        <sz val="11"/>
        <color rgb="FF000000"/>
        <rFont val="Calibri"/>
      </rPr>
      <t xml:space="preserve">
</t>
    </r>
    <r>
      <rPr>
        <sz val="11"/>
        <color rgb="FF000000"/>
        <rFont val="Calibri"/>
      </rPr>
      <t xml:space="preserve">   a. Double-click the item. </t>
    </r>
    <r>
      <rPr>
        <sz val="11"/>
        <color rgb="FF000000"/>
        <rFont val="Calibri"/>
      </rPr>
      <t xml:space="preserve">
</t>
    </r>
    <r>
      <rPr>
        <sz val="11"/>
        <color rgb="FF000000"/>
        <rFont val="Calibri"/>
      </rPr>
      <t xml:space="preserve">   b. Click the radio button for "User Filter settings". </t>
    </r>
    <r>
      <rPr>
        <sz val="11"/>
        <color rgb="FF000000"/>
        <rFont val="Calibri"/>
      </rPr>
      <t xml:space="preserve">
</t>
    </r>
    <r>
      <rPr>
        <sz val="11"/>
        <color rgb="FF000000"/>
        <rFont val="Calibri"/>
      </rPr>
      <t xml:space="preserve">   c. On the drop down-menu, select "Block + Notify". </t>
    </r>
    <r>
      <rPr>
        <sz val="11"/>
        <color rgb="FF000000"/>
        <rFont val="Calibri"/>
      </rPr>
      <t xml:space="preserve">
</t>
    </r>
    <r>
      <rPr>
        <sz val="11"/>
        <color rgb="FF000000"/>
        <rFont val="Calibri"/>
      </rPr>
      <t xml:space="preserve">   d. Click "OK". </t>
    </r>
    <r>
      <rPr>
        <sz val="11"/>
        <color rgb="FF000000"/>
        <rFont val="Calibri"/>
      </rPr>
      <t xml:space="preserve">
</t>
    </r>
    <r>
      <rPr>
        <sz val="11"/>
        <color rgb="FF000000"/>
        <rFont val="Calibri"/>
      </rPr>
      <t xml:space="preserve">   e. Once under an approved change window, click distribute and send the updated policy to all TPS systems and managed segment-groups. </t>
    </r>
    <r>
      <rPr>
        <sz val="11"/>
        <color rgb="FF000000"/>
        <rFont val="Calibri"/>
      </rPr>
      <t xml:space="preserve">
</t>
    </r>
    <r>
      <rPr>
        <sz val="11"/>
        <color rgb="FF000000"/>
        <rFont val="Calibri"/>
      </rPr>
      <t xml:space="preserve">   f. Ensure progress completes at 100%.</t>
    </r>
  </si>
  <si>
    <r>
      <rPr>
        <sz val="11"/>
        <color rgb="FF000000"/>
        <rFont val="Calibri"/>
      </rPr>
      <t>To support the centralized analysis capability, the IDPS components must be able to provide the information in a format (e.g., Syslog) that can be extracted and used, allowing the application to effectively review and analyze the log records.</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</si>
  <si>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"Search". </t>
    </r>
    <r>
      <rPr>
        <sz val="11"/>
        <color rgb="FF000000"/>
        <rFont val="Calibri"/>
      </rPr>
      <t xml:space="preserve">
</t>
    </r>
    <r>
      <rPr>
        <sz val="11"/>
        <color rgb="FF000000"/>
        <rFont val="Calibri"/>
      </rPr>
      <t xml:space="preserve">4. Under "Filter criteria", select all "Filter categories". Select the "Additional Criteria" section. </t>
    </r>
    <r>
      <rPr>
        <sz val="11"/>
        <color rgb="FF000000"/>
        <rFont val="Calibri"/>
      </rPr>
      <t xml:space="preserve">
</t>
    </r>
    <r>
      <rPr>
        <sz val="11"/>
        <color rgb="FF000000"/>
        <rFont val="Calibri"/>
      </rPr>
      <t xml:space="preserve">5. Uncheck "permit" and "rate limit", then click Search. </t>
    </r>
    <r>
      <rPr>
        <sz val="11"/>
        <color rgb="FF000000"/>
        <rFont val="Calibri"/>
      </rPr>
      <t xml:space="preserve">
</t>
    </r>
    <r>
      <rPr>
        <sz val="11"/>
        <color rgb="FF000000"/>
        <rFont val="Calibri"/>
      </rPr>
      <t xml:space="preserve">6. Once the results are presented, check the "Action Set" column to filter by action type. </t>
    </r>
    <r>
      <rPr>
        <sz val="11"/>
        <color rgb="FF000000"/>
        <rFont val="Calibri"/>
      </rPr>
      <t xml:space="preserve">
</t>
    </r>
    <r>
      <rPr>
        <sz val="11"/>
        <color rgb="FF000000"/>
        <rFont val="Calibri"/>
      </rPr>
      <t>If any items state "Block" but not "Block/Notify", this is a finding.</t>
    </r>
  </si>
  <si>
    <t>V-242186</t>
  </si>
  <si>
    <r>
      <rPr>
        <sz val="11"/>
        <rFont val="Calibri"/>
      </rPr>
      <t>In the event of a logging failure caused by the lack of audit record storage capacity, the SMS must continue generating and storing audit records, overwriting the oldest audit records in a first-in-first-out manner using Audit Log maintenance.</t>
    </r>
  </si>
  <si>
    <r>
      <rPr>
        <sz val="11"/>
        <color rgb="FF000000"/>
        <rFont val="Calibri"/>
      </rPr>
      <t xml:space="preserve">1. In the Trend Micro SMS interface, go to the "Admin" tab, and select "Database". </t>
    </r>
    <r>
      <rPr>
        <sz val="11"/>
        <color rgb="FF000000"/>
        <rFont val="Calibri"/>
      </rPr>
      <t xml:space="preserve">
</t>
    </r>
    <r>
      <rPr>
        <sz val="11"/>
        <color rgb="FF000000"/>
        <rFont val="Calibri"/>
      </rPr>
      <t xml:space="preserve">2. Make the following changes: </t>
    </r>
    <r>
      <rPr>
        <sz val="11"/>
        <color rgb="FF000000"/>
        <rFont val="Calibri"/>
      </rPr>
      <t xml:space="preserve">
</t>
    </r>
    <r>
      <rPr>
        <sz val="11"/>
        <color rgb="FF000000"/>
        <rFont val="Calibri"/>
      </rPr>
      <t xml:space="preserve">   a. The Events log must be set to at least 30,000,000 rows, with an age of 90 days. </t>
    </r>
    <r>
      <rPr>
        <sz val="11"/>
        <color rgb="FF000000"/>
        <rFont val="Calibri"/>
      </rPr>
      <t xml:space="preserve">
</t>
    </r>
    <r>
      <rPr>
        <sz val="11"/>
        <color rgb="FF000000"/>
        <rFont val="Calibri"/>
      </rPr>
      <t xml:space="preserve">   b. The Audit Log must be set 1,000,000 rows and an age of 365 days. </t>
    </r>
    <r>
      <rPr>
        <sz val="11"/>
        <color rgb="FF000000"/>
        <rFont val="Calibri"/>
      </rPr>
      <t xml:space="preserve">
</t>
    </r>
    <r>
      <rPr>
        <sz val="11"/>
        <color rgb="FF000000"/>
        <rFont val="Calibri"/>
      </rPr>
      <t xml:space="preserve">   c. The Device Audit Log must be set 1,000,000 rows and an age of 365 days. </t>
    </r>
    <r>
      <rPr>
        <sz val="11"/>
        <color rgb="FF000000"/>
        <rFont val="Calibri"/>
      </rPr>
      <t xml:space="preserve">
</t>
    </r>
    <r>
      <rPr>
        <sz val="11"/>
        <color rgb="FF000000"/>
        <rFont val="Calibri"/>
      </rPr>
      <t xml:space="preserve">   d. The Device System Log must be set 1,000,000 rows and an age of 365 days.</t>
    </r>
  </si>
  <si>
    <r>
      <rPr>
        <sz val="11"/>
        <color rgb="FF000000"/>
        <rFont val="Calibri"/>
      </rPr>
      <t>It is critical that when the TPS is at risk of failing to process audit logs as required, it takes action to mitigate the failure.</t>
    </r>
    <r>
      <rPr>
        <sz val="11"/>
        <color rgb="FF000000"/>
        <rFont val="Calibri"/>
      </rPr>
      <t xml:space="preserve">
</t>
    </r>
    <r>
      <rPr>
        <sz val="11"/>
        <color rgb="FF000000"/>
        <rFont val="Calibri"/>
      </rPr>
      <t>The IDPS performs a critical security function, so its continued operation is imperative. Since availability of the TPS is an overriding concern, shutting down the system in the event of an audit failure should be avoided, except as a last resort.</t>
    </r>
  </si>
  <si>
    <r>
      <rPr>
        <sz val="11"/>
        <color rgb="FF000000"/>
        <rFont val="Calibri"/>
      </rPr>
      <t>1. In the Trend Micro SMS interface, go to the "Admin" tab, and select "Database". Each item in the database maintenance section has a configurable item to ensure when the newest logs will overwrite the oldest logs. This is configured through the number of rows:</t>
    </r>
    <r>
      <rPr>
        <sz val="11"/>
        <color rgb="FF000000"/>
        <rFont val="Calibri"/>
      </rPr>
      <t xml:space="preserve">
</t>
    </r>
    <r>
      <rPr>
        <sz val="11"/>
        <color rgb="FF000000"/>
        <rFont val="Calibri"/>
      </rPr>
      <t xml:space="preserve">   a. The Events log must be set to at least 30,000,000 rows, with an age of 90 days. </t>
    </r>
    <r>
      <rPr>
        <sz val="11"/>
        <color rgb="FF000000"/>
        <rFont val="Calibri"/>
      </rPr>
      <t xml:space="preserve">
</t>
    </r>
    <r>
      <rPr>
        <sz val="11"/>
        <color rgb="FF000000"/>
        <rFont val="Calibri"/>
      </rPr>
      <t xml:space="preserve">   b. The Audit Log must be set 1,000,000 rows and an age of 365 days. </t>
    </r>
    <r>
      <rPr>
        <sz val="11"/>
        <color rgb="FF000000"/>
        <rFont val="Calibri"/>
      </rPr>
      <t xml:space="preserve">
</t>
    </r>
    <r>
      <rPr>
        <sz val="11"/>
        <color rgb="FF000000"/>
        <rFont val="Calibri"/>
      </rPr>
      <t xml:space="preserve">   c. The Device Audit Log must be set 1,000,000 rows and an age of 365 days. </t>
    </r>
    <r>
      <rPr>
        <sz val="11"/>
        <color rgb="FF000000"/>
        <rFont val="Calibri"/>
      </rPr>
      <t xml:space="preserve">
</t>
    </r>
    <r>
      <rPr>
        <sz val="11"/>
        <color rgb="FF000000"/>
        <rFont val="Calibri"/>
      </rPr>
      <t xml:space="preserve">   d. The Device System Log must be set 1,000,000 rows and an age of 365 days. </t>
    </r>
    <r>
      <rPr>
        <sz val="11"/>
        <color rgb="FF000000"/>
        <rFont val="Calibri"/>
      </rPr>
      <t xml:space="preserve">
</t>
    </r>
    <r>
      <rPr>
        <sz val="11"/>
        <color rgb="FF000000"/>
        <rFont val="Calibri"/>
      </rPr>
      <t>If these values are not set, this is a finding.</t>
    </r>
  </si>
  <si>
    <t>V-242187</t>
  </si>
  <si>
    <r>
      <rPr>
        <sz val="11"/>
        <rFont val="Calibri"/>
      </rPr>
      <t>The SMS and TPS must provide log information in a format that can be extracted and used by centralized analysis tools.</t>
    </r>
  </si>
  <si>
    <r>
      <rPr>
        <sz val="11"/>
        <color rgb="FF000000"/>
        <rFont val="Calibri"/>
      </rPr>
      <t xml:space="preserve">1. In the Trend Micro SMS interface, go to the "Admin" tab, and select "Server Properties". </t>
    </r>
    <r>
      <rPr>
        <sz val="11"/>
        <color rgb="FF000000"/>
        <rFont val="Calibri"/>
      </rPr>
      <t xml:space="preserve">
</t>
    </r>
    <r>
      <rPr>
        <sz val="11"/>
        <color rgb="FF000000"/>
        <rFont val="Calibri"/>
      </rPr>
      <t xml:space="preserve">2. Select the "syslog" tab. </t>
    </r>
    <r>
      <rPr>
        <sz val="11"/>
        <color rgb="FF000000"/>
        <rFont val="Calibri"/>
      </rPr>
      <t xml:space="preserve">
</t>
    </r>
    <r>
      <rPr>
        <sz val="11"/>
        <color rgb="FF000000"/>
        <rFont val="Calibri"/>
      </rPr>
      <t>3. Click "New".</t>
    </r>
    <r>
      <rPr>
        <sz val="11"/>
        <color rgb="FF000000"/>
        <rFont val="Calibri"/>
      </rPr>
      <t xml:space="preserve">
</t>
    </r>
    <r>
      <rPr>
        <sz val="11"/>
        <color rgb="FF000000"/>
        <rFont val="Calibri"/>
      </rPr>
      <t>4. Under syslog server type the hostname or IP address of the syslog server.</t>
    </r>
    <r>
      <rPr>
        <sz val="11"/>
        <color rgb="FF000000"/>
        <rFont val="Calibri"/>
      </rPr>
      <t xml:space="preserve">
</t>
    </r>
    <r>
      <rPr>
        <sz val="11"/>
        <color rgb="FF000000"/>
        <rFont val="Calibri"/>
      </rPr>
      <t xml:space="preserve">5. Click TCP to ensure logging data is queued in the case of disconnection of the syslog server. </t>
    </r>
    <r>
      <rPr>
        <sz val="11"/>
        <color rgb="FF000000"/>
        <rFont val="Calibri"/>
      </rPr>
      <t xml:space="preserve">
</t>
    </r>
    <r>
      <rPr>
        <sz val="11"/>
        <color rgb="FF000000"/>
        <rFont val="Calibri"/>
      </rPr>
      <t xml:space="preserve">6. Type the port used by the centralized logging server (traditionally it is port 514). </t>
    </r>
    <r>
      <rPr>
        <sz val="11"/>
        <color rgb="FF000000"/>
        <rFont val="Calibri"/>
      </rPr>
      <t xml:space="preserve">
</t>
    </r>
    <r>
      <rPr>
        <sz val="11"/>
        <color rgb="FF000000"/>
        <rFont val="Calibri"/>
      </rPr>
      <t xml:space="preserve">7. Under log type, select "Device System". </t>
    </r>
    <r>
      <rPr>
        <sz val="11"/>
        <color rgb="FF000000"/>
        <rFont val="Calibri"/>
      </rPr>
      <t xml:space="preserve">
</t>
    </r>
    <r>
      <rPr>
        <sz val="11"/>
        <color rgb="FF000000"/>
        <rFont val="Calibri"/>
      </rPr>
      <t xml:space="preserve">8. Under facility click "Log System". </t>
    </r>
    <r>
      <rPr>
        <sz val="11"/>
        <color rgb="FF000000"/>
        <rFont val="Calibri"/>
      </rPr>
      <t xml:space="preserve">
</t>
    </r>
    <r>
      <rPr>
        <sz val="11"/>
        <color rgb="FF000000"/>
        <rFont val="Calibri"/>
      </rPr>
      <t xml:space="preserve">9. Click Event timestamp under "Include Timestamp in Header". </t>
    </r>
    <r>
      <rPr>
        <sz val="11"/>
        <color rgb="FF000000"/>
        <rFont val="Calibri"/>
      </rPr>
      <t xml:space="preserve">
</t>
    </r>
    <r>
      <rPr>
        <sz val="11"/>
        <color rgb="FF000000"/>
        <rFont val="Calibri"/>
      </rPr>
      <t>10. Select "Include SMS hostname in header".</t>
    </r>
    <r>
      <rPr>
        <sz val="11"/>
        <color rgb="FF000000"/>
        <rFont val="Calibri"/>
      </rPr>
      <t xml:space="preserve">
</t>
    </r>
    <r>
      <rPr>
        <sz val="11"/>
        <color rgb="FF000000"/>
        <rFont val="Calibri"/>
      </rPr>
      <t>Repeat this one more time changing the Log Type to include SMS System.</t>
    </r>
  </si>
  <si>
    <r>
      <rPr>
        <sz val="11"/>
        <color rgb="FF000000"/>
        <rFont val="Calibri"/>
      </rPr>
      <t>Centralized review and analysis of log records from multiple SMS and TPS components gives the organization the capability to better detect distributed attacks and provides increased data points for behavior analysis techniques. These techniques are invaluable in monitoring for indicators of complex attack patterns.</t>
    </r>
  </si>
  <si>
    <r>
      <rPr>
        <sz val="11"/>
        <color rgb="FF000000"/>
        <rFont val="Calibri"/>
      </rPr>
      <t>1. In the Trend Micro SMS interface, go to the "Admin" tab, and select "Server Properties".</t>
    </r>
    <r>
      <rPr>
        <sz val="11"/>
        <color rgb="FF000000"/>
        <rFont val="Calibri"/>
      </rPr>
      <t xml:space="preserve">
</t>
    </r>
    <r>
      <rPr>
        <sz val="11"/>
        <color rgb="FF000000"/>
        <rFont val="Calibri"/>
      </rPr>
      <t>2. Select the "syslog" tab. If a syslog server is not configured to send the following audit logs, this is a finding:</t>
    </r>
    <r>
      <rPr>
        <sz val="11"/>
        <color rgb="FF000000"/>
        <rFont val="Calibri"/>
      </rPr>
      <t xml:space="preserve">
</t>
    </r>
    <r>
      <rPr>
        <sz val="11"/>
        <color rgb="FF000000"/>
        <rFont val="Calibri"/>
      </rPr>
      <t xml:space="preserve">- Device System </t>
    </r>
    <r>
      <rPr>
        <sz val="11"/>
        <color rgb="FF000000"/>
        <rFont val="Calibri"/>
      </rPr>
      <t xml:space="preserve">
</t>
    </r>
    <r>
      <rPr>
        <sz val="11"/>
        <color rgb="FF000000"/>
        <rFont val="Calibri"/>
      </rPr>
      <t>- SMS system</t>
    </r>
  </si>
  <si>
    <t>V-242188</t>
  </si>
  <si>
    <r>
      <rPr>
        <sz val="11"/>
        <rFont val="Calibri"/>
      </rPr>
      <t>The SMS must be configured to remove or disable nonessential capabilities on SMS and TPS, which are not required for operation or not related to IDPS functionality.</t>
    </r>
  </si>
  <si>
    <r>
      <rPr>
        <sz val="11"/>
        <color rgb="FF000000"/>
        <rFont val="Calibri"/>
      </rPr>
      <t xml:space="preserve">1. In the Trend Micro SMS interface, go to the "Devices" tab. </t>
    </r>
    <r>
      <rPr>
        <sz val="11"/>
        <color rgb="FF000000"/>
        <rFont val="Calibri"/>
      </rPr>
      <t xml:space="preserve">
</t>
    </r>
    <r>
      <rPr>
        <sz val="11"/>
        <color rgb="FF000000"/>
        <rFont val="Calibri"/>
      </rPr>
      <t xml:space="preserve">2. Select the device to be modified. </t>
    </r>
    <r>
      <rPr>
        <sz val="11"/>
        <color rgb="FF000000"/>
        <rFont val="Calibri"/>
      </rPr>
      <t xml:space="preserve">
</t>
    </r>
    <r>
      <rPr>
        <sz val="11"/>
        <color rgb="FF000000"/>
        <rFont val="Calibri"/>
      </rPr>
      <t xml:space="preserve">3. Click "Device Configuration" and "Services". </t>
    </r>
    <r>
      <rPr>
        <sz val="11"/>
        <color rgb="FF000000"/>
        <rFont val="Calibri"/>
      </rPr>
      <t xml:space="preserve">
</t>
    </r>
    <r>
      <rPr>
        <sz val="11"/>
        <color rgb="FF000000"/>
        <rFont val="Calibri"/>
      </rPr>
      <t xml:space="preserve">4. Uncheck enabled for HTTPS and TAXII. </t>
    </r>
    <r>
      <rPr>
        <sz val="11"/>
        <color rgb="FF000000"/>
        <rFont val="Calibri"/>
      </rPr>
      <t xml:space="preserve">
</t>
    </r>
    <r>
      <rPr>
        <sz val="11"/>
        <color rgb="FF000000"/>
        <rFont val="Calibri"/>
      </rPr>
      <t>5. Under SSH ensure "SSH Login Grace Time" is set to 60 and "SSH Max Authentication Attempts" is set to "3".</t>
    </r>
    <r>
      <rPr>
        <sz val="11"/>
        <color rgb="FF000000"/>
        <rFont val="Calibri"/>
      </rPr>
      <t xml:space="preserve">
</t>
    </r>
    <r>
      <rPr>
        <sz val="11"/>
        <color rgb="FF000000"/>
        <rFont val="Calibri"/>
      </rPr>
      <t>6. Click "OK".</t>
    </r>
  </si>
  <si>
    <r>
      <rPr>
        <sz val="11"/>
        <color rgb="FF000000"/>
        <rFont val="Calibri"/>
      </rPr>
      <t>An IDPS can be capable of providing a wide variety of capabilities. Not all of these capabilities are necessary. Unnecessary services, functions, and applications increase the attack surface (sum of attack vectors) of a system. These unnecessary capabilities are often overlooked and therefore, may remain unsecured.</t>
    </r>
    <r>
      <rPr>
        <sz val="11"/>
        <color rgb="FF000000"/>
        <rFont val="Calibri"/>
      </rPr>
      <t xml:space="preserve">
</t>
    </r>
    <r>
      <rPr>
        <sz val="11"/>
        <color rgb="FF000000"/>
        <rFont val="Calibri"/>
      </rPr>
      <t>Examples of unneeded services on TPS are web server, telnet, and TAXII.</t>
    </r>
  </si>
  <si>
    <r>
      <rPr>
        <sz val="11"/>
        <color rgb="FF000000"/>
        <rFont val="Calibri"/>
      </rPr>
      <t xml:space="preserve">1. In the Trend Micro SMS interface, go to the "Devices" tab. </t>
    </r>
    <r>
      <rPr>
        <sz val="11"/>
        <color rgb="FF000000"/>
        <rFont val="Calibri"/>
      </rPr>
      <t xml:space="preserve">
</t>
    </r>
    <r>
      <rPr>
        <sz val="11"/>
        <color rgb="FF000000"/>
        <rFont val="Calibri"/>
      </rPr>
      <t xml:space="preserve">2. Select the Device to be modified. </t>
    </r>
    <r>
      <rPr>
        <sz val="11"/>
        <color rgb="FF000000"/>
        <rFont val="Calibri"/>
      </rPr>
      <t xml:space="preserve">
</t>
    </r>
    <r>
      <rPr>
        <sz val="11"/>
        <color rgb="FF000000"/>
        <rFont val="Calibri"/>
      </rPr>
      <t xml:space="preserve">3. Click "Device Configuration" and "Services". </t>
    </r>
    <r>
      <rPr>
        <sz val="11"/>
        <color rgb="FF000000"/>
        <rFont val="Calibri"/>
      </rPr>
      <t xml:space="preserve">
</t>
    </r>
    <r>
      <rPr>
        <sz val="11"/>
        <color rgb="FF000000"/>
        <rFont val="Calibri"/>
      </rPr>
      <t>If HTTPS or TAXII are enabled, this is a finding.</t>
    </r>
  </si>
  <si>
    <t>V-242189</t>
  </si>
  <si>
    <r>
      <rPr>
        <sz val="11"/>
        <rFont val="Calibri"/>
      </rPr>
      <t>The TPS must detect, at a minimum, mobile code that is unsigned or exhibiting unusual behavior, has not undergone a risk assessment, or is prohibited for use based on a risk assessment.</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</si>
  <si>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"Edit Details". Select the deployment mode of "default". The default deployment mode ensures all strict DoD vulnerabilities are blocked and alerted upon. </t>
    </r>
    <r>
      <rPr>
        <sz val="11"/>
        <color rgb="FF000000"/>
        <rFont val="Calibri"/>
      </rPr>
      <t xml:space="preserve">
</t>
    </r>
    <r>
      <rPr>
        <sz val="11"/>
        <color rgb="FF000000"/>
        <rFont val="Calibri"/>
      </rPr>
      <t>4. Navigate to "Profile Overview", and select the action set for each category to "Recommended". The recommended action set is set to ensure all suspicious and vulnerable traffic is blocked and alerted upon.</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</si>
  <si>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r>
      <rPr>
        <sz val="11"/>
        <color rgb="FF000000"/>
        <rFont val="Calibri"/>
      </rPr>
      <t xml:space="preserve">Mobile code is defined as software modules obtained from remote systems, transferred across a network, and then downloaded and executed on a local system without explicit installation or execution by the recipient. Examples of mobile code include JavaScript, VBScript, Java applets, ActiveX controls, Flash animations, Shockwave videos, and macros embedded within Microsoft Office documents. Mobile code can be exploited to attack a host. It can be sent as an e-mail attachment or embedded in other file formats not traditionally associated with executable code. </t>
    </r>
    <r>
      <rPr>
        <sz val="11"/>
        <color rgb="FF000000"/>
        <rFont val="Calibri"/>
      </rPr>
      <t xml:space="preserve">
</t>
    </r>
    <r>
      <rPr>
        <sz val="11"/>
        <color rgb="FF000000"/>
        <rFont val="Calibri"/>
      </rPr>
      <t>While the TPS cannot replace the anti-virus and host-based IDS (HIDS) protection installed on the network's endpoints, vendor or locally created sensor rules can be implemented, which provide preemptive defense against both known and zero-day vulnerabilities. Many of the protections may provide defenses before vulnerabilities are discovered and rules or blacklist updates are distributed by anti-virus or malicious code solution vendors.</t>
    </r>
    <r>
      <rPr>
        <sz val="11"/>
        <color rgb="FF000000"/>
        <rFont val="Calibri"/>
      </rPr>
      <t xml:space="preserve">
</t>
    </r>
    <r>
      <rPr>
        <sz val="11"/>
        <color rgb="FF000000"/>
        <rFont val="Calibri"/>
      </rPr>
      <t>To monitor for and detect known prohibited mobile code or approved mobile code that violates permitted usage requirements, the TPS must implement policy filters, rules, signatures, and anomaly analysis.</t>
    </r>
  </si>
  <si>
    <r>
      <rPr>
        <sz val="11"/>
        <color rgb="FF000000"/>
        <rFont val="Calibri"/>
      </rPr>
      <t>1. In the Trend Micro SMS, navigate to "Profiles" and "Inspection Profiles" and select the organization's profile.</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"Edit Details". </t>
    </r>
    <r>
      <rPr>
        <sz val="11"/>
        <color rgb="FF000000"/>
        <rFont val="Calibri"/>
      </rPr>
      <t xml:space="preserve">
</t>
    </r>
    <r>
      <rPr>
        <sz val="11"/>
        <color rgb="FF000000"/>
        <rFont val="Calibri"/>
      </rPr>
      <t xml:space="preserve">4. Ensure the deployment mode of "default" is selected. The default deployment mode ensures all strict DoD vulnerabilities are blocked and alerted upon. </t>
    </r>
    <r>
      <rPr>
        <sz val="11"/>
        <color rgb="FF000000"/>
        <rFont val="Calibri"/>
      </rPr>
      <t xml:space="preserve">
</t>
    </r>
    <r>
      <rPr>
        <sz val="11"/>
        <color rgb="FF000000"/>
        <rFont val="Calibri"/>
      </rPr>
      <t xml:space="preserve">5. Navigate to "Profile Overview" and ensure the action set for each category is set to "Recommended". The recommended action set is set to ensure all suspicious and vulnerable traffic is blocked and alerted upon. </t>
    </r>
    <r>
      <rPr>
        <sz val="11"/>
        <color rgb="FF000000"/>
        <rFont val="Calibri"/>
      </rPr>
      <t xml:space="preserve">
</t>
    </r>
    <r>
      <rPr>
        <sz val="11"/>
        <color rgb="FF000000"/>
        <rFont val="Calibri"/>
      </rPr>
      <t>If the "default" deployment mode is not configured, this is a finding.</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</si>
  <si>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t>V-242190</t>
  </si>
  <si>
    <r>
      <rPr>
        <sz val="11"/>
        <rFont val="Calibri"/>
      </rPr>
      <t>The TPS must block any prohibited mobile code at the enclave boundary when it is detected.</t>
    </r>
  </si>
  <si>
    <r>
      <rPr>
        <sz val="11"/>
        <color rgb="FF000000"/>
        <rFont val="Calibri"/>
      </rPr>
      <t xml:space="preserve">Mobile code is defined as software modules obtained from remote systems, transferred across a network, and then downloaded and executed on a local system without explicit installation or execution by the recipient. Examples of mobile code include JavaScript, VBScript, Java applets, ActiveX controls, Flash animations, Shockwave videos, and macros embedded within Microsoft Office documents. Mobile code can be exploited to attack a host. It can be sent as an e-mail attachment or embedded in other file formats not traditionally associated with executable code. </t>
    </r>
    <r>
      <rPr>
        <sz val="11"/>
        <color rgb="FF000000"/>
        <rFont val="Calibri"/>
      </rPr>
      <t xml:space="preserve">
</t>
    </r>
    <r>
      <rPr>
        <sz val="11"/>
        <color rgb="FF000000"/>
        <rFont val="Calibri"/>
      </rPr>
      <t>While the IDPS cannot replace the anti-virus and host-based IDS (HIDS) protection installed on the network's endpoints, vendor- or locally- created sensor rules can be implemented, which provide preemptive defense against both known and zero-day vulnerabilities. Many of the protections may provide defenses before vulnerabilities are discovered and rules or blacklist updates are distributed by anti-virus or malicious code solution vendors.</t>
    </r>
    <r>
      <rPr>
        <sz val="11"/>
        <color rgb="FF000000"/>
        <rFont val="Calibri"/>
      </rPr>
      <t xml:space="preserve">
</t>
    </r>
    <r>
      <rPr>
        <sz val="11"/>
        <color rgb="FF000000"/>
        <rFont val="Calibri"/>
      </rPr>
      <t>To block known prohibited mobile code or approved mobile code that violates permitted usage requirements, the IDPS must implement policy filters, rules, signatures, and anomaly analysis.</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</si>
  <si>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"Edit Details". Ensure the deployment mode of "default" is selected. The default deployment mode ensures all strict DoD vulnerabilities are blocked and alerted upon. </t>
    </r>
    <r>
      <rPr>
        <sz val="11"/>
        <color rgb="FF000000"/>
        <rFont val="Calibri"/>
      </rPr>
      <t xml:space="preserve">
</t>
    </r>
    <r>
      <rPr>
        <sz val="11"/>
        <color rgb="FF000000"/>
        <rFont val="Calibri"/>
      </rPr>
      <t xml:space="preserve">4. Navigate to "Profile Overview" and ensure the action set for each category is set to "Recommended". The recommended action set is set to ensure all suspicious and vulnerable traffic is blocked and alerted upon. </t>
    </r>
    <r>
      <rPr>
        <sz val="11"/>
        <color rgb="FF000000"/>
        <rFont val="Calibri"/>
      </rPr>
      <t xml:space="preserve">
</t>
    </r>
    <r>
      <rPr>
        <sz val="11"/>
        <color rgb="FF000000"/>
        <rFont val="Calibri"/>
      </rPr>
      <t>If the "default" deployment mode is not configured, this is a finding.</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</si>
  <si>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t>V-242191</t>
  </si>
  <si>
    <r>
      <rPr>
        <sz val="11"/>
        <rFont val="Calibri"/>
      </rPr>
      <t xml:space="preserve">The TPS must fail to a secure state which maintains access control mechanisms when the IDPS hardware, software, or firmware fails on initialization/shutdown or experiences a sudden abort during normal operation (also known as </t>
    </r>
    <r>
      <rPr>
        <sz val="11"/>
        <color rgb="FF000000"/>
        <rFont val="Calibri"/>
      </rPr>
      <t>"</t>
    </r>
    <r>
      <rPr>
        <b/>
        <sz val="11"/>
        <color rgb="FF000000"/>
        <rFont val="Calibri"/>
      </rPr>
      <t>Fail closed</t>
    </r>
    <r>
      <rPr>
        <sz val="11"/>
        <color rgb="FF000000"/>
        <rFont val="Calibri"/>
      </rPr>
      <t>"</t>
    </r>
    <r>
      <rPr>
        <sz val="11"/>
        <color rgb="FF000000"/>
        <rFont val="Calibri"/>
      </rPr>
      <t>).</t>
    </r>
  </si>
  <si>
    <r>
      <rPr>
        <sz val="11"/>
        <color rgb="FF000000"/>
        <rFont val="Calibri"/>
      </rPr>
      <t xml:space="preserve">1. In the Trend Micro SMS, navigate to "Devices". </t>
    </r>
    <r>
      <rPr>
        <sz val="11"/>
        <color rgb="FF000000"/>
        <rFont val="Calibri"/>
      </rPr>
      <t xml:space="preserve">
</t>
    </r>
    <r>
      <rPr>
        <sz val="11"/>
        <color rgb="FF000000"/>
        <rFont val="Calibri"/>
      </rPr>
      <t xml:space="preserve">2. Select the device that will be modified, then select "Network Configuration". </t>
    </r>
    <r>
      <rPr>
        <sz val="11"/>
        <color rgb="FF000000"/>
        <rFont val="Calibri"/>
      </rPr>
      <t xml:space="preserve">
</t>
    </r>
    <r>
      <rPr>
        <sz val="11"/>
        <color rgb="FF000000"/>
        <rFont val="Calibri"/>
      </rPr>
      <t xml:space="preserve">3. Click each segment that is currently operational. </t>
    </r>
    <r>
      <rPr>
        <sz val="11"/>
        <color rgb="FF000000"/>
        <rFont val="Calibri"/>
      </rPr>
      <t xml:space="preserve">
</t>
    </r>
    <r>
      <rPr>
        <sz val="11"/>
        <color rgb="FF000000"/>
        <rFont val="Calibri"/>
      </rPr>
      <t xml:space="preserve">   a. Click "Edit". </t>
    </r>
    <r>
      <rPr>
        <sz val="11"/>
        <color rgb="FF000000"/>
        <rFont val="Calibri"/>
      </rPr>
      <t xml:space="preserve">
</t>
    </r>
    <r>
      <rPr>
        <sz val="11"/>
        <color rgb="FF000000"/>
        <rFont val="Calibri"/>
      </rPr>
      <t xml:space="preserve">   b. Under "Link Down Synchronization" select "Block All" and ensure the Link Down Synchronization Mode is "Wire" and 1 second wait time. </t>
    </r>
    <r>
      <rPr>
        <sz val="11"/>
        <color rgb="FF000000"/>
        <rFont val="Calibri"/>
      </rPr>
      <t xml:space="preserve">
</t>
    </r>
    <r>
      <rPr>
        <sz val="11"/>
        <color rgb="FF000000"/>
        <rFont val="Calibri"/>
      </rPr>
      <t xml:space="preserve">   c. Select Finish.</t>
    </r>
  </si>
  <si>
    <r>
      <rPr>
        <sz val="11"/>
        <color rgb="FF000000"/>
        <rFont val="Calibri"/>
      </rPr>
      <t xml:space="preserve">Failure to a known safe state helps prevent systems from failing to a state that may cause loss of data or unauthorized access to system resources. Preserving information system state information also facilitates system restart and return to the operational mode of the organization with less disruption to mission-essential processes. </t>
    </r>
    <r>
      <rPr>
        <sz val="11"/>
        <color rgb="FF000000"/>
        <rFont val="Calibri"/>
      </rPr>
      <t xml:space="preserve">
</t>
    </r>
    <r>
      <rPr>
        <sz val="11"/>
        <color rgb="FF000000"/>
        <rFont val="Calibri"/>
      </rPr>
      <t xml:space="preserve">This requirement applies to the device itself, not the network traffic. Abort refers to stopping a program or function before it has finished naturally. The term abort refers to both requested and unexpected terminations. </t>
    </r>
    <r>
      <rPr>
        <sz val="11"/>
        <color rgb="FF000000"/>
        <rFont val="Calibri"/>
      </rPr>
      <t xml:space="preserve">
</t>
    </r>
    <r>
      <rPr>
        <sz val="11"/>
        <color rgb="FF000000"/>
        <rFont val="Calibri"/>
      </rPr>
      <t>Since it is usually not possible to test this capability in a production environment, systems should be validated either in a testing environment or prior to installation. This requirement is usually a function of the design of the TPS component. Compliance can be verified by acceptance/validation processes or vendor attestation.</t>
    </r>
  </si>
  <si>
    <r>
      <rPr>
        <sz val="11"/>
        <color rgb="FF000000"/>
        <rFont val="Calibri"/>
      </rPr>
      <t xml:space="preserve">1. In the Trend Micro SMS, navigate to "Devices". </t>
    </r>
    <r>
      <rPr>
        <sz val="11"/>
        <color rgb="FF000000"/>
        <rFont val="Calibri"/>
      </rPr>
      <t xml:space="preserve">
</t>
    </r>
    <r>
      <rPr>
        <sz val="11"/>
        <color rgb="FF000000"/>
        <rFont val="Calibri"/>
      </rPr>
      <t xml:space="preserve">2. Select the device that will be modified, then select "Network Configuration". </t>
    </r>
    <r>
      <rPr>
        <sz val="11"/>
        <color rgb="FF000000"/>
        <rFont val="Calibri"/>
      </rPr>
      <t xml:space="preserve">
</t>
    </r>
    <r>
      <rPr>
        <sz val="11"/>
        <color rgb="FF000000"/>
        <rFont val="Calibri"/>
      </rPr>
      <t>If any of the Intrinsic HA items state Permit All, this is a finding.</t>
    </r>
  </si>
  <si>
    <t>V-242192</t>
  </si>
  <si>
    <r>
      <rPr>
        <sz val="11"/>
        <rFont val="Calibri"/>
      </rPr>
      <t>The TPS must protect against or limit the effects of known types of denial-of-service (DoS) attacks by employing signatures.</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</si>
  <si>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"Search". </t>
    </r>
    <r>
      <rPr>
        <sz val="11"/>
        <color rgb="FF000000"/>
        <rFont val="Calibri"/>
      </rPr>
      <t xml:space="preserve">
</t>
    </r>
    <r>
      <rPr>
        <sz val="11"/>
        <color rgb="FF000000"/>
        <rFont val="Calibri"/>
      </rPr>
      <t>4. Select the Filter Category "Traffic Normalization, Exploits, and Vulnerabilities". Select the "Filter Name" section and type "ddos".</t>
    </r>
    <r>
      <rPr>
        <sz val="11"/>
        <color rgb="FF000000"/>
        <rFont val="Calibri"/>
      </rPr>
      <t xml:space="preserve">
</t>
    </r>
    <r>
      <rPr>
        <sz val="11"/>
        <color rgb="FF000000"/>
        <rFont val="Calibri"/>
      </rPr>
      <t>5. Set all the items in the search to Block+Notify.</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</si>
  <si>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r>
      <rPr>
        <sz val="11"/>
        <color rgb="FF000000"/>
        <rFont val="Calibri"/>
      </rPr>
      <t xml:space="preserve">If the network does not provide safeguards against DoS attack, network resources will be unavailable to users. </t>
    </r>
    <r>
      <rPr>
        <sz val="11"/>
        <color rgb="FF000000"/>
        <rFont val="Calibri"/>
      </rPr>
      <t xml:space="preserve">
</t>
    </r>
    <r>
      <rPr>
        <sz val="11"/>
        <color rgb="FF000000"/>
        <rFont val="Calibri"/>
      </rPr>
      <t>Installation of TPS detection and prevention components (i.e., sensors) at key boundaries in the architecture mitigates the risk of DoS attacks. These attacks can be detected by matching observed communications traffic with patterns of known attacks and monitoring for anomalies in traffic volume, type, or protocol usage.</t>
    </r>
    <r>
      <rPr>
        <sz val="11"/>
        <color rgb="FF000000"/>
        <rFont val="Calibri"/>
      </rPr>
      <t xml:space="preserve">
</t>
    </r>
    <r>
      <rPr>
        <sz val="11"/>
        <color rgb="FF000000"/>
        <rFont val="Calibri"/>
      </rPr>
      <t>Detection components that use signatures can detect known attacks by using known attack signatures. Signatures are usually obtained from and updated by the IDPS component vendor. These attacks include SYN-flood, ICMP-flood, and Land Attacks.</t>
    </r>
    <r>
      <rPr>
        <sz val="11"/>
        <color rgb="FF000000"/>
        <rFont val="Calibri"/>
      </rPr>
      <t xml:space="preserve">
</t>
    </r>
    <r>
      <rPr>
        <sz val="11"/>
        <color rgb="FF000000"/>
        <rFont val="Calibri"/>
      </rPr>
      <t>This requirement applies to the communications traffic functionality of the IDPS as it pertains to handling communications traffic, rather than to the IDPS device itself.</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</si>
  <si>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"Search". </t>
    </r>
    <r>
      <rPr>
        <sz val="11"/>
        <color rgb="FF000000"/>
        <rFont val="Calibri"/>
      </rPr>
      <t xml:space="preserve">
</t>
    </r>
    <r>
      <rPr>
        <sz val="11"/>
        <color rgb="FF000000"/>
        <rFont val="Calibri"/>
      </rPr>
      <t>4. Under "Filter criteria", select the Filter Category "Traffic Normalization, Exploits, and Vulnerabilities", select the "Filter Name" section and type "ddos".</t>
    </r>
    <r>
      <rPr>
        <sz val="11"/>
        <color rgb="FF000000"/>
        <rFont val="Calibri"/>
      </rPr>
      <t xml:space="preserve">
</t>
    </r>
    <r>
      <rPr>
        <sz val="11"/>
        <color rgb="FF000000"/>
        <rFont val="Calibri"/>
      </rPr>
      <t>If the following filter names produced in the search list are not set to Block+Notify, this is a finding.</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</si>
  <si>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t>V-242193</t>
  </si>
  <si>
    <r>
      <rPr>
        <sz val="11"/>
        <rFont val="Calibri"/>
      </rPr>
      <t>The TPS must block outbound traffic containing known and unknown denial-of-service (DoS) attacks by ensuring that security policies, signatures, rules, and anomaly detection techniques are applied to outbound communications traffic.</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</si>
  <si>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"Search". </t>
    </r>
    <r>
      <rPr>
        <sz val="11"/>
        <color rgb="FF000000"/>
        <rFont val="Calibri"/>
      </rPr>
      <t xml:space="preserve">
</t>
    </r>
    <r>
      <rPr>
        <sz val="11"/>
        <color rgb="FF000000"/>
        <rFont val="Calibri"/>
      </rPr>
      <t xml:space="preserve">4. Under "advanced DDoS", select New. </t>
    </r>
    <r>
      <rPr>
        <sz val="11"/>
        <color rgb="FF000000"/>
        <rFont val="Calibri"/>
      </rPr>
      <t xml:space="preserve">
</t>
    </r>
    <r>
      <rPr>
        <sz val="11"/>
        <color rgb="FF000000"/>
        <rFont val="Calibri"/>
      </rPr>
      <t xml:space="preserve">   a. Under Filter Parameters, type a name.</t>
    </r>
    <r>
      <rPr>
        <sz val="11"/>
        <color rgb="FF000000"/>
        <rFont val="Calibri"/>
      </rPr>
      <t xml:space="preserve">
</t>
    </r>
    <r>
      <rPr>
        <sz val="11"/>
        <color rgb="FF000000"/>
        <rFont val="Calibri"/>
      </rPr>
      <t xml:space="preserve">   b. Select Block + Notify as the action set. </t>
    </r>
    <r>
      <rPr>
        <sz val="11"/>
        <color rgb="FF000000"/>
        <rFont val="Calibri"/>
      </rPr>
      <t xml:space="preserve">
</t>
    </r>
    <r>
      <rPr>
        <sz val="11"/>
        <color rgb="FF000000"/>
        <rFont val="Calibri"/>
      </rPr>
      <t xml:space="preserve">   c. Determine which port-pair direction is the outbound direction. For example, if the outbound traffic direction is Port A to Port B, select "Port A to Port B" as the direction. </t>
    </r>
    <r>
      <rPr>
        <sz val="11"/>
        <color rgb="FF000000"/>
        <rFont val="Calibri"/>
      </rPr>
      <t xml:space="preserve">
</t>
    </r>
    <r>
      <rPr>
        <sz val="11"/>
        <color rgb="FF000000"/>
        <rFont val="Calibri"/>
      </rPr>
      <t xml:space="preserve">   d. Select "Any" for the destination IP. </t>
    </r>
    <r>
      <rPr>
        <sz val="11"/>
        <color rgb="FF000000"/>
        <rFont val="Calibri"/>
      </rPr>
      <t xml:space="preserve">
</t>
    </r>
    <r>
      <rPr>
        <sz val="11"/>
        <color rgb="FF000000"/>
        <rFont val="Calibri"/>
      </rPr>
      <t xml:space="preserve">   e. Select SYN Proxy Settings.</t>
    </r>
    <r>
      <rPr>
        <sz val="11"/>
        <color rgb="FF000000"/>
        <rFont val="Calibri"/>
      </rPr>
      <t xml:space="preserve">
</t>
    </r>
    <r>
      <rPr>
        <sz val="11"/>
        <color rgb="FF000000"/>
        <rFont val="Calibri"/>
      </rPr>
      <t xml:space="preserve">   f. Click "enabled". </t>
    </r>
    <r>
      <rPr>
        <sz val="11"/>
        <color rgb="FF000000"/>
        <rFont val="Calibri"/>
      </rPr>
      <t xml:space="preserve">
</t>
    </r>
    <r>
      <rPr>
        <sz val="11"/>
        <color rgb="FF000000"/>
        <rFont val="Calibri"/>
      </rPr>
      <t xml:space="preserve">   g. Type a notification threshold of SYN transmits per second. The range is 1–10000. Consult with the ISSO to ensure this range will meet organizational policy. </t>
    </r>
    <r>
      <rPr>
        <sz val="11"/>
        <color rgb="FF000000"/>
        <rFont val="Calibri"/>
      </rPr>
      <t xml:space="preserve">
</t>
    </r>
    <r>
      <rPr>
        <sz val="11"/>
        <color rgb="FF000000"/>
        <rFont val="Calibri"/>
      </rPr>
      <t xml:space="preserve">   h. Under an approved change window, select Distribute to the TPS.</t>
    </r>
  </si>
  <si>
    <r>
      <rPr>
        <sz val="11"/>
        <color rgb="FF000000"/>
        <rFont val="Calibri"/>
      </rPr>
      <t xml:space="preserve">The TPS must include protection against DoS attacks that originate from inside the enclave which can affect either internal or external systems. These attacks may use legitimate or rogue endpoints from inside the enclave. </t>
    </r>
    <r>
      <rPr>
        <sz val="11"/>
        <color rgb="FF000000"/>
        <rFont val="Calibri"/>
      </rPr>
      <t xml:space="preserve">
</t>
    </r>
    <r>
      <rPr>
        <sz val="11"/>
        <color rgb="FF000000"/>
        <rFont val="Calibri"/>
      </rPr>
      <t>Installation of TPS detection and prevention components (i.e., sensors)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To comply with this requirement, the TPS must inspect outbound traffic for indications of known and unknown DoS attacks. Sensor log capacity management, along with techniques which prevent the logging of redundant information during an attack, also guard against DoS attacks. This requirement is used in conjunction with other requirements which require configuration of security policies, signatures, rules, and anomaly detection techniques and are applicable to both inbound and outbound traffic.</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</si>
  <si>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"Search". </t>
    </r>
    <r>
      <rPr>
        <sz val="11"/>
        <color rgb="FF000000"/>
        <rFont val="Calibri"/>
      </rPr>
      <t xml:space="preserve">
</t>
    </r>
    <r>
      <rPr>
        <sz val="11"/>
        <color rgb="FF000000"/>
        <rFont val="Calibri"/>
      </rPr>
      <t>Under "advanced DDoS", if a DDoS filter does not exist, this is a finding.</t>
    </r>
  </si>
  <si>
    <t>V-242194</t>
  </si>
  <si>
    <r>
      <rPr>
        <sz val="11"/>
        <rFont val="Calibri"/>
      </rPr>
      <t>The TPS must block outbound ICMP Destination Unreachable, Redirect, and Address Mask reply messages.</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</si>
  <si>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3. Click "Traffic Management". Create a separate policy for each type of ICMP message.</t>
    </r>
    <r>
      <rPr>
        <sz val="11"/>
        <color rgb="FF000000"/>
        <rFont val="Calibri"/>
      </rPr>
      <t xml:space="preserve">
</t>
    </r>
    <r>
      <rPr>
        <sz val="11"/>
        <color rgb="FF000000"/>
        <rFont val="Calibri"/>
      </rPr>
      <t xml:space="preserve">4. Click New. </t>
    </r>
    <r>
      <rPr>
        <sz val="11"/>
        <color rgb="FF000000"/>
        <rFont val="Calibri"/>
      </rPr>
      <t xml:space="preserve">
</t>
    </r>
    <r>
      <rPr>
        <sz val="11"/>
        <color rgb="FF000000"/>
        <rFont val="Calibri"/>
      </rPr>
      <t xml:space="preserve">   a. Under name type a name.</t>
    </r>
    <r>
      <rPr>
        <sz val="11"/>
        <color rgb="FF000000"/>
        <rFont val="Calibri"/>
      </rPr>
      <t xml:space="preserve">
</t>
    </r>
    <r>
      <rPr>
        <sz val="11"/>
        <color rgb="FF000000"/>
        <rFont val="Calibri"/>
      </rPr>
      <t xml:space="preserve">   b. Action: Block </t>
    </r>
    <r>
      <rPr>
        <sz val="11"/>
        <color rgb="FF000000"/>
        <rFont val="Calibri"/>
      </rPr>
      <t xml:space="preserve">
</t>
    </r>
    <r>
      <rPr>
        <sz val="11"/>
        <color rgb="FF000000"/>
        <rFont val="Calibri"/>
      </rPr>
      <t xml:space="preserve">   c. Direction: Ensure the direction for Outbound ports are selected correctly. </t>
    </r>
    <r>
      <rPr>
        <sz val="11"/>
        <color rgb="FF000000"/>
        <rFont val="Calibri"/>
      </rPr>
      <t xml:space="preserve">
</t>
    </r>
    <r>
      <rPr>
        <sz val="11"/>
        <color rgb="FF000000"/>
        <rFont val="Calibri"/>
      </rPr>
      <t xml:space="preserve">   d. Protocol: ICMP </t>
    </r>
    <r>
      <rPr>
        <sz val="11"/>
        <color rgb="FF000000"/>
        <rFont val="Calibri"/>
      </rPr>
      <t xml:space="preserve">
</t>
    </r>
    <r>
      <rPr>
        <sz val="11"/>
        <color rgb="FF000000"/>
        <rFont val="Calibri"/>
      </rPr>
      <t xml:space="preserve">   e. Type: 3 </t>
    </r>
    <r>
      <rPr>
        <sz val="11"/>
        <color rgb="FF000000"/>
        <rFont val="Calibri"/>
      </rPr>
      <t xml:space="preserve">
</t>
    </r>
    <r>
      <rPr>
        <sz val="11"/>
        <color rgb="FF000000"/>
        <rFont val="Calibri"/>
      </rPr>
      <t xml:space="preserve">   f. Source address: any </t>
    </r>
    <r>
      <rPr>
        <sz val="11"/>
        <color rgb="FF000000"/>
        <rFont val="Calibri"/>
      </rPr>
      <t xml:space="preserve">
</t>
    </r>
    <r>
      <rPr>
        <sz val="11"/>
        <color rgb="FF000000"/>
        <rFont val="Calibri"/>
      </rPr>
      <t xml:space="preserve">   g. Destination Address: any </t>
    </r>
    <r>
      <rPr>
        <sz val="11"/>
        <color rgb="FF000000"/>
        <rFont val="Calibri"/>
      </rPr>
      <t xml:space="preserve">
</t>
    </r>
    <r>
      <rPr>
        <sz val="11"/>
        <color rgb="FF000000"/>
        <rFont val="Calibri"/>
      </rPr>
      <t xml:space="preserve">   h. Repeat previous steps for Types 5 and 18.</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</si>
  <si>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r>
      <rPr>
        <sz val="11"/>
        <color rgb="FF000000"/>
        <rFont val="Calibri"/>
      </rPr>
      <t>Internet Control Message Protocol (ICMP) messages are used to provide feedback about problems in the network. These messages are sent back to the sender to support diagnostics. However, some messages can also provide host information and network topology that may be exploited by an attacker.</t>
    </r>
    <r>
      <rPr>
        <sz val="11"/>
        <color rgb="FF000000"/>
        <rFont val="Calibri"/>
      </rPr>
      <t xml:space="preserve">
</t>
    </r>
    <r>
      <rPr>
        <sz val="11"/>
        <color rgb="FF000000"/>
        <rFont val="Calibri"/>
      </rPr>
      <t>A TPS must be configured to "silently drop" the packet and not send an ICMP control message back to the source. In some cases, it may be necessary to direct the traffic to a null interface.</t>
    </r>
    <r>
      <rPr>
        <sz val="11"/>
        <color rgb="FF000000"/>
        <rFont val="Calibri"/>
      </rPr>
      <t xml:space="preserve">
</t>
    </r>
    <r>
      <rPr>
        <sz val="11"/>
        <color rgb="FF000000"/>
        <rFont val="Calibri"/>
      </rPr>
      <t>Three ICMP messages are commonly used by attackers for network mapping: Destination Unreachable, Redirect, and Address Mask Reply.</t>
    </r>
    <r>
      <rPr>
        <sz val="11"/>
        <color rgb="FF000000"/>
        <rFont val="Calibri"/>
      </rPr>
      <t xml:space="preserve">
</t>
    </r>
    <r>
      <rPr>
        <sz val="11"/>
        <color rgb="FF000000"/>
        <rFont val="Calibri"/>
      </rPr>
      <t>These responses must be blocked on external interfaces; however, blocking the Destination Unreachable response will prevent Path Maximum Transmission Unit Discovery (PMTUD), which relies on the response "ICMP Destination Unreachable--Fragmentation Needed but DF Bit Set". PMTUD is a useful function and should only be "broken" after careful consideration.</t>
    </r>
    <r>
      <rPr>
        <sz val="11"/>
        <color rgb="FF000000"/>
        <rFont val="Calibri"/>
      </rPr>
      <t xml:space="preserve">
</t>
    </r>
    <r>
      <rPr>
        <sz val="11"/>
        <color rgb="FF000000"/>
        <rFont val="Calibri"/>
      </rPr>
      <t>An acceptable alternative to blocking all Destination Unreachable responses is to filter Destination Unreachable messages generated by the IDPS to allow ICMP Destination Unreachable--Fragmentation Needed but DF Bit Set (Type 3, Code 4) and apply this filter to the external interfaces.</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</si>
  <si>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"Search". </t>
    </r>
    <r>
      <rPr>
        <sz val="11"/>
        <color rgb="FF000000"/>
        <rFont val="Calibri"/>
      </rPr>
      <t xml:space="preserve">
</t>
    </r>
    <r>
      <rPr>
        <sz val="11"/>
        <color rgb="FF000000"/>
        <rFont val="Calibri"/>
      </rPr>
      <t xml:space="preserve">4. Under "Filter criteria", select all "Filter categories". Select the "Filter Name" section. If the following filter names are not set to Block+Notify, this is a finding: </t>
    </r>
    <r>
      <rPr>
        <sz val="11"/>
        <color rgb="FF000000"/>
        <rFont val="Calibri"/>
      </rPr>
      <t xml:space="preserve">
</t>
    </r>
    <r>
      <rPr>
        <sz val="11"/>
        <color rgb="FF000000"/>
        <rFont val="Calibri"/>
      </rPr>
      <t>- 0137: ICMP: Unreachable (All codes)</t>
    </r>
    <r>
      <rPr>
        <sz val="11"/>
        <color rgb="FF000000"/>
        <rFont val="Calibri"/>
      </rPr>
      <t xml:space="preserve">
</t>
    </r>
    <r>
      <rPr>
        <sz val="11"/>
        <color rgb="FF000000"/>
        <rFont val="Calibri"/>
      </rPr>
      <t>- 0157: ICMP: Redirect Net</t>
    </r>
    <r>
      <rPr>
        <sz val="11"/>
        <color rgb="FF000000"/>
        <rFont val="Calibri"/>
      </rPr>
      <t xml:space="preserve">
</t>
    </r>
    <r>
      <rPr>
        <sz val="11"/>
        <color rgb="FF000000"/>
        <rFont val="Calibri"/>
      </rPr>
      <t>- 0158: ICMP: Redirect Host</t>
    </r>
    <r>
      <rPr>
        <sz val="11"/>
        <color rgb="FF000000"/>
        <rFont val="Calibri"/>
      </rPr>
      <t xml:space="preserve">
</t>
    </r>
    <r>
      <rPr>
        <sz val="11"/>
        <color rgb="FF000000"/>
        <rFont val="Calibri"/>
      </rPr>
      <t>- 0159: ICMP: Redirect for TOS and Network</t>
    </r>
    <r>
      <rPr>
        <sz val="11"/>
        <color rgb="FF000000"/>
        <rFont val="Calibri"/>
      </rPr>
      <t xml:space="preserve">
</t>
    </r>
    <r>
      <rPr>
        <sz val="11"/>
        <color rgb="FF000000"/>
        <rFont val="Calibri"/>
      </rPr>
      <t>- 0160: ICMP: Redirect for TOS and Host</t>
    </r>
    <r>
      <rPr>
        <sz val="11"/>
        <color rgb="FF000000"/>
        <rFont val="Calibri"/>
      </rPr>
      <t xml:space="preserve">
</t>
    </r>
    <r>
      <rPr>
        <sz val="11"/>
        <color rgb="FF000000"/>
        <rFont val="Calibri"/>
      </rPr>
      <t>- 0161: ICMP: Redirect Undefined Code</t>
    </r>
    <r>
      <rPr>
        <sz val="11"/>
        <color rgb="FF000000"/>
        <rFont val="Calibri"/>
      </rPr>
      <t xml:space="preserve">
</t>
    </r>
    <r>
      <rPr>
        <sz val="11"/>
        <color rgb="FF000000"/>
        <rFont val="Calibri"/>
      </rPr>
      <t>- 5084:  ICMP: Address Mask Request (type 17)</t>
    </r>
    <r>
      <rPr>
        <sz val="11"/>
        <color rgb="FF000000"/>
        <rFont val="Calibri"/>
      </rPr>
      <t xml:space="preserve">
</t>
    </r>
    <r>
      <rPr>
        <sz val="11"/>
        <color rgb="FF000000"/>
        <rFont val="Calibri"/>
      </rPr>
      <t>- 41039: ICMP: Address Mask Reply (Type 18)</t>
    </r>
    <r>
      <rPr>
        <sz val="11"/>
        <color rgb="FF000000"/>
        <rFont val="Calibri"/>
      </rPr>
      <t xml:space="preserve">
</t>
    </r>
    <r>
      <rPr>
        <sz val="11"/>
        <color rgb="FF000000"/>
        <rFont val="Calibri"/>
      </rPr>
      <t>If there are no ICMP Destination Unreachable, Redirect, and Address Mask reply message policies defined, this is a finding.</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</si>
  <si>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t>V-242195</t>
  </si>
  <si>
    <r>
      <rPr>
        <sz val="11"/>
        <rFont val="Calibri"/>
      </rPr>
      <t>The TPS must block malicious ICMP packets by properly configuring ICMP signatures and rules.</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</si>
  <si>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"Search". </t>
    </r>
    <r>
      <rPr>
        <sz val="11"/>
        <color rgb="FF000000"/>
        <rFont val="Calibri"/>
      </rPr>
      <t xml:space="preserve">
</t>
    </r>
    <r>
      <rPr>
        <sz val="11"/>
        <color rgb="FF000000"/>
        <rFont val="Calibri"/>
      </rPr>
      <t>4. Select the Filter Category "Traffic Normalization, Exploits, and Vulnerabilities". Select the "Filter Name" section and type "ICMP".</t>
    </r>
    <r>
      <rPr>
        <sz val="11"/>
        <color rgb="FF000000"/>
        <rFont val="Calibri"/>
      </rPr>
      <t xml:space="preserve">
</t>
    </r>
    <r>
      <rPr>
        <sz val="11"/>
        <color rgb="FF000000"/>
        <rFont val="Calibri"/>
      </rPr>
      <t>5. Set all the items in the search to Block+Notify.</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</si>
  <si>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r>
      <rPr>
        <sz val="11"/>
        <color rgb="FF000000"/>
        <rFont val="Calibri"/>
      </rPr>
      <t>Internet Control Message Protocol (ICMP) messages are used to provide feedback about problems in the network. These messages are sent back to the sender to support diagnostics. However, some messages can also provide host information, network topology, and a covert channel that may be exploited by an attacker.</t>
    </r>
    <r>
      <rPr>
        <sz val="11"/>
        <color rgb="FF000000"/>
        <rFont val="Calibri"/>
      </rPr>
      <t xml:space="preserve">
</t>
    </r>
    <r>
      <rPr>
        <sz val="11"/>
        <color rgb="FF000000"/>
        <rFont val="Calibri"/>
      </rPr>
      <t>Given the prevalence of ICMP traffic on the network, monitoring for malicious ICMP traffic would be cumbersome. Vendors provide signatures and rules which filter for known ICMP traffic exploits.</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</si>
  <si>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"Search". </t>
    </r>
    <r>
      <rPr>
        <sz val="11"/>
        <color rgb="FF000000"/>
        <rFont val="Calibri"/>
      </rPr>
      <t xml:space="preserve">
</t>
    </r>
    <r>
      <rPr>
        <sz val="11"/>
        <color rgb="FF000000"/>
        <rFont val="Calibri"/>
      </rPr>
      <t>4. Under "Filter criteria", select the Filter Category "Traffic Normalization, Exploits, and Vulnerabilities". Select the "Filter Name" section and type "ICMP".</t>
    </r>
    <r>
      <rPr>
        <sz val="11"/>
        <color rgb="FF000000"/>
        <rFont val="Calibri"/>
      </rPr>
      <t xml:space="preserve">
</t>
    </r>
    <r>
      <rPr>
        <sz val="11"/>
        <color rgb="FF000000"/>
        <rFont val="Calibri"/>
      </rPr>
      <t>If the following filter names produced in the search list are not set to Block+Notify, this is a finding.</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</si>
  <si>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t>V-242196</t>
  </si>
  <si>
    <r>
      <rPr>
        <sz val="11"/>
        <rFont val="Calibri"/>
      </rPr>
      <t>The TPS must automatically install updates to signature definitions, detection heuristics, and vendor-provided rules.</t>
    </r>
  </si>
  <si>
    <r>
      <rPr>
        <sz val="11"/>
        <color rgb="FF000000"/>
        <rFont val="Calibri"/>
      </rPr>
      <t xml:space="preserve">1. In the Trend Micro SMS, navigate to "Profiles", and "Digital Vaccines". </t>
    </r>
    <r>
      <rPr>
        <sz val="11"/>
        <color rgb="FF000000"/>
        <rFont val="Calibri"/>
      </rPr>
      <t xml:space="preserve">
</t>
    </r>
    <r>
      <rPr>
        <sz val="11"/>
        <color rgb="FF000000"/>
        <rFont val="Calibri"/>
      </rPr>
      <t xml:space="preserve">2. Under "Auto DV Activation", select edit. </t>
    </r>
    <r>
      <rPr>
        <sz val="11"/>
        <color rgb="FF000000"/>
        <rFont val="Calibri"/>
      </rPr>
      <t xml:space="preserve">
</t>
    </r>
    <r>
      <rPr>
        <sz val="11"/>
        <color rgb="FF000000"/>
        <rFont val="Calibri"/>
      </rPr>
      <t xml:space="preserve">   a. Check Automatic Download.</t>
    </r>
    <r>
      <rPr>
        <sz val="11"/>
        <color rgb="FF000000"/>
        <rFont val="Calibri"/>
      </rPr>
      <t xml:space="preserve">
</t>
    </r>
    <r>
      <rPr>
        <sz val="11"/>
        <color rgb="FF000000"/>
        <rFont val="Calibri"/>
      </rPr>
      <t xml:space="preserve">   b. Check Automatic Activation. </t>
    </r>
    <r>
      <rPr>
        <sz val="11"/>
        <color rgb="FF000000"/>
        <rFont val="Calibri"/>
      </rPr>
      <t xml:space="preserve">
</t>
    </r>
    <r>
      <rPr>
        <sz val="11"/>
        <color rgb="FF000000"/>
        <rFont val="Calibri"/>
      </rPr>
      <t xml:space="preserve">   c. Click OK.</t>
    </r>
  </si>
  <si>
    <r>
      <rPr>
        <sz val="11"/>
        <color rgb="FF000000"/>
        <rFont val="Calibri"/>
      </rPr>
      <t>Failing to automatically update malicious code protection mechanisms, including application software files, signature definitions, and vendor-provided rules, leaves the system vulnerable to exploitation by recently developed attack methods and programs. An automatic update process ensures this important task is performed without the need for system administrator intervention.</t>
    </r>
    <r>
      <rPr>
        <sz val="11"/>
        <color rgb="FF000000"/>
        <rFont val="Calibri"/>
      </rPr>
      <t xml:space="preserve">
</t>
    </r>
    <r>
      <rPr>
        <sz val="11"/>
        <color rgb="FF000000"/>
        <rFont val="Calibri"/>
      </rPr>
      <t>The TPS is a key malicious code protection mechanism in the enclave infrastructure. To ensure this protection is responsive to changes in malicious code threats, TPS components must be automatically updated, including anti-virus signatures, detection heuristics, vendor-provided rules, and vendor-provided signatures.</t>
    </r>
    <r>
      <rPr>
        <sz val="11"/>
        <color rgb="FF000000"/>
        <rFont val="Calibri"/>
      </rPr>
      <t xml:space="preserve">
</t>
    </r>
    <r>
      <rPr>
        <sz val="11"/>
        <color rgb="FF000000"/>
        <rFont val="Calibri"/>
      </rPr>
      <t xml:space="preserve">If a DOD patch management server or update repository having the tested/verified updates is available for the TPS component, the components must be configured to automatically check this server/site for updates and install new updates. </t>
    </r>
    <r>
      <rPr>
        <sz val="11"/>
        <color rgb="FF000000"/>
        <rFont val="Calibri"/>
      </rPr>
      <t xml:space="preserve">
</t>
    </r>
    <r>
      <rPr>
        <sz val="11"/>
        <color rgb="FF000000"/>
        <rFont val="Calibri"/>
      </rPr>
      <t>If a DOD server/site is not available, the component must be configured to automatically check a trusted vendor site for updates. A trusted vendor is either commonly used by DOD, specifically approved by DOD, the vendor from which the equipment was purchased or approved by the local program's CCB.</t>
    </r>
  </si>
  <si>
    <r>
      <rPr>
        <sz val="11"/>
        <color rgb="FF000000"/>
        <rFont val="Calibri"/>
      </rPr>
      <t xml:space="preserve">1. In the Trend Micro SMS, navigate to "Profiles", and "Digital Vaccines". </t>
    </r>
    <r>
      <rPr>
        <sz val="11"/>
        <color rgb="FF000000"/>
        <rFont val="Calibri"/>
      </rPr>
      <t xml:space="preserve">
</t>
    </r>
    <r>
      <rPr>
        <sz val="11"/>
        <color rgb="FF000000"/>
        <rFont val="Calibri"/>
      </rPr>
      <t>2. Under "Auto DV Activation", if "Automatic Download", and "Automatic Activation" are not enabled, this is a finding.</t>
    </r>
  </si>
  <si>
    <t>V-242197</t>
  </si>
  <si>
    <r>
      <rPr>
        <sz val="11"/>
        <rFont val="Calibri"/>
      </rPr>
      <t>The SMS must install updates on the TPS for application software files, signature definitions, detection heuristics, and vendor-provided rules when new releases are available in accordance with organizational configuration management policy and procedures.</t>
    </r>
  </si>
  <si>
    <r>
      <rPr>
        <sz val="11"/>
        <color rgb="FF000000"/>
        <rFont val="Calibri"/>
      </rPr>
      <t xml:space="preserve">1. In the Trend Micro SMS, navigate to "Profiles", and "Digital Vaccines". </t>
    </r>
    <r>
      <rPr>
        <sz val="11"/>
        <color rgb="FF000000"/>
        <rFont val="Calibri"/>
      </rPr>
      <t xml:space="preserve">
</t>
    </r>
    <r>
      <rPr>
        <sz val="11"/>
        <color rgb="FF000000"/>
        <rFont val="Calibri"/>
      </rPr>
      <t>2. Under "Auto DV Activation", select edit.</t>
    </r>
    <r>
      <rPr>
        <sz val="11"/>
        <color rgb="FF000000"/>
        <rFont val="Calibri"/>
      </rPr>
      <t xml:space="preserve">
</t>
    </r>
    <r>
      <rPr>
        <sz val="11"/>
        <color rgb="FF000000"/>
        <rFont val="Calibri"/>
      </rPr>
      <t xml:space="preserve">   a. Check Automatic Download.</t>
    </r>
    <r>
      <rPr>
        <sz val="11"/>
        <color rgb="FF000000"/>
        <rFont val="Calibri"/>
      </rPr>
      <t xml:space="preserve">
</t>
    </r>
    <r>
      <rPr>
        <sz val="11"/>
        <color rgb="FF000000"/>
        <rFont val="Calibri"/>
      </rPr>
      <t xml:space="preserve">   b. Check Automatic Activation. </t>
    </r>
    <r>
      <rPr>
        <sz val="11"/>
        <color rgb="FF000000"/>
        <rFont val="Calibri"/>
      </rPr>
      <t xml:space="preserve">
</t>
    </r>
    <r>
      <rPr>
        <sz val="11"/>
        <color rgb="FF000000"/>
        <rFont val="Calibri"/>
      </rPr>
      <t xml:space="preserve">   c. Click OK.</t>
    </r>
  </si>
  <si>
    <r>
      <rPr>
        <sz val="11"/>
        <color rgb="FF000000"/>
        <rFont val="Calibri"/>
      </rPr>
      <t xml:space="preserve">Failing to update malicious code protection mechanisms, including application software files, signature definitions, and vendor-provided rules, leaves the system vulnerable to exploitation by recently developed attack methods and programs. </t>
    </r>
    <r>
      <rPr>
        <sz val="11"/>
        <color rgb="FF000000"/>
        <rFont val="Calibri"/>
      </rPr>
      <t xml:space="preserve">
</t>
    </r>
    <r>
      <rPr>
        <sz val="11"/>
        <color rgb="FF000000"/>
        <rFont val="Calibri"/>
      </rPr>
      <t>The TPS is a key malicious code protection mechanism in the enclave infrastructure. To ensure this protection is responsive to changes in malicious code threats, IDPS components must be updated, including application software files, anti-virus signatures, detection heuristics, vendor-provided rules, and vendor-provided signatures.</t>
    </r>
    <r>
      <rPr>
        <sz val="11"/>
        <color rgb="FF000000"/>
        <rFont val="Calibri"/>
      </rPr>
      <t xml:space="preserve">
</t>
    </r>
    <r>
      <rPr>
        <sz val="11"/>
        <color rgb="FF000000"/>
        <rFont val="Calibri"/>
      </rPr>
      <t xml:space="preserve">Updates must be installed in accordance with the CCB procedures for the local organization. However, at a minimum: </t>
    </r>
    <r>
      <rPr>
        <sz val="11"/>
        <color rgb="FF000000"/>
        <rFont val="Calibri"/>
      </rPr>
      <t xml:space="preserve">
</t>
    </r>
    <r>
      <rPr>
        <sz val="11"/>
        <color rgb="FF000000"/>
        <rFont val="Calibri"/>
      </rPr>
      <t>1. Updates designated as critical security updates by the vendor must be installed immediately.</t>
    </r>
    <r>
      <rPr>
        <sz val="11"/>
        <color rgb="FF000000"/>
        <rFont val="Calibri"/>
      </rPr>
      <t xml:space="preserve">
</t>
    </r>
    <r>
      <rPr>
        <sz val="11"/>
        <color rgb="FF000000"/>
        <rFont val="Calibri"/>
      </rPr>
      <t>2. Updates for signature definitions, detection heuristics, and vendor-provided rules must be installed immediately.</t>
    </r>
    <r>
      <rPr>
        <sz val="11"/>
        <color rgb="FF000000"/>
        <rFont val="Calibri"/>
      </rPr>
      <t xml:space="preserve">
</t>
    </r>
    <r>
      <rPr>
        <sz val="11"/>
        <color rgb="FF000000"/>
        <rFont val="Calibri"/>
      </rPr>
      <t>3. Updates for application software are installed in accordance with the CCB procedures.</t>
    </r>
    <r>
      <rPr>
        <sz val="11"/>
        <color rgb="FF000000"/>
        <rFont val="Calibri"/>
      </rPr>
      <t xml:space="preserve">
</t>
    </r>
    <r>
      <rPr>
        <sz val="11"/>
        <color rgb="FF000000"/>
        <rFont val="Calibri"/>
      </rPr>
      <t>4. Prior to automatically installing updates, either manual or automated integrity and authentication checking is required, at a minimum, for application software updates.</t>
    </r>
  </si>
  <si>
    <r>
      <rPr>
        <sz val="11"/>
        <color rgb="FF000000"/>
        <rFont val="Calibri"/>
      </rPr>
      <t xml:space="preserve">1. In the Trend Micro SMS, navigate to "Profiles", and "Digital Vaccines". </t>
    </r>
    <r>
      <rPr>
        <sz val="11"/>
        <color rgb="FF000000"/>
        <rFont val="Calibri"/>
      </rPr>
      <t xml:space="preserve">
</t>
    </r>
    <r>
      <rPr>
        <sz val="11"/>
        <color rgb="FF000000"/>
        <rFont val="Calibri"/>
      </rPr>
      <t>2. Under "Auto DV Activation" if "Automatic Download", and "Automatic Activation" are not enabled, this is a finding.</t>
    </r>
  </si>
  <si>
    <t>V-242198</t>
  </si>
  <si>
    <r>
      <rPr>
        <sz val="11"/>
        <rFont val="Calibri"/>
      </rPr>
      <t>The TPS must block malicious code.</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</si>
  <si>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3. Click "Edit Details". Select the deployment mode of "default". The default deployment mode ensures all strict DoD vulnerabilities are blocked and alerted upon.</t>
    </r>
    <r>
      <rPr>
        <sz val="11"/>
        <color rgb="FF000000"/>
        <rFont val="Calibri"/>
      </rPr>
      <t xml:space="preserve">
</t>
    </r>
    <r>
      <rPr>
        <sz val="11"/>
        <color rgb="FF000000"/>
        <rFont val="Calibri"/>
      </rPr>
      <t>4. Navigate to "Profile Overview", and select the action set for each category to "Recommended". The recommended action set is set to ensure all suspicious and vulnerable traffic is blocked and alerted upon.</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</si>
  <si>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r>
      <rPr>
        <sz val="11"/>
        <color rgb="FF000000"/>
        <rFont val="Calibri"/>
      </rPr>
      <t>Configuring the TPS to delete and/or quarantine based on local organizational incident handling procedures minimizes the impact of this code on the network.</t>
    </r>
  </si>
  <si>
    <t>V-242199</t>
  </si>
  <si>
    <r>
      <rPr>
        <sz val="11"/>
        <rFont val="Calibri"/>
      </rPr>
      <t>The TPS must generate a log record so an alert can be configured to, at a minimum, the system administrator when malicious code is detected.</t>
    </r>
  </si>
  <si>
    <r>
      <rPr>
        <sz val="11"/>
        <color rgb="FF000000"/>
        <rFont val="Calibri"/>
      </rPr>
      <t xml:space="preserve">1. In the Trend Micro SMS, navigate to "Profiles" and "Shared Settings". </t>
    </r>
    <r>
      <rPr>
        <sz val="11"/>
        <color rgb="FF000000"/>
        <rFont val="Calibri"/>
      </rPr>
      <t xml:space="preserve">
</t>
    </r>
    <r>
      <rPr>
        <sz val="11"/>
        <color rgb="FF000000"/>
        <rFont val="Calibri"/>
      </rPr>
      <t xml:space="preserve">2. Under "Action Sets: </t>
    </r>
    <r>
      <rPr>
        <sz val="11"/>
        <color rgb="FF000000"/>
        <rFont val="Calibri"/>
      </rPr>
      <t xml:space="preserve">
</t>
    </r>
    <r>
      <rPr>
        <sz val="11"/>
        <color rgb="FF000000"/>
        <rFont val="Calibri"/>
      </rPr>
      <t xml:space="preserve">   a. Select "Block+Notify" and edit. </t>
    </r>
    <r>
      <rPr>
        <sz val="11"/>
        <color rgb="FF000000"/>
        <rFont val="Calibri"/>
      </rPr>
      <t xml:space="preserve">
</t>
    </r>
    <r>
      <rPr>
        <sz val="11"/>
        <color rgb="FF000000"/>
        <rFont val="Calibri"/>
      </rPr>
      <t xml:space="preserve">   b. Select Notifications, and check "Remote Syslog". </t>
    </r>
    <r>
      <rPr>
        <sz val="11"/>
        <color rgb="FF000000"/>
        <rFont val="Calibri"/>
      </rPr>
      <t xml:space="preserve">
</t>
    </r>
    <r>
      <rPr>
        <sz val="11"/>
        <color rgb="FF000000"/>
        <rFont val="Calibri"/>
      </rPr>
      <t xml:space="preserve">   c. Select "Finish".</t>
    </r>
  </si>
  <si>
    <r>
      <rPr>
        <sz val="11"/>
        <color rgb="FF000000"/>
        <rFont val="Calibri"/>
      </rPr>
      <t>Without an alert, security personnel may be unaware of an impending failure of the audit capability, and the ability to perform forensic analysis and detect rate-based and other anomalies will be impeded.</t>
    </r>
    <r>
      <rPr>
        <sz val="11"/>
        <color rgb="FF000000"/>
        <rFont val="Calibri"/>
      </rPr>
      <t xml:space="preserve">
</t>
    </r>
    <r>
      <rPr>
        <sz val="11"/>
        <color rgb="FF000000"/>
        <rFont val="Calibri"/>
      </rPr>
      <t>The TPS generates an immediate (within seconds) alert which notifies designated personnel of the incident. Sending a message to an unattended log or console does not meet this requirement since that will not be seen immediately. These messages should include a severity level indicator or code as an indicator of the criticality of the incident.</t>
    </r>
    <r>
      <rPr>
        <sz val="11"/>
        <color rgb="FF000000"/>
        <rFont val="Calibri"/>
      </rPr>
      <t xml:space="preserve">
</t>
    </r>
    <r>
      <rPr>
        <sz val="11"/>
        <color rgb="FF000000"/>
        <rFont val="Calibri"/>
      </rPr>
      <t>Satisfies: SRG-NET-000248-IDPS-00206, SRG-NET-000249-IDPS-00222, SRG-NET-000385-IDPS-00210</t>
    </r>
  </si>
  <si>
    <r>
      <rPr>
        <sz val="11"/>
        <color rgb="FF000000"/>
        <rFont val="Calibri"/>
      </rPr>
      <t xml:space="preserve">1. In the Trend Micro SMS, navigate to "Profiles" and "Shared Settings". </t>
    </r>
    <r>
      <rPr>
        <sz val="11"/>
        <color rgb="FF000000"/>
        <rFont val="Calibri"/>
      </rPr>
      <t xml:space="preserve">
</t>
    </r>
    <r>
      <rPr>
        <sz val="11"/>
        <color rgb="FF000000"/>
        <rFont val="Calibri"/>
      </rPr>
      <t>2. Under "Action Sets, if "Remote Syslog", are not enabled for both the "Block+Notify" and "Block+Notify+Trace", this is a finding.</t>
    </r>
  </si>
  <si>
    <t>V-242201</t>
  </si>
  <si>
    <r>
      <rPr>
        <sz val="11"/>
        <rFont val="Calibri"/>
      </rPr>
      <t>The TPS must detect network services that have not been authorized or approved by the ISSO or ISSM, at a minimum, through use of a site-approved TPS device profile.</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</si>
  <si>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"Edit Details"; select the deployment mode of "default". The default deployment mode ensures all strict DoD vulnerabilities are blocked and alerted upon. </t>
    </r>
    <r>
      <rPr>
        <sz val="11"/>
        <color rgb="FF000000"/>
        <rFont val="Calibri"/>
      </rPr>
      <t xml:space="preserve">
</t>
    </r>
    <r>
      <rPr>
        <sz val="11"/>
        <color rgb="FF000000"/>
        <rFont val="Calibri"/>
      </rPr>
      <t>4. Navigate to "Profile Overview" and select the action set for each category to "Recommended". The recommended action set is set to ensure all suspicious and vulnerable traffic is blocked and alerted upon.</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</si>
  <si>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r>
      <rPr>
        <sz val="11"/>
        <color rgb="FF000000"/>
        <rFont val="Calibri"/>
      </rPr>
      <t xml:space="preserve">Unauthorized or unapproved network services lack organizational verification or validation and therefore may be unreliable or serve as malicious rogues for valid services. </t>
    </r>
    <r>
      <rPr>
        <sz val="11"/>
        <color rgb="FF000000"/>
        <rFont val="Calibri"/>
      </rPr>
      <t xml:space="preserve">
</t>
    </r>
    <r>
      <rPr>
        <sz val="11"/>
        <color rgb="FF000000"/>
        <rFont val="Calibri"/>
      </rPr>
      <t>Examples of network services include service-oriented architectures (SOAs), cloud-based services (e.g., infrastructure as a service, platform as a service, or software as a service), cross-domain, Voice Over Internet Protocol, Instant Messaging, auto-execute, and file sharing.</t>
    </r>
    <r>
      <rPr>
        <sz val="11"/>
        <color rgb="FF000000"/>
        <rFont val="Calibri"/>
      </rPr>
      <t xml:space="preserve">
</t>
    </r>
    <r>
      <rPr>
        <sz val="11"/>
        <color rgb="FF000000"/>
        <rFont val="Calibri"/>
      </rPr>
      <t>To comply with this requirement, the IDPS may be configured to detect services either directly or indirectly (i.e., by detecting traffic associated with a service).</t>
    </r>
  </si>
  <si>
    <r>
      <rPr>
        <sz val="11"/>
        <color rgb="FF000000"/>
        <rFont val="Calibri"/>
      </rPr>
      <t>1. In the Trend Micro SMS, navigate to "Profiles" and "Inspection Profiles" and select the organization's profile.</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3. Click "Edit Details". Ensure the deployment mode of "default" is selected. The default deployment mode ensures all strict DoD vulnerabilities are blocked and alerted upon.</t>
    </r>
    <r>
      <rPr>
        <sz val="11"/>
        <color rgb="FF000000"/>
        <rFont val="Calibri"/>
      </rPr>
      <t xml:space="preserve">
</t>
    </r>
    <r>
      <rPr>
        <sz val="11"/>
        <color rgb="FF000000"/>
        <rFont val="Calibri"/>
      </rPr>
      <t xml:space="preserve">4. Navigate to "Profile Overview" and ensure the action set for each category is set to "Recommended". The recommended action set is set to ensure all suspicious and vulnerable traffic is blocked and alerted upon. </t>
    </r>
    <r>
      <rPr>
        <sz val="11"/>
        <color rgb="FF000000"/>
        <rFont val="Calibri"/>
      </rPr>
      <t xml:space="preserve">
</t>
    </r>
    <r>
      <rPr>
        <sz val="11"/>
        <color rgb="FF000000"/>
        <rFont val="Calibri"/>
      </rPr>
      <t>If the "default" deployment mode is not configured, this is a finding.</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</si>
  <si>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t>V-242202</t>
  </si>
  <si>
    <r>
      <rPr>
        <sz val="11"/>
        <rFont val="Calibri"/>
      </rPr>
      <t>The IDPS must generate an alert to the ISSM and ISSO, at a minimum, when unauthorized network services are detected.</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</si>
  <si>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"Edit Details". Select the deployment mode of "default". The default deployment mode ensures all strict DoD vulnerabilities are blocked and alerted upon. </t>
    </r>
    <r>
      <rPr>
        <sz val="11"/>
        <color rgb="FF000000"/>
        <rFont val="Calibri"/>
      </rPr>
      <t xml:space="preserve">
</t>
    </r>
    <r>
      <rPr>
        <sz val="11"/>
        <color rgb="FF000000"/>
        <rFont val="Calibri"/>
      </rPr>
      <t>4. Navigate to "Profile Overview" and select the action set for each category to "Recommended". The recommended action set is set to ensure all suspicious and vulnerable traffic is blocked and alerted upon.</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</si>
  <si>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r>
      <rPr>
        <sz val="11"/>
        <color rgb="FF000000"/>
        <rFont val="Calibri"/>
      </rPr>
      <t>Unauthorized or unapproved network services lack organizational verification or validation and therefore may be unreliable or serve as malicious rogues for valid services.</t>
    </r>
    <r>
      <rPr>
        <sz val="11"/>
        <color rgb="FF000000"/>
        <rFont val="Calibri"/>
      </rPr>
      <t xml:space="preserve">
</t>
    </r>
    <r>
      <rPr>
        <sz val="11"/>
        <color rgb="FF000000"/>
        <rFont val="Calibri"/>
      </rPr>
      <t>Automated mechanisms can be used to send automatic alerts or notifications. Such automatic alerts or notifications can be conveyed in a variety of ways (e.g., telephonically, via electronic mail, via text message, or via websites).</t>
    </r>
    <r>
      <rPr>
        <sz val="11"/>
        <color rgb="FF000000"/>
        <rFont val="Calibri"/>
      </rPr>
      <t xml:space="preserve">
</t>
    </r>
    <r>
      <rPr>
        <sz val="11"/>
        <color rgb="FF000000"/>
        <rFont val="Calibri"/>
      </rPr>
      <t>The IDPS must either send the alert to a management console that is actively monitored by authorized personnel or use a messaging capability to send the alert directly to designated personnel. The ISSM or ISSO may designate the system administrator or other authorized personnel to receive the alert within the specified time, validate the alert, then forward only validated alerts to the ISSO to the vulnerability discussion.</t>
    </r>
  </si>
  <si>
    <t>V-242203</t>
  </si>
  <si>
    <r>
      <rPr>
        <sz val="11"/>
        <rFont val="Calibri"/>
      </rPr>
      <t>The IDPS must continuously monitor inbound communications traffic for unusual/unauthorized activities or conditions.</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</si>
  <si>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"Edit Details". Select the deployment mode of "Default". The default deployment mode ensures all strict DoD vulnerabilities are blocked and alerted upon. </t>
    </r>
    <r>
      <rPr>
        <sz val="11"/>
        <color rgb="FF000000"/>
        <rFont val="Calibri"/>
      </rPr>
      <t xml:space="preserve">
</t>
    </r>
    <r>
      <rPr>
        <sz val="11"/>
        <color rgb="FF000000"/>
        <rFont val="Calibri"/>
      </rPr>
      <t>4. Navigate to "Profile Overview", and select the action set for each category to "Recommended". The recommended action set is set to ensure all suspicious and vulnerable traffic is blocked and alerted upon.</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</si>
  <si>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r>
      <rPr>
        <sz val="11"/>
        <color rgb="FF000000"/>
        <rFont val="Calibri"/>
      </rPr>
      <t xml:space="preserve">If inbound communications traffic is not continuously monitored for unusual/unauthorized activities or conditions, there will be times when hostile activity may not be noticed and defended against. </t>
    </r>
    <r>
      <rPr>
        <sz val="11"/>
        <color rgb="FF000000"/>
        <rFont val="Calibri"/>
      </rPr>
      <t xml:space="preserve">
</t>
    </r>
    <r>
      <rPr>
        <sz val="11"/>
        <color rgb="FF000000"/>
        <rFont val="Calibri"/>
      </rPr>
      <t xml:space="preserve">Although some of the components in the site's content scanning solution may be used for periodic scanning assessment, the IDPS sensors and other components must provide continuous, 24 hours a day, 7 days a week monitoring. </t>
    </r>
    <r>
      <rPr>
        <sz val="11"/>
        <color rgb="FF000000"/>
        <rFont val="Calibri"/>
      </rPr>
      <t xml:space="preserve">
</t>
    </r>
    <r>
      <rPr>
        <sz val="11"/>
        <color rgb="FF000000"/>
        <rFont val="Calibri"/>
      </rPr>
      <t>Unusual/unauthorized activities or conditions related to information system inbound communications traffic include, for example, internal traffic that indicates the presence of malicious code within organizational information systems or propagating among system components, the unauthorized exporting of information, or signaling to external information systems. Anomalies within organizational information systems include, for example, large file transfers, long-time persistent connections, use of unusual protocols and ports, and communications with suspected or known malicious external entities.</t>
    </r>
  </si>
  <si>
    <r>
      <rPr>
        <sz val="11"/>
        <color rgb="FF000000"/>
        <rFont val="Calibri"/>
      </rPr>
      <t xml:space="preserve">1. In the Trend Micro SMS, navigate to "Profiles" and "Inspection Profiles" and select the organization's profile. </t>
    </r>
    <r>
      <rPr>
        <sz val="11"/>
        <color rgb="FF000000"/>
        <rFont val="Calibri"/>
      </rPr>
      <t xml:space="preserve">
</t>
    </r>
    <r>
      <rPr>
        <sz val="11"/>
        <color rgb="FF000000"/>
        <rFont val="Calibri"/>
      </rPr>
      <t xml:space="preserve">2. If there is not one configured, select "Default". </t>
    </r>
    <r>
      <rPr>
        <sz val="11"/>
        <color rgb="FF000000"/>
        <rFont val="Calibri"/>
      </rPr>
      <t xml:space="preserve">
</t>
    </r>
    <r>
      <rPr>
        <sz val="11"/>
        <color rgb="FF000000"/>
        <rFont val="Calibri"/>
      </rPr>
      <t xml:space="preserve">3. Click "Edit Details". Ensure the deployment mode of "Default" is selected. The default deployment mode ensures all strict DoD vulnerabilities are blocked and alerted upon. </t>
    </r>
    <r>
      <rPr>
        <sz val="11"/>
        <color rgb="FF000000"/>
        <rFont val="Calibri"/>
      </rPr>
      <t xml:space="preserve">
</t>
    </r>
    <r>
      <rPr>
        <sz val="11"/>
        <color rgb="FF000000"/>
        <rFont val="Calibri"/>
      </rPr>
      <t xml:space="preserve">4. Navigate to "Profile Overview" and ensure the action set for each category is set to "Recommended". The recommended action set is set to ensure all suspicious and vulnerable traffic is blocked and alerted upon. </t>
    </r>
    <r>
      <rPr>
        <sz val="11"/>
        <color rgb="FF000000"/>
        <rFont val="Calibri"/>
      </rPr>
      <t xml:space="preserve">
</t>
    </r>
    <r>
      <rPr>
        <sz val="11"/>
        <color rgb="FF000000"/>
        <rFont val="Calibri"/>
      </rPr>
      <t>If the "default" deployment mode is not configured, this is a finding.</t>
    </r>
    <r>
      <rPr>
        <sz val="11"/>
        <color rgb="FF000000"/>
        <rFont val="Calibri"/>
      </rPr>
      <t xml:space="preserve">
</t>
    </r>
    <r>
      <rPr>
        <sz val="11"/>
        <color rgb="FF000000"/>
        <rFont val="Calibri"/>
      </rPr>
      <t>Note: If the site has set up a security profile (i.e., not using the default profile), then this should be inspected using the site's SSP for compliance.</t>
    </r>
  </si>
  <si>
    <t>V-242204</t>
  </si>
  <si>
    <r>
      <rPr>
        <sz val="11"/>
        <rFont val="Calibri"/>
      </rPr>
      <t>The TPS must continuously monitor outbound communications traffic for unusual/unauthorized activities or conditions.</t>
    </r>
  </si>
  <si>
    <r>
      <rPr>
        <sz val="11"/>
        <color rgb="FF000000"/>
        <rFont val="Calibri"/>
      </rPr>
      <t xml:space="preserve">If outbound communications traffic is not continuously monitored for unusual/unauthorized activities or conditions, there will be times when hostile activity may not be noticed and defended against. </t>
    </r>
    <r>
      <rPr>
        <sz val="11"/>
        <color rgb="FF000000"/>
        <rFont val="Calibri"/>
      </rPr>
      <t xml:space="preserve">
</t>
    </r>
    <r>
      <rPr>
        <sz val="11"/>
        <color rgb="FF000000"/>
        <rFont val="Calibri"/>
      </rPr>
      <t>Although some of the components in the site's content scanning solution may be used for periodic scanning assessment, the IDPS sensors and other components must provide continuous, 24 hours a day, 7 days a week monitoring.</t>
    </r>
    <r>
      <rPr>
        <sz val="11"/>
        <color rgb="FF000000"/>
        <rFont val="Calibri"/>
      </rPr>
      <t xml:space="preserve">
</t>
    </r>
    <r>
      <rPr>
        <sz val="11"/>
        <color rgb="FF000000"/>
        <rFont val="Calibri"/>
      </rPr>
      <t>Unusual/unauthorized activities or conditions related to information system outbound communications traffic include, for example, internal traffic that indicates the presence of malicious code within organizational information systems or propagating among system components, the unauthorized exporting of information, or signaling to external information systems. Anomalies within organizational information systems include, for example, large file transfers, long-time persistent connections, use of unusual protocols and ports, and communications with suspected or known malicious external entities.</t>
    </r>
  </si>
  <si>
    <t>V-242205</t>
  </si>
  <si>
    <r>
      <rPr>
        <sz val="11"/>
        <rFont val="Calibri"/>
      </rPr>
      <t>The TPS must send an alert to, at a minimum, the ISSM and ISSO when intrusion detection events are detected which indicate a compromise or potential for compromise.</t>
    </r>
  </si>
  <si>
    <r>
      <rPr>
        <sz val="11"/>
        <color rgb="FF000000"/>
        <rFont val="Calibri"/>
      </rPr>
      <t xml:space="preserve">1. In the Trend Micro SMS, navigate to "Profiles" and "Shared Settings". </t>
    </r>
    <r>
      <rPr>
        <sz val="11"/>
        <color rgb="FF000000"/>
        <rFont val="Calibri"/>
      </rPr>
      <t xml:space="preserve">
</t>
    </r>
    <r>
      <rPr>
        <sz val="11"/>
        <color rgb="FF000000"/>
        <rFont val="Calibri"/>
      </rPr>
      <t xml:space="preserve">2. Under "Action Sets": </t>
    </r>
    <r>
      <rPr>
        <sz val="11"/>
        <color rgb="FF000000"/>
        <rFont val="Calibri"/>
      </rPr>
      <t xml:space="preserve">
</t>
    </r>
    <r>
      <rPr>
        <sz val="11"/>
        <color rgb="FF000000"/>
        <rFont val="Calibri"/>
      </rPr>
      <t xml:space="preserve">   a. Select "Block+Notify" and Edit. </t>
    </r>
    <r>
      <rPr>
        <sz val="11"/>
        <color rgb="FF000000"/>
        <rFont val="Calibri"/>
      </rPr>
      <t xml:space="preserve">
</t>
    </r>
    <r>
      <rPr>
        <sz val="11"/>
        <color rgb="FF000000"/>
        <rFont val="Calibri"/>
      </rPr>
      <t xml:space="preserve">   b. Select Notifications, click "add", and add an email address for the ISSO and the aggregation time in minutes. </t>
    </r>
    <r>
      <rPr>
        <sz val="11"/>
        <color rgb="FF000000"/>
        <rFont val="Calibri"/>
      </rPr>
      <t xml:space="preserve">
</t>
    </r>
    <r>
      <rPr>
        <sz val="11"/>
        <color rgb="FF000000"/>
        <rFont val="Calibri"/>
      </rPr>
      <t xml:space="preserve">   c. Select "Finish".</t>
    </r>
  </si>
  <si>
    <r>
      <rPr>
        <sz val="11"/>
        <color rgb="FF000000"/>
        <rFont val="Calibri"/>
      </rPr>
      <t>Without an alert, security personnel may be unaware of intrusion detection incidents that require immediate action and this delay may result in the loss or compromise of information.</t>
    </r>
    <r>
      <rPr>
        <sz val="11"/>
        <color rgb="FF000000"/>
        <rFont val="Calibri"/>
      </rPr>
      <t xml:space="preserve">
</t>
    </r>
    <r>
      <rPr>
        <sz val="11"/>
        <color rgb="FF000000"/>
        <rFont val="Calibri"/>
      </rPr>
      <t>In accordance with CCI-001242, the TPS is a real-time intrusion detection system. These systems must generate an alert when detection events from real-time monitoring occur. Alerts may be transmitted, for example, telephonically, by electronic mail messages, or by text messaging. The IDPS must either send the alert to a management console that is actively monitored by authorized personnel or use a messaging capability to send the alert directly to designated personnel. The ISSM or ISSO may designate the system administrator or other authorized personnel to receive the alert within the specified time, validate the alert, then forward only validated alerts to the ISSM and ISSO. The TPS must generate an alert to, at a minimum, the ISSM and ISSO when root level intrusion events which provide unauthorized privileged access are detected.</t>
    </r>
    <r>
      <rPr>
        <sz val="11"/>
        <color rgb="FF000000"/>
        <rFont val="Calibri"/>
      </rPr>
      <t xml:space="preserve">
</t>
    </r>
    <r>
      <rPr>
        <sz val="11"/>
        <color rgb="FF000000"/>
        <rFont val="Calibri"/>
      </rPr>
      <t>Satisfies: SRG-NET-000392-IDPS-00214, SRG-NET-000392-IDPS-00216, SRG-NET-000392-IDPS-00218</t>
    </r>
  </si>
  <si>
    <r>
      <rPr>
        <sz val="11"/>
        <color rgb="FF000000"/>
        <rFont val="Calibri"/>
      </rPr>
      <t xml:space="preserve">1. In the Trend Micro SMS, navigate to "Profiles" and "Shared Settings". </t>
    </r>
    <r>
      <rPr>
        <sz val="11"/>
        <color rgb="FF000000"/>
        <rFont val="Calibri"/>
      </rPr>
      <t xml:space="preserve">
</t>
    </r>
    <r>
      <rPr>
        <sz val="11"/>
        <color rgb="FF000000"/>
        <rFont val="Calibri"/>
      </rPr>
      <t>2. Under "Action Sets", if a group email address for the ISSO is not added for both the "Block+Notify" and "Block+Notify+Trace", this is a finding.</t>
    </r>
  </si>
  <si>
    <t>V-242206</t>
  </si>
  <si>
    <r>
      <rPr>
        <sz val="11"/>
        <rFont val="Calibri"/>
      </rPr>
      <t>The site must register with the Trend Micro TippingPoint Threat Management Center (TMC) in order to receive alerts on threats identified by authoritative sources (e.g., IAVMs or CTOs) are detected which indicate a compromise or potential for compromise.</t>
    </r>
  </si>
  <si>
    <r>
      <rPr>
        <sz val="11"/>
        <color rgb="FF000000"/>
        <rFont val="Calibri"/>
      </rPr>
      <t xml:space="preserve">1. Navigate to https://tmc.tippingpoint.com/TMC/ </t>
    </r>
    <r>
      <rPr>
        <sz val="11"/>
        <color rgb="FF000000"/>
        <rFont val="Calibri"/>
      </rPr>
      <t xml:space="preserve">
</t>
    </r>
    <r>
      <rPr>
        <sz val="11"/>
        <color rgb="FF000000"/>
        <rFont val="Calibri"/>
      </rPr>
      <t xml:space="preserve">2. Click "Create account". </t>
    </r>
    <r>
      <rPr>
        <sz val="11"/>
        <color rgb="FF000000"/>
        <rFont val="Calibri"/>
      </rPr>
      <t xml:space="preserve">
</t>
    </r>
    <r>
      <rPr>
        <sz val="11"/>
        <color rgb="FF000000"/>
        <rFont val="Calibri"/>
      </rPr>
      <t xml:space="preserve">3. Enter all required data ensuring that the Client ID, Device Certificate Number, and/or Access Code is added. </t>
    </r>
    <r>
      <rPr>
        <sz val="11"/>
        <color rgb="FF000000"/>
        <rFont val="Calibri"/>
      </rPr>
      <t xml:space="preserve">
</t>
    </r>
    <r>
      <rPr>
        <sz val="11"/>
        <color rgb="FF000000"/>
        <rFont val="Calibri"/>
      </rPr>
      <t>4. Click "Submit".</t>
    </r>
  </si>
  <si>
    <r>
      <rPr>
        <sz val="11"/>
        <color rgb="FF000000"/>
        <rFont val="Calibri"/>
      </rPr>
      <t>Without an alert, security personnel may be unaware of an impending failure of the audit capability, and the ability to perform forensic analysis and detect rate-based and other anomalies will be impeded.</t>
    </r>
    <r>
      <rPr>
        <sz val="11"/>
        <color rgb="FF000000"/>
        <rFont val="Calibri"/>
      </rPr>
      <t xml:space="preserve">
</t>
    </r>
    <r>
      <rPr>
        <sz val="11"/>
        <color rgb="FF000000"/>
        <rFont val="Calibri"/>
      </rPr>
      <t>Alerts may be transmitted, for example, telephonically, by electronic mail messages, or by text messaging. The IDPS must either send the alert to a management console that is actively monitored by authorized personnel or use a messaging capability to send the alert directly to designated personnel. The ISSM or ISSO may designate the system administrator or other authorized personnel to receive the alert within the specified time, validate the alert, then forward only validated alerts to the ISSM and ISSO.</t>
    </r>
  </si>
  <si>
    <r>
      <rPr>
        <sz val="11"/>
        <color rgb="FF000000"/>
        <rFont val="Calibri"/>
      </rPr>
      <t>The ISSM and ISSO must be registered to receive updates from the TMC site. If not, this is a finding.</t>
    </r>
  </si>
  <si>
    <t>V-242231</t>
  </si>
  <si>
    <r>
      <rPr>
        <sz val="11"/>
        <rFont val="Calibri"/>
      </rPr>
      <t>The TippingPoint SMS must limit the maximum number of concurrent active sessions to one for the account of last resort.</t>
    </r>
  </si>
  <si>
    <t>CAT III (Low)</t>
  </si>
  <si>
    <t>NDM</t>
  </si>
  <si>
    <r>
      <rPr>
        <sz val="11"/>
        <color rgb="FF000000"/>
        <rFont val="Calibri"/>
      </rPr>
      <t xml:space="preserve">1. Log in to the SMS client. </t>
    </r>
    <r>
      <rPr>
        <sz val="11"/>
        <color rgb="FF000000"/>
        <rFont val="Calibri"/>
      </rPr>
      <t xml:space="preserve">
</t>
    </r>
    <r>
      <rPr>
        <sz val="11"/>
        <color rgb="FF000000"/>
        <rFont val="Calibri"/>
      </rPr>
      <t xml:space="preserve">2. Select &gt;&gt; "Edit" &gt;&gt; "Preferences".  Select "Security" under "Session Preferences". Click the check box for "Limit number of total and user sessions". </t>
    </r>
    <r>
      <rPr>
        <sz val="11"/>
        <color rgb="FF000000"/>
        <rFont val="Calibri"/>
      </rPr>
      <t xml:space="preserve">
</t>
    </r>
    <r>
      <rPr>
        <sz val="11"/>
        <color rgb="FF000000"/>
        <rFont val="Calibri"/>
      </rPr>
      <t xml:space="preserve">3. Type 1 for the number of active sessions allowed for a user. </t>
    </r>
    <r>
      <rPr>
        <sz val="11"/>
        <color rgb="FF000000"/>
        <rFont val="Calibri"/>
      </rPr>
      <t xml:space="preserve">
</t>
    </r>
    <r>
      <rPr>
        <sz val="11"/>
        <color rgb="FF000000"/>
        <rFont val="Calibri"/>
      </rPr>
      <t>4. Click OK.</t>
    </r>
  </si>
  <si>
    <r>
      <rPr>
        <sz val="11"/>
        <color rgb="FF000000"/>
        <rFont val="Calibri"/>
      </rPr>
      <t>Limiting the number of allowed administrators and sessions per administrator based on account type, role, or access type is helpful in limiting risks related to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is defined by DoD as one based on operational environment for each system.</t>
    </r>
  </si>
  <si>
    <r>
      <rPr>
        <sz val="11"/>
        <color rgb="FF000000"/>
        <rFont val="Calibri"/>
      </rPr>
      <t xml:space="preserve">1. Log in to the SMS client. </t>
    </r>
    <r>
      <rPr>
        <sz val="11"/>
        <color rgb="FF000000"/>
        <rFont val="Calibri"/>
      </rPr>
      <t xml:space="preserve">
</t>
    </r>
    <r>
      <rPr>
        <sz val="11"/>
        <color rgb="FF000000"/>
        <rFont val="Calibri"/>
      </rPr>
      <t>2. Select &gt;&gt; "Edit" &gt;&gt; "Preferences".  Select "Security" under "Session Preferences".</t>
    </r>
    <r>
      <rPr>
        <sz val="11"/>
        <color rgb="FF000000"/>
        <rFont val="Calibri"/>
      </rPr>
      <t xml:space="preserve">
</t>
    </r>
    <r>
      <rPr>
        <sz val="11"/>
        <color rgb="FF000000"/>
        <rFont val="Calibri"/>
      </rPr>
      <t>3. Verify the setting for the "limit number of total and user sessions" option is checked.</t>
    </r>
    <r>
      <rPr>
        <sz val="11"/>
        <color rgb="FF000000"/>
        <rFont val="Calibri"/>
      </rPr>
      <t xml:space="preserve">
</t>
    </r>
    <r>
      <rPr>
        <sz val="11"/>
        <color rgb="FF000000"/>
        <rFont val="Calibri"/>
      </rPr>
      <t>4. Verify the active sessions allowed for a user option has a numeric value of 1.</t>
    </r>
    <r>
      <rPr>
        <sz val="11"/>
        <color rgb="FF000000"/>
        <rFont val="Calibri"/>
      </rPr>
      <t xml:space="preserve">
</t>
    </r>
    <r>
      <rPr>
        <sz val="11"/>
        <color rgb="FF000000"/>
        <rFont val="Calibri"/>
      </rPr>
      <t>If the TippingPoint SMS does limit the maximum number of concurrent active sessions to one for the account of last resort, this is a finding.</t>
    </r>
  </si>
  <si>
    <t>V-242232</t>
  </si>
  <si>
    <r>
      <rPr>
        <sz val="11"/>
        <rFont val="Calibri"/>
      </rPr>
      <t>The TippingPoint SMS must limit total number of user sessions for privileged uses to a maximum of 10.</t>
    </r>
  </si>
  <si>
    <r>
      <rPr>
        <sz val="11"/>
        <color rgb="FF000000"/>
        <rFont val="Calibri"/>
      </rPr>
      <t xml:space="preserve">1. Log in to the SMS client. </t>
    </r>
    <r>
      <rPr>
        <sz val="11"/>
        <color rgb="FF000000"/>
        <rFont val="Calibri"/>
      </rPr>
      <t xml:space="preserve">
</t>
    </r>
    <r>
      <rPr>
        <sz val="11"/>
        <color rgb="FF000000"/>
        <rFont val="Calibri"/>
      </rPr>
      <t xml:space="preserve">2. Select &gt;&gt; "Edit" &gt;&gt; "Preferences". Select "Security" under "Session Preferences". Click the check box for "Limit number of total and user sessions". </t>
    </r>
    <r>
      <rPr>
        <sz val="11"/>
        <color rgb="FF000000"/>
        <rFont val="Calibri"/>
      </rPr>
      <t xml:space="preserve">
</t>
    </r>
    <r>
      <rPr>
        <sz val="11"/>
        <color rgb="FF000000"/>
        <rFont val="Calibri"/>
      </rPr>
      <t xml:space="preserve">3. Type 10 or less for the number of active sessions allowed on SMS. </t>
    </r>
    <r>
      <rPr>
        <sz val="11"/>
        <color rgb="FF000000"/>
        <rFont val="Calibri"/>
      </rPr>
      <t xml:space="preserve">
</t>
    </r>
    <r>
      <rPr>
        <sz val="11"/>
        <color rgb="FF000000"/>
        <rFont val="Calibri"/>
      </rPr>
      <t>4. Click OK.</t>
    </r>
  </si>
  <si>
    <r>
      <rPr>
        <sz val="11"/>
        <color rgb="FF000000"/>
        <rFont val="Calibri"/>
      </rPr>
      <t>Device management includes the ability to control the number of administrators and management sessions that manage a device. Limiting the number of currently allowed administrator sessions is a best practice that lowers the risk of DoS attacks.</t>
    </r>
  </si>
  <si>
    <r>
      <rPr>
        <sz val="11"/>
        <color rgb="FF000000"/>
        <rFont val="Calibri"/>
      </rPr>
      <t xml:space="preserve">1. Log in to the SMS client. </t>
    </r>
    <r>
      <rPr>
        <sz val="11"/>
        <color rgb="FF000000"/>
        <rFont val="Calibri"/>
      </rPr>
      <t xml:space="preserve">
</t>
    </r>
    <r>
      <rPr>
        <sz val="11"/>
        <color rgb="FF000000"/>
        <rFont val="Calibri"/>
      </rPr>
      <t>2. Select &gt;&gt; "Edit" &gt;&gt; "Preferences". Select "Security" under "Session Preferences".</t>
    </r>
    <r>
      <rPr>
        <sz val="11"/>
        <color rgb="FF000000"/>
        <rFont val="Calibri"/>
      </rPr>
      <t xml:space="preserve">
</t>
    </r>
    <r>
      <rPr>
        <sz val="11"/>
        <color rgb="FF000000"/>
        <rFont val="Calibri"/>
      </rPr>
      <t>3. Verify the setting for the "limit number of total and user sessions" option is checked.</t>
    </r>
    <r>
      <rPr>
        <sz val="11"/>
        <color rgb="FF000000"/>
        <rFont val="Calibri"/>
      </rPr>
      <t xml:space="preserve">
</t>
    </r>
    <r>
      <rPr>
        <sz val="11"/>
        <color rgb="FF000000"/>
        <rFont val="Calibri"/>
      </rPr>
      <t>4. Verify the active sessions allowed on SMS option has a numeric value of 10 or less.</t>
    </r>
    <r>
      <rPr>
        <sz val="11"/>
        <color rgb="FF000000"/>
        <rFont val="Calibri"/>
      </rPr>
      <t xml:space="preserve">
</t>
    </r>
    <r>
      <rPr>
        <sz val="11"/>
        <color rgb="FF000000"/>
        <rFont val="Calibri"/>
      </rPr>
      <t>If the TippingPoint SMS does not limit total number of user sessions for privileged uses to a maximum of 10, this is a finding.</t>
    </r>
  </si>
  <si>
    <t>V-242233</t>
  </si>
  <si>
    <r>
      <rPr>
        <sz val="11"/>
        <rFont val="Calibri"/>
      </rPr>
      <t>The TippingPoint SMS must disable auto reconnect after disconnect.</t>
    </r>
  </si>
  <si>
    <r>
      <rPr>
        <sz val="11"/>
        <color rgb="FF000000"/>
        <rFont val="Calibri"/>
      </rPr>
      <t xml:space="preserve">1. Log in to the SMS client. </t>
    </r>
    <r>
      <rPr>
        <sz val="11"/>
        <color rgb="FF000000"/>
        <rFont val="Calibri"/>
      </rPr>
      <t xml:space="preserve">
</t>
    </r>
    <r>
      <rPr>
        <sz val="11"/>
        <color rgb="FF000000"/>
        <rFont val="Calibri"/>
      </rPr>
      <t xml:space="preserve">2. Select &gt;&gt; "Edit" &gt;&gt; "Preferences". Select "Security" Under "Client Preferences". Uncheck "Auto reconnect client to server after a disconnect occurs". </t>
    </r>
    <r>
      <rPr>
        <sz val="11"/>
        <color rgb="FF000000"/>
        <rFont val="Calibri"/>
      </rPr>
      <t xml:space="preserve">
</t>
    </r>
    <r>
      <rPr>
        <sz val="11"/>
        <color rgb="FF000000"/>
        <rFont val="Calibri"/>
      </rPr>
      <t>3. Click OK.</t>
    </r>
  </si>
  <si>
    <r>
      <rPr>
        <sz val="11"/>
        <color rgb="FF000000"/>
        <rFont val="Calibri"/>
      </rPr>
      <t>Device management includes the ability to control the number of administrators and management sessions that manage a device. Requiring authentication for auto reconnecting expired administrator sessions is a best practice that lowers the risk of DoS attacks.</t>
    </r>
  </si>
  <si>
    <r>
      <rPr>
        <sz val="11"/>
        <color rgb="FF000000"/>
        <rFont val="Calibri"/>
      </rPr>
      <t xml:space="preserve">1. Log in to the SMS client. </t>
    </r>
    <r>
      <rPr>
        <sz val="11"/>
        <color rgb="FF000000"/>
        <rFont val="Calibri"/>
      </rPr>
      <t xml:space="preserve">
</t>
    </r>
    <r>
      <rPr>
        <sz val="11"/>
        <color rgb="FF000000"/>
        <rFont val="Calibri"/>
      </rPr>
      <t>2. Select &gt;&gt; "Edit" &gt;&gt; "Preferences". Select "Security" Under "Client Preferences".</t>
    </r>
    <r>
      <rPr>
        <sz val="11"/>
        <color rgb="FF000000"/>
        <rFont val="Calibri"/>
      </rPr>
      <t xml:space="preserve">
</t>
    </r>
    <r>
      <rPr>
        <sz val="11"/>
        <color rgb="FF000000"/>
        <rFont val="Calibri"/>
      </rPr>
      <t>3. Verify the option for "Auto reconnect client to server after a disconnect occurs" is unchecked.</t>
    </r>
    <r>
      <rPr>
        <sz val="11"/>
        <color rgb="FF000000"/>
        <rFont val="Calibri"/>
      </rPr>
      <t xml:space="preserve">
</t>
    </r>
    <r>
      <rPr>
        <sz val="11"/>
        <color rgb="FF000000"/>
        <rFont val="Calibri"/>
      </rPr>
      <t>If the TippingPoint SMS does not disable auto reconnect after disconnect, this is a finding.</t>
    </r>
  </si>
  <si>
    <t>V-242234</t>
  </si>
  <si>
    <r>
      <rPr>
        <sz val="11"/>
        <rFont val="Calibri"/>
      </rPr>
      <t>The TippingPoint SMS must be configured to enforce the limit of three consecutive invalid logon attempts, after which time it must lock out the user account from accessing the device for 15 minutes.</t>
    </r>
  </si>
  <si>
    <r>
      <rPr>
        <sz val="11"/>
        <color rgb="FF000000"/>
        <rFont val="Calibri"/>
      </rPr>
      <t xml:space="preserve">In the Trend Micro TippingPoint system, ensure the SMS client is requiring locking of account after three invalid login attempts: </t>
    </r>
    <r>
      <rPr>
        <sz val="11"/>
        <color rgb="FF000000"/>
        <rFont val="Calibri"/>
      </rPr>
      <t xml:space="preserve">
</t>
    </r>
    <r>
      <rPr>
        <sz val="11"/>
        <color rgb="FF000000"/>
        <rFont val="Calibri"/>
      </rPr>
      <t>1. Navigate to Edit &gt;&gt; Preferences.</t>
    </r>
    <r>
      <rPr>
        <sz val="11"/>
        <color rgb="FF000000"/>
        <rFont val="Calibri"/>
      </rPr>
      <t xml:space="preserve">
</t>
    </r>
    <r>
      <rPr>
        <sz val="11"/>
        <color rgb="FF000000"/>
        <rFont val="Calibri"/>
      </rPr>
      <t>2. Click the checkbox for "Lock user after failed login attempts".</t>
    </r>
    <r>
      <rPr>
        <sz val="11"/>
        <color rgb="FF000000"/>
        <rFont val="Calibri"/>
      </rPr>
      <t xml:space="preserve">
</t>
    </r>
    <r>
      <rPr>
        <sz val="11"/>
        <color rgb="FF000000"/>
        <rFont val="Calibri"/>
      </rPr>
      <t>3. Under threshold enter 3.</t>
    </r>
    <r>
      <rPr>
        <sz val="11"/>
        <color rgb="FF000000"/>
        <rFont val="Calibri"/>
      </rPr>
      <t xml:space="preserve">
</t>
    </r>
    <r>
      <rPr>
        <sz val="11"/>
        <color rgb="FF000000"/>
        <rFont val="Calibri"/>
      </rPr>
      <t>4. Click OK to save.</t>
    </r>
  </si>
  <si>
    <r>
      <rPr>
        <sz val="11"/>
        <color rgb="FF000000"/>
        <rFont val="Calibri"/>
      </rPr>
      <t>By limiting the number of failed login attempts, the risk of unauthorized system access via user password guessing, otherwise known as brute-forcing, is reduced.</t>
    </r>
  </si>
  <si>
    <r>
      <rPr>
        <sz val="11"/>
        <color rgb="FF000000"/>
        <rFont val="Calibri"/>
      </rPr>
      <t xml:space="preserve">Verify the SMS client requires locking of account after three invalid login attempts. </t>
    </r>
    <r>
      <rPr>
        <sz val="11"/>
        <color rgb="FF000000"/>
        <rFont val="Calibri"/>
      </rPr>
      <t xml:space="preserve">
</t>
    </r>
    <r>
      <rPr>
        <sz val="11"/>
        <color rgb="FF000000"/>
        <rFont val="Calibri"/>
      </rPr>
      <t>Navigate to Edit &gt;&gt; Preferences.</t>
    </r>
    <r>
      <rPr>
        <sz val="11"/>
        <color rgb="FF000000"/>
        <rFont val="Calibri"/>
      </rPr>
      <t xml:space="preserve">
</t>
    </r>
    <r>
      <rPr>
        <sz val="11"/>
        <color rgb="FF000000"/>
        <rFont val="Calibri"/>
      </rPr>
      <t>If the checkbox for "Lock user after failed login attempts" is not checked, or if the threshold is not set to 3, this is a finding.</t>
    </r>
  </si>
  <si>
    <t>V-242235</t>
  </si>
  <si>
    <r>
      <rPr>
        <sz val="11"/>
        <rFont val="Calibri"/>
      </rPr>
      <t>The TippingPoint SMS, TPS, and SMS client must display the Standard Mandatory DoD Notice and Consent Banner before granting access to the device.</t>
    </r>
  </si>
  <si>
    <r>
      <rPr>
        <sz val="11"/>
        <color rgb="FF000000"/>
        <rFont val="Calibri"/>
      </rPr>
      <t>Configure banner message to display on the SMS client toolbar or when a user attempts to log in to the following interfaces: SMS client, SMS web management console, CLI, or remote SSH client.</t>
    </r>
    <r>
      <rPr>
        <sz val="11"/>
        <color rgb="FF000000"/>
        <rFont val="Calibri"/>
      </rPr>
      <t xml:space="preserve">
</t>
    </r>
    <r>
      <rPr>
        <sz val="11"/>
        <color rgb="FF000000"/>
        <rFont val="Calibri"/>
      </rPr>
      <t>1. Select Edit &gt;&gt; Preferences &gt;&gt; Banner Message.</t>
    </r>
    <r>
      <rPr>
        <sz val="11"/>
        <color rgb="FF000000"/>
        <rFont val="Calibri"/>
      </rPr>
      <t xml:space="preserve">
</t>
    </r>
    <r>
      <rPr>
        <sz val="11"/>
        <color rgb="FF000000"/>
        <rFont val="Calibri"/>
      </rPr>
      <t>2. Check "Enable Banner Message".</t>
    </r>
    <r>
      <rPr>
        <sz val="11"/>
        <color rgb="FF000000"/>
        <rFont val="Calibri"/>
      </rPr>
      <t xml:space="preserve">
</t>
    </r>
    <r>
      <rPr>
        <sz val="11"/>
        <color rgb="FF000000"/>
        <rFont val="Calibri"/>
      </rPr>
      <t>3. Add the exactly worded and formatted DoD-approved banner as presented in accordance with DTM-08-060.</t>
    </r>
    <r>
      <rPr>
        <sz val="11"/>
        <color rgb="FF000000"/>
        <rFont val="Calibri"/>
      </rPr>
      <t xml:space="preserve">
</t>
    </r>
    <r>
      <rPr>
        <sz val="11"/>
        <color rgb="FF000000"/>
        <rFont val="Calibri"/>
      </rPr>
      <t xml:space="preserve">4. Check all the boxes under the banner to display on check display on client toolbar, client login, web login, console/CLI, and remote/SSH login. </t>
    </r>
    <r>
      <rPr>
        <sz val="11"/>
        <color rgb="FF000000"/>
        <rFont val="Calibri"/>
      </rPr>
      <t xml:space="preserve">
</t>
    </r>
    <r>
      <rPr>
        <sz val="11"/>
        <color rgb="FF000000"/>
        <rFont val="Calibri"/>
      </rPr>
      <t xml:space="preserve">To enable the TPS login banner: </t>
    </r>
    <r>
      <rPr>
        <sz val="11"/>
        <color rgb="FF000000"/>
        <rFont val="Calibri"/>
      </rPr>
      <t xml:space="preserve">
</t>
    </r>
    <r>
      <rPr>
        <sz val="11"/>
        <color rgb="FF000000"/>
        <rFont val="Calibri"/>
      </rPr>
      <t>1. Select Devices &gt;&gt; All Devices &gt;&gt; &lt;TPS Device hostname&gt;.</t>
    </r>
    <r>
      <rPr>
        <sz val="11"/>
        <color rgb="FF000000"/>
        <rFont val="Calibri"/>
      </rPr>
      <t xml:space="preserve">
</t>
    </r>
    <r>
      <rPr>
        <sz val="11"/>
        <color rgb="FF000000"/>
        <rFont val="Calibri"/>
      </rPr>
      <t>2. Select Device Configuration &gt;&gt; Login Banner &gt;&gt; Enable Banner Message.</t>
    </r>
    <r>
      <rPr>
        <sz val="11"/>
        <color rgb="FF000000"/>
        <rFont val="Calibri"/>
      </rPr>
      <t xml:space="preserve">
</t>
    </r>
    <r>
      <rPr>
        <sz val="11"/>
        <color rgb="FF000000"/>
        <rFont val="Calibri"/>
      </rPr>
      <t>3. Add the exactly worded and formatted DoD-approved banner as presented in accordance with DTM-08-060.</t>
    </r>
    <r>
      <rPr>
        <sz val="11"/>
        <color rgb="FF000000"/>
        <rFont val="Calibri"/>
      </rPr>
      <t xml:space="preserve">
</t>
    </r>
    <r>
      <rPr>
        <sz val="11"/>
        <color rgb="FF000000"/>
        <rFont val="Calibri"/>
      </rPr>
      <t>4. Click OK.</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</si>
  <si>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r>
      <rPr>
        <sz val="11"/>
        <color rgb="FF000000"/>
        <rFont val="Calibri"/>
      </rPr>
      <t xml:space="preserve">
</t>
    </r>
    <r>
      <rPr>
        <sz val="11"/>
        <color rgb="FF000000"/>
        <rFont val="Calibri"/>
      </rPr>
      <t>Configure banner messages to display security notices on the SMS client toolbar or when a user attempts to log in to the following interfaces: SMS client, SMS web management console, CLI, or remote SSH client. When configured, the notice and Consent Banner on the screen until the administrator acknowledges the usage conditions and takes explicit actions to log on for further access, as required by CCI-000050.</t>
    </r>
    <r>
      <rPr>
        <sz val="11"/>
        <color rgb="FF000000"/>
        <rFont val="Calibri"/>
      </rPr>
      <t xml:space="preserve">
</t>
    </r>
    <r>
      <rPr>
        <sz val="11"/>
        <color rgb="FF000000"/>
        <rFont val="Calibri"/>
      </rPr>
      <t>Satisfies: SRG-APP-000068-NDM-000215, SRG-APP-000069-NDM-000216</t>
    </r>
  </si>
  <si>
    <r>
      <rPr>
        <sz val="11"/>
        <color rgb="FF000000"/>
        <rFont val="Calibri"/>
      </rPr>
      <t>Determine if the network device is configured to present a DoD-approved banner that is formatted in accordance with DTM-08-060.</t>
    </r>
    <r>
      <rPr>
        <sz val="11"/>
        <color rgb="FF000000"/>
        <rFont val="Calibri"/>
      </rPr>
      <t xml:space="preserve">
</t>
    </r>
    <r>
      <rPr>
        <sz val="11"/>
        <color rgb="FF000000"/>
        <rFont val="Calibri"/>
      </rPr>
      <t xml:space="preserve">Verify the SMS client has a login banner configured by viewing the SMS client toolbar, client login, web login, console/CLI, or remote/SSH login. </t>
    </r>
    <r>
      <rPr>
        <sz val="11"/>
        <color rgb="FF000000"/>
        <rFont val="Calibri"/>
      </rPr>
      <t xml:space="preserve">
</t>
    </r>
    <r>
      <rPr>
        <sz val="11"/>
        <color rgb="FF000000"/>
        <rFont val="Calibri"/>
      </rPr>
      <t xml:space="preserve">Verify the TPS login banner is enabled: </t>
    </r>
    <r>
      <rPr>
        <sz val="11"/>
        <color rgb="FF000000"/>
        <rFont val="Calibri"/>
      </rPr>
      <t xml:space="preserve">
</t>
    </r>
    <r>
      <rPr>
        <sz val="11"/>
        <color rgb="FF000000"/>
        <rFont val="Calibri"/>
      </rPr>
      <t xml:space="preserve">1. Click Devices, All Devices, and the TPS Device hostname. </t>
    </r>
    <r>
      <rPr>
        <sz val="11"/>
        <color rgb="FF000000"/>
        <rFont val="Calibri"/>
      </rPr>
      <t xml:space="preserve">
</t>
    </r>
    <r>
      <rPr>
        <sz val="11"/>
        <color rgb="FF000000"/>
        <rFont val="Calibri"/>
      </rPr>
      <t xml:space="preserve">2. Click Device Configuration. </t>
    </r>
    <r>
      <rPr>
        <sz val="11"/>
        <color rgb="FF000000"/>
        <rFont val="Calibri"/>
      </rPr>
      <t xml:space="preserve">
</t>
    </r>
    <r>
      <rPr>
        <sz val="11"/>
        <color rgb="FF000000"/>
        <rFont val="Calibri"/>
      </rPr>
      <t>3. Click Login Banner.</t>
    </r>
    <r>
      <rPr>
        <sz val="11"/>
        <color rgb="FF000000"/>
        <rFont val="Calibri"/>
      </rPr>
      <t xml:space="preserve">
</t>
    </r>
    <r>
      <rPr>
        <sz val="11"/>
        <color rgb="FF000000"/>
        <rFont val="Calibri"/>
      </rPr>
      <t>If the TippingPoint SMS, TPS, and SMS client does not display the Standard Mandatory DoD Notice and Consent Banner before granting access to the device, this is a finding.</t>
    </r>
  </si>
  <si>
    <t>V-242236</t>
  </si>
  <si>
    <r>
      <rPr>
        <sz val="11"/>
        <rFont val="Calibri"/>
      </rPr>
      <t>The TippingPoint SMS must be configured to prohibit the use of all unnecessary and/or nonsecure functions, ports, protocols, and/or services.</t>
    </r>
  </si>
  <si>
    <r>
      <rPr>
        <sz val="11"/>
        <color rgb="FF000000"/>
        <rFont val="Calibri"/>
      </rPr>
      <t xml:space="preserve">1. For SMS, click "Admin and Management". </t>
    </r>
    <r>
      <rPr>
        <sz val="11"/>
        <color rgb="FF000000"/>
        <rFont val="Calibri"/>
      </rPr>
      <t xml:space="preserve">
</t>
    </r>
    <r>
      <rPr>
        <sz val="11"/>
        <color rgb="FF000000"/>
        <rFont val="Calibri"/>
      </rPr>
      <t>2. Uncheck "HTTPS", and "TAXII". Ensure only SSH and Ping are checked.</t>
    </r>
    <r>
      <rPr>
        <sz val="11"/>
        <color rgb="FF000000"/>
        <rFont val="Calibri"/>
      </rPr>
      <t xml:space="preserve">
</t>
    </r>
    <r>
      <rPr>
        <sz val="11"/>
        <color rgb="FF000000"/>
        <rFont val="Calibri"/>
      </rPr>
      <t xml:space="preserve">3. Click edit on FIPS Mode. </t>
    </r>
    <r>
      <rPr>
        <sz val="11"/>
        <color rgb="FF000000"/>
        <rFont val="Calibri"/>
      </rPr>
      <t xml:space="preserve">
</t>
    </r>
    <r>
      <rPr>
        <sz val="11"/>
        <color rgb="FF000000"/>
        <rFont val="Calibri"/>
      </rPr>
      <t>4. Under an approved change window only, enable FIPS Crypto Core. This will cause a reboot; only do this when authorized.</t>
    </r>
    <r>
      <rPr>
        <sz val="11"/>
        <color rgb="FF000000"/>
        <rFont val="Calibri"/>
      </rPr>
      <t xml:space="preserve">
</t>
    </r>
    <r>
      <rPr>
        <sz val="11"/>
        <color rgb="FF000000"/>
        <rFont val="Calibri"/>
      </rPr>
      <t xml:space="preserve">5. For TPS, click Devices &gt;&gt; All Devices, and the subject device hostname. </t>
    </r>
    <r>
      <rPr>
        <sz val="11"/>
        <color rgb="FF000000"/>
        <rFont val="Calibri"/>
      </rPr>
      <t xml:space="preserve">
</t>
    </r>
    <r>
      <rPr>
        <sz val="11"/>
        <color rgb="FF000000"/>
        <rFont val="Calibri"/>
      </rPr>
      <t xml:space="preserve">6. Click "Device Configuration" and select "Services". </t>
    </r>
    <r>
      <rPr>
        <sz val="11"/>
        <color rgb="FF000000"/>
        <rFont val="Calibri"/>
      </rPr>
      <t xml:space="preserve">
</t>
    </r>
    <r>
      <rPr>
        <sz val="11"/>
        <color rgb="FF000000"/>
        <rFont val="Calibri"/>
      </rPr>
      <t>7. Uncheck "HTTPS", and "TAXII". Ensure only SSH and Ping are checked.</t>
    </r>
    <r>
      <rPr>
        <sz val="11"/>
        <color rgb="FF000000"/>
        <rFont val="Calibri"/>
      </rPr>
      <t xml:space="preserve">
</t>
    </r>
    <r>
      <rPr>
        <sz val="11"/>
        <color rgb="FF000000"/>
        <rFont val="Calibri"/>
      </rPr>
      <t>Note: FIPS mode is enabled in TIPP-NM-000200.</t>
    </r>
  </si>
  <si>
    <r>
      <rPr>
        <sz val="11"/>
        <color rgb="FF000000"/>
        <rFont val="Calibri"/>
      </rPr>
      <t>To prevent unauthorized connection of devices, unauthorized transfer of information, or unauthorized tunneling (i.e., embedding of data types within data types), organizations must disable unused or unnecessary physical and logical ports/protocols on information systems.</t>
    </r>
    <r>
      <rPr>
        <sz val="11"/>
        <color rgb="FF000000"/>
        <rFont val="Calibri"/>
      </rPr>
      <t xml:space="preserve">
</t>
    </r>
    <r>
      <rPr>
        <sz val="11"/>
        <color rgb="FF000000"/>
        <rFont val="Calibri"/>
      </rPr>
      <t xml:space="preserve">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the use of ports, protocols, and/or services to only those required, authorized, and approved. Some network devices have capabilities enabled by default; if these capabilities are not necessary, they must be disabled. If a particular capability is used, then it must be documented and approved.</t>
    </r>
  </si>
  <si>
    <r>
      <rPr>
        <sz val="11"/>
        <color rgb="FF000000"/>
        <rFont val="Calibri"/>
      </rPr>
      <t xml:space="preserve">1. For SMS, click "Admin and Management". </t>
    </r>
    <r>
      <rPr>
        <sz val="11"/>
        <color rgb="FF000000"/>
        <rFont val="Calibri"/>
      </rPr>
      <t xml:space="preserve">
</t>
    </r>
    <r>
      <rPr>
        <sz val="11"/>
        <color rgb="FF000000"/>
        <rFont val="Calibri"/>
      </rPr>
      <t>2. Ensure only Ping is enabled and the SMS is in FIPS Mode.</t>
    </r>
    <r>
      <rPr>
        <sz val="11"/>
        <color rgb="FF000000"/>
        <rFont val="Calibri"/>
      </rPr>
      <t xml:space="preserve">
</t>
    </r>
    <r>
      <rPr>
        <sz val="11"/>
        <color rgb="FF000000"/>
        <rFont val="Calibri"/>
      </rPr>
      <t>3. For TPS, click Devices &gt;&gt; All Devices, and the subject device hostname.</t>
    </r>
    <r>
      <rPr>
        <sz val="11"/>
        <color rgb="FF000000"/>
        <rFont val="Calibri"/>
      </rPr>
      <t xml:space="preserve">
</t>
    </r>
    <r>
      <rPr>
        <sz val="11"/>
        <color rgb="FF000000"/>
        <rFont val="Calibri"/>
      </rPr>
      <t xml:space="preserve">4. Click "Device Configuration" and select "Services". Ensure only TLS 1.2 is enabled. </t>
    </r>
    <r>
      <rPr>
        <sz val="11"/>
        <color rgb="FF000000"/>
        <rFont val="Calibri"/>
      </rPr>
      <t xml:space="preserve">
</t>
    </r>
    <r>
      <rPr>
        <sz val="11"/>
        <color rgb="FF000000"/>
        <rFont val="Calibri"/>
      </rPr>
      <t xml:space="preserve">5. Verify only SSH and Ping are enabled and the SMS is in FIPS Mode. </t>
    </r>
    <r>
      <rPr>
        <sz val="11"/>
        <color rgb="FF000000"/>
        <rFont val="Calibri"/>
      </rPr>
      <t xml:space="preserve">
</t>
    </r>
    <r>
      <rPr>
        <sz val="11"/>
        <color rgb="FF000000"/>
        <rFont val="Calibri"/>
      </rPr>
      <t>If any other services are enabled, this is a finding.</t>
    </r>
  </si>
  <si>
    <t>V-242237</t>
  </si>
  <si>
    <r>
      <rPr>
        <sz val="11"/>
        <rFont val="Calibri"/>
      </rPr>
      <t>The TippingPoint SMS must be configured with only one local account to be used as the account of last resort in the event the authentication server is unavailable.</t>
    </r>
  </si>
  <si>
    <r>
      <rPr>
        <sz val="11"/>
        <color rgb="FF000000"/>
        <rFont val="Calibri"/>
      </rPr>
      <t>In the SMS client, ensure the SMS has only a single local emergency account.</t>
    </r>
    <r>
      <rPr>
        <sz val="11"/>
        <color rgb="FF000000"/>
        <rFont val="Calibri"/>
      </rPr>
      <t xml:space="preserve">
</t>
    </r>
    <r>
      <rPr>
        <sz val="11"/>
        <color rgb="FF000000"/>
        <rFont val="Calibri"/>
      </rPr>
      <t>1. Select Admin &gt;&gt; Authentication and Authorization &gt;&gt; Users.</t>
    </r>
    <r>
      <rPr>
        <sz val="11"/>
        <color rgb="FF000000"/>
        <rFont val="Calibri"/>
      </rPr>
      <t xml:space="preserve">
</t>
    </r>
    <r>
      <rPr>
        <sz val="11"/>
        <color rgb="FF000000"/>
        <rFont val="Calibri"/>
      </rPr>
      <t>2. Delete all but the user account being used for local emergency user account/account of last resort functions.</t>
    </r>
    <r>
      <rPr>
        <sz val="11"/>
        <color rgb="FF000000"/>
        <rFont val="Calibri"/>
      </rPr>
      <t xml:space="preserve">
</t>
    </r>
    <r>
      <rPr>
        <sz val="11"/>
        <color rgb="FF000000"/>
        <rFont val="Calibri"/>
      </rPr>
      <t>The local emergency user account must not be disabled after 35 days of inactivity. Log in to the serial console and set the following command:</t>
    </r>
    <r>
      <rPr>
        <sz val="11"/>
        <color rgb="FF000000"/>
        <rFont val="Calibri"/>
      </rPr>
      <t xml:space="preserve">
</t>
    </r>
    <r>
      <rPr>
        <sz val="11"/>
        <color rgb="FF000000"/>
        <rFont val="Calibri"/>
      </rPr>
      <t>set pwd.emergency-user=&lt;USERNAME&gt;</t>
    </r>
  </si>
  <si>
    <r>
      <rPr>
        <sz val="11"/>
        <color rgb="FF000000"/>
        <rFont val="Calibri"/>
      </rPr>
      <t>Authentication for administrative (privileged level) access to the device is required at all times. An account can be created on the device's local database for use when the authentication server is down or connectivity between the device and the authentication server is not operable. This account is referred to as the account of last resort because it is intended to be used as a last resort, and when immediate administrative access is absolutely necessary.</t>
    </r>
    <r>
      <rPr>
        <sz val="11"/>
        <color rgb="FF000000"/>
        <rFont val="Calibri"/>
      </rPr>
      <t xml:space="preserve">
</t>
    </r>
    <r>
      <rPr>
        <sz val="11"/>
        <color rgb="FF000000"/>
        <rFont val="Calibri"/>
      </rPr>
      <t>The account of last resort logon credentials must be stored in a sealed envelope and kept in a safe. The safe must be periodically audited to verify the envelope remains sealed. The signature of the auditor and the date of the audit should be added to the envelope as a record. Administrators should secure the credentials and disable the root account (if possible) when not needed for system administration functions.</t>
    </r>
  </si>
  <si>
    <r>
      <rPr>
        <sz val="11"/>
        <color rgb="FF000000"/>
        <rFont val="Calibri"/>
      </rPr>
      <t xml:space="preserve">In the SMS client, ensure the SMS has only a single local account. </t>
    </r>
    <r>
      <rPr>
        <sz val="11"/>
        <color rgb="FF000000"/>
        <rFont val="Calibri"/>
      </rPr>
      <t xml:space="preserve">
</t>
    </r>
    <r>
      <rPr>
        <sz val="11"/>
        <color rgb="FF000000"/>
        <rFont val="Calibri"/>
      </rPr>
      <t>Select Admin &gt;&gt; Authentication and Authorization &gt;&gt; Users.</t>
    </r>
    <r>
      <rPr>
        <sz val="11"/>
        <color rgb="FF000000"/>
        <rFont val="Calibri"/>
      </rPr>
      <t xml:space="preserve">
</t>
    </r>
    <r>
      <rPr>
        <sz val="11"/>
        <color rgb="FF000000"/>
        <rFont val="Calibri"/>
      </rPr>
      <t>If more than one user is enabled under user accounts, this is a finding.</t>
    </r>
  </si>
  <si>
    <t>V-242238</t>
  </si>
  <si>
    <r>
      <rPr>
        <sz val="11"/>
        <rFont val="Calibri"/>
      </rPr>
      <t>The TippingPoint SMS must enforce a minimum 15-character password length.</t>
    </r>
  </si>
  <si>
    <r>
      <rPr>
        <sz val="11"/>
        <color rgb="FF000000"/>
        <rFont val="Calibri"/>
      </rPr>
      <t>In the SMS client, ensure the SMS password complexity requirements are met.</t>
    </r>
    <r>
      <rPr>
        <sz val="11"/>
        <color rgb="FF000000"/>
        <rFont val="Calibri"/>
      </rPr>
      <t xml:space="preserve">
</t>
    </r>
    <r>
      <rPr>
        <sz val="11"/>
        <color rgb="FF000000"/>
        <rFont val="Calibri"/>
      </rPr>
      <t xml:space="preserve">1. Under Security, click "Edit" and "Preferences". </t>
    </r>
    <r>
      <rPr>
        <sz val="11"/>
        <color rgb="FF000000"/>
        <rFont val="Calibri"/>
      </rPr>
      <t xml:space="preserve">
</t>
    </r>
    <r>
      <rPr>
        <sz val="11"/>
        <color rgb="FF000000"/>
        <rFont val="Calibri"/>
      </rPr>
      <t>2. Change security level to "3 - High". This setting ensures a 15-character minimum, uppercase, lowercase, numbers, and symbols are used.</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</si>
  <si>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</si>
  <si>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 xml:space="preserve">In the SMS client, ensure the SMS password complexity requirements are met. </t>
    </r>
    <r>
      <rPr>
        <sz val="11"/>
        <color rgb="FF000000"/>
        <rFont val="Calibri"/>
      </rPr>
      <t xml:space="preserve">
</t>
    </r>
    <r>
      <rPr>
        <sz val="11"/>
        <color rgb="FF000000"/>
        <rFont val="Calibri"/>
      </rPr>
      <t xml:space="preserve">1. Under Security, click "Edit" and "Preferences". </t>
    </r>
    <r>
      <rPr>
        <sz val="11"/>
        <color rgb="FF000000"/>
        <rFont val="Calibri"/>
      </rPr>
      <t xml:space="preserve">
</t>
    </r>
    <r>
      <rPr>
        <sz val="11"/>
        <color rgb="FF000000"/>
        <rFont val="Calibri"/>
      </rPr>
      <t>2. If the security level is set to anything except "3 - High", this is a finding. This setting ensures a 15-character minimum, uppercase, lowercase, numbers, and symbols are used.</t>
    </r>
  </si>
  <si>
    <t>V-242239</t>
  </si>
  <si>
    <r>
      <rPr>
        <sz val="11"/>
        <rFont val="Calibri"/>
      </rPr>
      <t>The TippingPoint SMS must enforce password complexity by requiring that at least one uppercase character be used.</t>
    </r>
  </si>
  <si>
    <r>
      <rPr>
        <sz val="11"/>
        <color rgb="FF000000"/>
        <rFont val="Calibri"/>
      </rPr>
      <t xml:space="preserve">In the SMS client, ensure the SMS password complexity requirements are met. </t>
    </r>
    <r>
      <rPr>
        <sz val="11"/>
        <color rgb="FF000000"/>
        <rFont val="Calibri"/>
      </rPr>
      <t xml:space="preserve">
</t>
    </r>
    <r>
      <rPr>
        <sz val="11"/>
        <color rgb="FF000000"/>
        <rFont val="Calibri"/>
      </rPr>
      <t xml:space="preserve">1. Under Security, click "Edit" and "Preferences". </t>
    </r>
    <r>
      <rPr>
        <sz val="11"/>
        <color rgb="FF000000"/>
        <rFont val="Calibri"/>
      </rPr>
      <t xml:space="preserve">
</t>
    </r>
    <r>
      <rPr>
        <sz val="11"/>
        <color rgb="FF000000"/>
        <rFont val="Calibri"/>
      </rPr>
      <t>2. Change security level to "3 - High". This setting ensures a 15-character minimum, uppercase, lowercase, numbers, and symbols are used.</t>
    </r>
  </si>
  <si>
    <r>
      <rPr>
        <sz val="11"/>
        <color rgb="FF000000"/>
        <rFont val="Calibri"/>
      </rPr>
      <t>Use of a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</si>
  <si>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In the SMS client, ensure the SMS password complexity requirements are met.</t>
    </r>
    <r>
      <rPr>
        <sz val="11"/>
        <color rgb="FF000000"/>
        <rFont val="Calibri"/>
      </rPr>
      <t xml:space="preserve">
</t>
    </r>
    <r>
      <rPr>
        <sz val="11"/>
        <color rgb="FF000000"/>
        <rFont val="Calibri"/>
      </rPr>
      <t xml:space="preserve">1. Under Security, click "Edit" and "Preferences". </t>
    </r>
    <r>
      <rPr>
        <sz val="11"/>
        <color rgb="FF000000"/>
        <rFont val="Calibri"/>
      </rPr>
      <t xml:space="preserve">
</t>
    </r>
    <r>
      <rPr>
        <sz val="11"/>
        <color rgb="FF000000"/>
        <rFont val="Calibri"/>
      </rPr>
      <t>2. If the security level is set to anything except "3 - High", this is a finding. This setting ensures a 15-character minimum, uppercase, lowercase, numbers, and symbols are used.</t>
    </r>
  </si>
  <si>
    <t>V-242240</t>
  </si>
  <si>
    <r>
      <rPr>
        <sz val="11"/>
        <rFont val="Calibri"/>
      </rPr>
      <t>The TippingPoint SMS must enforce password complexity by requiring that at least one lowercase character be used.</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</si>
  <si>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</si>
  <si>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In the SMS client, ensure the SMS password complexity requirements are met.</t>
    </r>
    <r>
      <rPr>
        <sz val="11"/>
        <color rgb="FF000000"/>
        <rFont val="Calibri"/>
      </rPr>
      <t xml:space="preserve">
</t>
    </r>
    <r>
      <rPr>
        <sz val="11"/>
        <color rgb="FF000000"/>
        <rFont val="Calibri"/>
      </rPr>
      <t>1. Under Security, click "Edit" and "Preferences".</t>
    </r>
    <r>
      <rPr>
        <sz val="11"/>
        <color rgb="FF000000"/>
        <rFont val="Calibri"/>
      </rPr>
      <t xml:space="preserve">
</t>
    </r>
    <r>
      <rPr>
        <sz val="11"/>
        <color rgb="FF000000"/>
        <rFont val="Calibri"/>
      </rPr>
      <t>2. If the security level is set to anything except "3 - High", this is a finding. This setting ensures a 15-character minimum, uppercase, lowercase, numbers, and symbols are used.</t>
    </r>
  </si>
  <si>
    <t>V-242241</t>
  </si>
  <si>
    <r>
      <rPr>
        <sz val="11"/>
        <rFont val="Calibri"/>
      </rPr>
      <t>The TippingPoint SMS must enforce password complexity by requiring that at least one numeric character be used.</t>
    </r>
  </si>
  <si>
    <r>
      <rPr>
        <sz val="11"/>
        <color rgb="FF000000"/>
        <rFont val="Calibri"/>
      </rPr>
      <t>In the SMS client, ensure the SMS password complexity requirements are met.</t>
    </r>
    <r>
      <rPr>
        <sz val="11"/>
        <color rgb="FF000000"/>
        <rFont val="Calibri"/>
      </rPr>
      <t xml:space="preserve">
</t>
    </r>
    <r>
      <rPr>
        <sz val="11"/>
        <color rgb="FF000000"/>
        <rFont val="Calibri"/>
      </rPr>
      <t>1. Under Security, click "Edit" and "Preferences".</t>
    </r>
    <r>
      <rPr>
        <sz val="11"/>
        <color rgb="FF000000"/>
        <rFont val="Calibri"/>
      </rPr>
      <t xml:space="preserve">
</t>
    </r>
    <r>
      <rPr>
        <sz val="11"/>
        <color rgb="FF000000"/>
        <rFont val="Calibri"/>
      </rPr>
      <t>2. Change security level to "3 - High". This setting ensures a 15-character minimum, uppercase, lowercase, numbers, and symbols are used.</t>
    </r>
  </si>
  <si>
    <t>V-242242</t>
  </si>
  <si>
    <r>
      <rPr>
        <sz val="11"/>
        <rFont val="Calibri"/>
      </rPr>
      <t>The TippingPoint SMS must enforce password complexity by requiring that at least one special character be used.</t>
    </r>
  </si>
  <si>
    <t>V-242243</t>
  </si>
  <si>
    <r>
      <rPr>
        <sz val="11"/>
        <rFont val="Calibri"/>
      </rPr>
      <t>The TippingPoint TPS must have FIPS Mode enforced.</t>
    </r>
  </si>
  <si>
    <r>
      <rPr>
        <sz val="11"/>
        <color rgb="FF000000"/>
        <rFont val="Calibri"/>
      </rPr>
      <t>In the SMS client, enable the TPS FIPS Mode.</t>
    </r>
    <r>
      <rPr>
        <sz val="11"/>
        <color rgb="FF000000"/>
        <rFont val="Calibri"/>
      </rPr>
      <t xml:space="preserve">
</t>
    </r>
    <r>
      <rPr>
        <sz val="11"/>
        <color rgb="FF000000"/>
        <rFont val="Calibri"/>
      </rPr>
      <t>1. For TPS, click Devices, All Devices, and the subject device hostname.</t>
    </r>
    <r>
      <rPr>
        <sz val="11"/>
        <color rgb="FF000000"/>
        <rFont val="Calibri"/>
      </rPr>
      <t xml:space="preserve">
</t>
    </r>
    <r>
      <rPr>
        <sz val="11"/>
        <color rgb="FF000000"/>
        <rFont val="Calibri"/>
      </rPr>
      <t>2. Click FIPS Settings, then check enabled. This must be done in the approved change window, as the TPS will reboot.</t>
    </r>
  </si>
  <si>
    <r>
      <rPr>
        <sz val="11"/>
        <color rgb="FF000000"/>
        <rFont val="Calibri"/>
      </rPr>
      <t>Unapproved mechanisms that are used for authentication to the cryptographic module are not validated and therefore cannot be relied upon to provide confidentiality or integrity, and DoD data may be compromised.</t>
    </r>
    <r>
      <rPr>
        <sz val="11"/>
        <color rgb="FF000000"/>
        <rFont val="Calibri"/>
      </rPr>
      <t xml:space="preserve">
</t>
    </r>
    <r>
      <rPr>
        <sz val="11"/>
        <color rgb="FF000000"/>
        <rFont val="Calibri"/>
      </rPr>
      <t>Network devices utilizing encryption are required to use FIPS-compliant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 However, authentication algorithms must configure security processes to use only FIPS-approved and NIST-recommended authentication algorithms.</t>
    </r>
  </si>
  <si>
    <r>
      <rPr>
        <sz val="11"/>
        <color rgb="FF000000"/>
        <rFont val="Calibri"/>
      </rPr>
      <t xml:space="preserve">In the SMS client, verify the TPS FIPS Mode is enabled. </t>
    </r>
    <r>
      <rPr>
        <sz val="11"/>
        <color rgb="FF000000"/>
        <rFont val="Calibri"/>
      </rPr>
      <t xml:space="preserve">
</t>
    </r>
    <r>
      <rPr>
        <sz val="11"/>
        <color rgb="FF000000"/>
        <rFont val="Calibri"/>
      </rPr>
      <t xml:space="preserve">1. For TPS, click Devices, All Devices, and the subject device hostname. </t>
    </r>
    <r>
      <rPr>
        <sz val="11"/>
        <color rgb="FF000000"/>
        <rFont val="Calibri"/>
      </rPr>
      <t xml:space="preserve">
</t>
    </r>
    <r>
      <rPr>
        <sz val="11"/>
        <color rgb="FF000000"/>
        <rFont val="Calibri"/>
      </rPr>
      <t>2. Click FIPS Settings and ensure the FIPS Mode is selected.</t>
    </r>
    <r>
      <rPr>
        <sz val="11"/>
        <color rgb="FF000000"/>
        <rFont val="Calibri"/>
      </rPr>
      <t xml:space="preserve">
</t>
    </r>
    <r>
      <rPr>
        <sz val="11"/>
        <color rgb="FF000000"/>
        <rFont val="Calibri"/>
      </rPr>
      <t>If the TPS is not in FIPS mode, this is a finding.</t>
    </r>
  </si>
  <si>
    <t>V-242244</t>
  </si>
  <si>
    <r>
      <rPr>
        <sz val="11"/>
        <rFont val="Calibri"/>
      </rPr>
      <t>The TippingPoint SMS must terminate all network connections associated with a device management session at the end of the session, or the session must be terminated after 10 minutes of inactivity except to fulfill documented and validated mission requirements.</t>
    </r>
  </si>
  <si>
    <r>
      <rPr>
        <sz val="11"/>
        <color rgb="FF000000"/>
        <rFont val="Calibri"/>
      </rPr>
      <t xml:space="preserve">In the SMS client, ensure the SMS inactivity timeouts are configured. </t>
    </r>
    <r>
      <rPr>
        <sz val="11"/>
        <color rgb="FF000000"/>
        <rFont val="Calibri"/>
      </rPr>
      <t xml:space="preserve">
</t>
    </r>
    <r>
      <rPr>
        <sz val="11"/>
        <color rgb="FF000000"/>
        <rFont val="Calibri"/>
      </rPr>
      <t xml:space="preserve">1. Under Security, click Edit and Preferences. </t>
    </r>
    <r>
      <rPr>
        <sz val="11"/>
        <color rgb="FF000000"/>
        <rFont val="Calibri"/>
      </rPr>
      <t xml:space="preserve">
</t>
    </r>
    <r>
      <rPr>
        <sz val="11"/>
        <color rgb="FF000000"/>
        <rFont val="Calibri"/>
      </rPr>
      <t>2. Under Client Preferences, check the item "Timeout client session after inactivity" and ensure the Time is set to five minutes.</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</si>
  <si>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</si>
  <si>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In the SMS client, ensure the SMS inactivity timeouts are configured.</t>
    </r>
    <r>
      <rPr>
        <sz val="11"/>
        <color rgb="FF000000"/>
        <rFont val="Calibri"/>
      </rPr>
      <t xml:space="preserve">
</t>
    </r>
    <r>
      <rPr>
        <sz val="11"/>
        <color rgb="FF000000"/>
        <rFont val="Calibri"/>
      </rPr>
      <t xml:space="preserve">1. Under Security, click Edit and Preferences. </t>
    </r>
    <r>
      <rPr>
        <sz val="11"/>
        <color rgb="FF000000"/>
        <rFont val="Calibri"/>
      </rPr>
      <t xml:space="preserve">
</t>
    </r>
    <r>
      <rPr>
        <sz val="11"/>
        <color rgb="FF000000"/>
        <rFont val="Calibri"/>
      </rPr>
      <t>2. Under Client Preferences, if "Timeout client session after inactivity" is not checked or the Time is not set to five minutes, this is a finding.</t>
    </r>
  </si>
  <si>
    <t>V-242245</t>
  </si>
  <si>
    <r>
      <rPr>
        <sz val="11"/>
        <rFont val="Calibri"/>
      </rPr>
      <t>The Trend Micro SMS must generate an alert for all audit failure events requiring real-time alerts.</t>
    </r>
  </si>
  <si>
    <r>
      <rPr>
        <sz val="11"/>
        <color rgb="FF000000"/>
        <rFont val="Calibri"/>
      </rPr>
      <t>In the SMS client, configure a SNMPv3 trap destination is configured. Audit failure alerts are generated via SNMPv3 traps.</t>
    </r>
    <r>
      <rPr>
        <sz val="11"/>
        <color rgb="FF000000"/>
        <rFont val="Calibri"/>
      </rPr>
      <t xml:space="preserve">
</t>
    </r>
    <r>
      <rPr>
        <sz val="11"/>
        <color rgb="FF000000"/>
        <rFont val="Calibri"/>
      </rPr>
      <t>1. Navigate to Admin &gt;&gt; Server Properties &gt;&gt; SNMP &gt;&gt; Add.</t>
    </r>
    <r>
      <rPr>
        <sz val="11"/>
        <color rgb="FF000000"/>
        <rFont val="Calibri"/>
      </rPr>
      <t xml:space="preserve">
</t>
    </r>
    <r>
      <rPr>
        <sz val="11"/>
        <color rgb="FF000000"/>
        <rFont val="Calibri"/>
      </rPr>
      <t>2.  Enter the IPv4 or IPv6 address, Version 3, with the username, and authPriv keys configured that match the site's required attributes.</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</si>
  <si>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</si>
  <si>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 xml:space="preserve">In the SMS client, ensure a SNMPv3 trap destination is configured. </t>
    </r>
    <r>
      <rPr>
        <sz val="11"/>
        <color rgb="FF000000"/>
        <rFont val="Calibri"/>
      </rPr>
      <t xml:space="preserve">
</t>
    </r>
    <r>
      <rPr>
        <sz val="11"/>
        <color rgb="FF000000"/>
        <rFont val="Calibri"/>
      </rPr>
      <t>1. Navigate to Admin &gt;&gt; Server Properties &gt;&gt; SNMP.</t>
    </r>
    <r>
      <rPr>
        <sz val="11"/>
        <color rgb="FF000000"/>
        <rFont val="Calibri"/>
      </rPr>
      <t xml:space="preserve">
</t>
    </r>
    <r>
      <rPr>
        <sz val="11"/>
        <color rgb="FF000000"/>
        <rFont val="Calibri"/>
      </rPr>
      <t>2. View the NMS configuration.</t>
    </r>
    <r>
      <rPr>
        <sz val="11"/>
        <color rgb="FF000000"/>
        <rFont val="Calibri"/>
      </rPr>
      <t xml:space="preserve">
</t>
    </r>
    <r>
      <rPr>
        <sz val="11"/>
        <color rgb="FF000000"/>
        <rFont val="Calibri"/>
      </rPr>
      <t>If an NMS Trap Destination is not configured, this is a finding.</t>
    </r>
  </si>
  <si>
    <t>V-242246</t>
  </si>
  <si>
    <r>
      <rPr>
        <sz val="11"/>
        <rFont val="Calibri"/>
      </rPr>
      <t>The TippingPoint SMS must be configured to synchronize internal information system clocks using redundant authoritative time sources.</t>
    </r>
  </si>
  <si>
    <r>
      <rPr>
        <sz val="11"/>
        <color rgb="FF000000"/>
        <rFont val="Calibri"/>
      </rPr>
      <t xml:space="preserve">In the SMS client, ensure two NTP sources are configured. </t>
    </r>
    <r>
      <rPr>
        <sz val="11"/>
        <color rgb="FF000000"/>
        <rFont val="Calibri"/>
      </rPr>
      <t xml:space="preserve">
</t>
    </r>
    <r>
      <rPr>
        <sz val="11"/>
        <color rgb="FF000000"/>
        <rFont val="Calibri"/>
      </rPr>
      <t>1. Select Admin, Server Properties, and Network.</t>
    </r>
    <r>
      <rPr>
        <sz val="11"/>
        <color rgb="FF000000"/>
        <rFont val="Calibri"/>
      </rPr>
      <t xml:space="preserve">
</t>
    </r>
    <r>
      <rPr>
        <sz val="11"/>
        <color rgb="FF000000"/>
        <rFont val="Calibri"/>
      </rPr>
      <t xml:space="preserve">2. Check Enable NTP. </t>
    </r>
    <r>
      <rPr>
        <sz val="11"/>
        <color rgb="FF000000"/>
        <rFont val="Calibri"/>
      </rPr>
      <t xml:space="preserve">
</t>
    </r>
    <r>
      <rPr>
        <sz val="11"/>
        <color rgb="FF000000"/>
        <rFont val="Calibri"/>
      </rPr>
      <t>3. Enter a server IPv4 address in NTP Server 1 and NTP Server.</t>
    </r>
    <r>
      <rPr>
        <sz val="11"/>
        <color rgb="FF000000"/>
        <rFont val="Calibri"/>
      </rPr>
      <t xml:space="preserve">
</t>
    </r>
    <r>
      <rPr>
        <sz val="11"/>
        <color rgb="FF000000"/>
        <rFont val="Calibri"/>
      </rPr>
      <t>4. Ensure this is done under an approved change window as it will cause a reboot.</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</si>
  <si>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</si>
  <si>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 xml:space="preserve">In the SMS client, ensure two NTP sources are configured. </t>
    </r>
    <r>
      <rPr>
        <sz val="11"/>
        <color rgb="FF000000"/>
        <rFont val="Calibri"/>
      </rPr>
      <t xml:space="preserve">
</t>
    </r>
    <r>
      <rPr>
        <sz val="11"/>
        <color rgb="FF000000"/>
        <rFont val="Calibri"/>
      </rPr>
      <t>1. Select Admin, Server Properties, and Network.</t>
    </r>
    <r>
      <rPr>
        <sz val="11"/>
        <color rgb="FF000000"/>
        <rFont val="Calibri"/>
      </rPr>
      <t xml:space="preserve">
</t>
    </r>
    <r>
      <rPr>
        <sz val="11"/>
        <color rgb="FF000000"/>
        <rFont val="Calibri"/>
      </rPr>
      <t>2. If Enable NTP is not checked or at least two NTP servers are not configured under Date/Time, this is a finding.</t>
    </r>
  </si>
  <si>
    <t>V-242247</t>
  </si>
  <si>
    <r>
      <rPr>
        <sz val="11"/>
        <rFont val="Calibri"/>
      </rPr>
      <t>The TippingPoint SMS must record time stamps for audit records that can be mapped to Coordinated Universal Time (UTC) or Greenwich Mean Time (GMT).</t>
    </r>
  </si>
  <si>
    <r>
      <rPr>
        <sz val="11"/>
        <color rgb="FF000000"/>
        <rFont val="Calibri"/>
      </rPr>
      <t xml:space="preserve">In the SMS client, ensure the GMT/UTC time zone is configured. </t>
    </r>
    <r>
      <rPr>
        <sz val="11"/>
        <color rgb="FF000000"/>
        <rFont val="Calibri"/>
      </rPr>
      <t xml:space="preserve">
</t>
    </r>
    <r>
      <rPr>
        <sz val="11"/>
        <color rgb="FF000000"/>
        <rFont val="Calibri"/>
      </rPr>
      <t>1. Select Admin, Server Properties, and Network.</t>
    </r>
    <r>
      <rPr>
        <sz val="11"/>
        <color rgb="FF000000"/>
        <rFont val="Calibri"/>
      </rPr>
      <t xml:space="preserve">
</t>
    </r>
    <r>
      <rPr>
        <sz val="11"/>
        <color rgb="FF000000"/>
        <rFont val="Calibri"/>
      </rPr>
      <t xml:space="preserve">2. Under time zone, select UTC. </t>
    </r>
    <r>
      <rPr>
        <sz val="11"/>
        <color rgb="FF000000"/>
        <rFont val="Calibri"/>
      </rPr>
      <t xml:space="preserve">
</t>
    </r>
    <r>
      <rPr>
        <sz val="11"/>
        <color rgb="FF000000"/>
        <rFont val="Calibri"/>
      </rPr>
      <t>3. Ensure this is done under an approved change window as it will cause a reboot.</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</si>
  <si>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Coordinated Universal Time (UTC), a modern continuation of Greenwich Mean Time (GMT), or local time with an offset from UTC.</t>
    </r>
  </si>
  <si>
    <r>
      <rPr>
        <sz val="11"/>
        <color rgb="FF000000"/>
        <rFont val="Calibri"/>
      </rPr>
      <t xml:space="preserve">In the SMS client, ensure the GMT/UTC time zone is configured. </t>
    </r>
    <r>
      <rPr>
        <sz val="11"/>
        <color rgb="FF000000"/>
        <rFont val="Calibri"/>
      </rPr>
      <t xml:space="preserve">
</t>
    </r>
    <r>
      <rPr>
        <sz val="11"/>
        <color rgb="FF000000"/>
        <rFont val="Calibri"/>
      </rPr>
      <t xml:space="preserve">1. Select Admin, Server Properties, and Network. </t>
    </r>
    <r>
      <rPr>
        <sz val="11"/>
        <color rgb="FF000000"/>
        <rFont val="Calibri"/>
      </rPr>
      <t xml:space="preserve">
</t>
    </r>
    <r>
      <rPr>
        <sz val="11"/>
        <color rgb="FF000000"/>
        <rFont val="Calibri"/>
      </rPr>
      <t>2. If a time zone other than UTC is selected, this is a finding.</t>
    </r>
  </si>
  <si>
    <t>V-242248</t>
  </si>
  <si>
    <r>
      <rPr>
        <sz val="11"/>
        <rFont val="Calibri"/>
      </rPr>
      <t>The TippingPoint SMS must enforce access restrictions associated with changes to device configuration.</t>
    </r>
  </si>
  <si>
    <r>
      <rPr>
        <sz val="11"/>
        <color rgb="FF000000"/>
        <rFont val="Calibri"/>
      </rPr>
      <t>Follow these configuration steps to enable CAC/LDAPS authentication and authorization to the Trend Micro TippingPoint SMS client. The Site's LDAPS/AD environment must be configured to audit all account actions.</t>
    </r>
    <r>
      <rPr>
        <sz val="11"/>
        <color rgb="FF000000"/>
        <rFont val="Calibri"/>
      </rPr>
      <t xml:space="preserve">
</t>
    </r>
    <r>
      <rPr>
        <sz val="11"/>
        <color rgb="FF000000"/>
        <rFont val="Calibri"/>
      </rPr>
      <t xml:space="preserve">I. Certificate Load Steps: </t>
    </r>
    <r>
      <rPr>
        <sz val="11"/>
        <color rgb="FF000000"/>
        <rFont val="Calibri"/>
      </rPr>
      <t xml:space="preserve">
</t>
    </r>
    <r>
      <rPr>
        <sz val="11"/>
        <color rgb="FF000000"/>
        <rFont val="Calibri"/>
      </rPr>
      <t xml:space="preserve">1. Log in to the SMS client. </t>
    </r>
    <r>
      <rPr>
        <sz val="11"/>
        <color rgb="FF000000"/>
        <rFont val="Calibri"/>
      </rPr>
      <t xml:space="preserve">
</t>
    </r>
    <r>
      <rPr>
        <sz val="11"/>
        <color rgb="FF000000"/>
        <rFont val="Calibri"/>
      </rPr>
      <t xml:space="preserve">2. Select Certificate Management &gt;&gt; CA certificates &gt;&gt; Import. </t>
    </r>
    <r>
      <rPr>
        <sz val="11"/>
        <color rgb="FF000000"/>
        <rFont val="Calibri"/>
      </rPr>
      <t xml:space="preserve">
</t>
    </r>
    <r>
      <rPr>
        <sz val="11"/>
        <color rgb="FF000000"/>
        <rFont val="Calibri"/>
      </rPr>
      <t xml:space="preserve">3. Find the CA signing certificate bundle for the LDAPS servers on your machine. </t>
    </r>
    <r>
      <rPr>
        <sz val="11"/>
        <color rgb="FF000000"/>
        <rFont val="Calibri"/>
      </rPr>
      <t xml:space="preserve">
</t>
    </r>
    <r>
      <rPr>
        <sz val="11"/>
        <color rgb="FF000000"/>
        <rFont val="Calibri"/>
      </rPr>
      <t>4. Enter the name, then select browse to find the CA certificate.</t>
    </r>
    <r>
      <rPr>
        <sz val="11"/>
        <color rgb="FF000000"/>
        <rFont val="Calibri"/>
      </rPr>
      <t xml:space="preserve">
</t>
    </r>
    <r>
      <rPr>
        <sz val="11"/>
        <color rgb="FF000000"/>
        <rFont val="Calibri"/>
      </rPr>
      <t>5. Click OK.</t>
    </r>
    <r>
      <rPr>
        <sz val="11"/>
        <color rgb="FF000000"/>
        <rFont val="Calibri"/>
      </rPr>
      <t xml:space="preserve">
</t>
    </r>
    <r>
      <rPr>
        <sz val="11"/>
        <color rgb="FF000000"/>
        <rFont val="Calibri"/>
      </rPr>
      <t>6. Repeat steps for all other DoD Root and Intermediate CAs being used for the administrator’s admin-token/CACs.</t>
    </r>
    <r>
      <rPr>
        <sz val="11"/>
        <color rgb="FF000000"/>
        <rFont val="Calibri"/>
      </rPr>
      <t xml:space="preserve">
</t>
    </r>
    <r>
      <rPr>
        <sz val="11"/>
        <color rgb="FF000000"/>
        <rFont val="Calibri"/>
      </rPr>
      <t xml:space="preserve">II. LDAP Authorization configuration steps: </t>
    </r>
    <r>
      <rPr>
        <sz val="11"/>
        <color rgb="FF000000"/>
        <rFont val="Calibri"/>
      </rPr>
      <t xml:space="preserve">
</t>
    </r>
    <r>
      <rPr>
        <sz val="11"/>
        <color rgb="FF000000"/>
        <rFont val="Calibri"/>
      </rPr>
      <t>1. Select Authentication and Authorization &gt;&gt; Groups &gt;&gt; New.</t>
    </r>
    <r>
      <rPr>
        <sz val="11"/>
        <color rgb="FF000000"/>
        <rFont val="Calibri"/>
      </rPr>
      <t xml:space="preserve">
</t>
    </r>
    <r>
      <rPr>
        <sz val="11"/>
        <color rgb="FF000000"/>
        <rFont val="Calibri"/>
      </rPr>
      <t xml:space="preserve">2. Type the name of the LDAP group exactly as it appears as the CN in the active directory domain. </t>
    </r>
    <r>
      <rPr>
        <sz val="11"/>
        <color rgb="FF000000"/>
        <rFont val="Calibri"/>
      </rPr>
      <t xml:space="preserve">
</t>
    </r>
    <r>
      <rPr>
        <sz val="11"/>
        <color rgb="FF000000"/>
        <rFont val="Calibri"/>
      </rPr>
      <t xml:space="preserve">3. Add all site-specific details including which role to map superuser, admin, or operator. </t>
    </r>
    <r>
      <rPr>
        <sz val="11"/>
        <color rgb="FF000000"/>
        <rFont val="Calibri"/>
      </rPr>
      <t xml:space="preserve">
</t>
    </r>
    <r>
      <rPr>
        <sz val="11"/>
        <color rgb="FF000000"/>
        <rFont val="Calibri"/>
      </rPr>
      <t xml:space="preserve">4. Under Active Directory Group Mapping ensure the item "map this group to the same named group in active directory" is selected. </t>
    </r>
    <r>
      <rPr>
        <sz val="11"/>
        <color rgb="FF000000"/>
        <rFont val="Calibri"/>
      </rPr>
      <t xml:space="preserve">
</t>
    </r>
    <r>
      <rPr>
        <sz val="11"/>
        <color rgb="FF000000"/>
        <rFont val="Calibri"/>
      </rPr>
      <t>5. Select OK.</t>
    </r>
    <r>
      <rPr>
        <sz val="11"/>
        <color rgb="FF000000"/>
        <rFont val="Calibri"/>
      </rPr>
      <t xml:space="preserve">
</t>
    </r>
    <r>
      <rPr>
        <sz val="11"/>
        <color rgb="FF000000"/>
        <rFont val="Calibri"/>
      </rPr>
      <t xml:space="preserve">III. LDAPS Server configuration - ensure a DNS resolver has been configured in accordance with the admin guide, and this DNS resolver knows how to resolve the domain the SMS will log into: </t>
    </r>
    <r>
      <rPr>
        <sz val="11"/>
        <color rgb="FF000000"/>
        <rFont val="Calibri"/>
      </rPr>
      <t xml:space="preserve">
</t>
    </r>
    <r>
      <rPr>
        <sz val="11"/>
        <color rgb="FF000000"/>
        <rFont val="Calibri"/>
      </rPr>
      <t xml:space="preserve">1. Under Admin, navigate to Authentication and CAC &gt;&gt; Edit. </t>
    </r>
    <r>
      <rPr>
        <sz val="11"/>
        <color rgb="FF000000"/>
        <rFont val="Calibri"/>
      </rPr>
      <t xml:space="preserve">
</t>
    </r>
    <r>
      <rPr>
        <sz val="11"/>
        <color rgb="FF000000"/>
        <rFont val="Calibri"/>
      </rPr>
      <t>2. Enter the Server address: ensure it is the fully qualified domain name as the LDAPS certificate will likely have it.</t>
    </r>
    <r>
      <rPr>
        <sz val="11"/>
        <color rgb="FF000000"/>
        <rFont val="Calibri"/>
      </rPr>
      <t xml:space="preserve">
</t>
    </r>
    <r>
      <rPr>
        <sz val="11"/>
        <color rgb="FF000000"/>
        <rFont val="Calibri"/>
      </rPr>
      <t xml:space="preserve">3. Enable SSL: must be checked for LDAPS. </t>
    </r>
    <r>
      <rPr>
        <sz val="11"/>
        <color rgb="FF000000"/>
        <rFont val="Calibri"/>
      </rPr>
      <t xml:space="preserve">
</t>
    </r>
    <r>
      <rPr>
        <sz val="11"/>
        <color rgb="FF000000"/>
        <rFont val="Calibri"/>
      </rPr>
      <t xml:space="preserve">4. Current certificate: must be the intermediate root certificate/issuing CA certificate for the domain controllers - this is the CA certificate loaded in the first section. </t>
    </r>
    <r>
      <rPr>
        <sz val="11"/>
        <color rgb="FF000000"/>
        <rFont val="Calibri"/>
      </rPr>
      <t xml:space="preserve">
</t>
    </r>
    <r>
      <rPr>
        <sz val="11"/>
        <color rgb="FF000000"/>
        <rFont val="Calibri"/>
      </rPr>
      <t>5. Port: 636 or your DoD LDAPS port, if different.</t>
    </r>
    <r>
      <rPr>
        <sz val="11"/>
        <color rgb="FF000000"/>
        <rFont val="Calibri"/>
      </rPr>
      <t xml:space="preserve">
</t>
    </r>
    <r>
      <rPr>
        <sz val="11"/>
        <color rgb="FF000000"/>
        <rFont val="Calibri"/>
      </rPr>
      <t>6. Timeout: 30 seconds is the default.</t>
    </r>
    <r>
      <rPr>
        <sz val="11"/>
        <color rgb="FF000000"/>
        <rFont val="Calibri"/>
      </rPr>
      <t xml:space="preserve">
</t>
    </r>
    <r>
      <rPr>
        <sz val="11"/>
        <color rgb="FF000000"/>
        <rFont val="Calibri"/>
      </rPr>
      <t xml:space="preserve">7. Admin name: the account that has privileges to access the directory schema – format is username@domain.name </t>
    </r>
    <r>
      <rPr>
        <sz val="11"/>
        <color rgb="FF000000"/>
        <rFont val="Calibri"/>
      </rPr>
      <t xml:space="preserve">
</t>
    </r>
    <r>
      <rPr>
        <sz val="11"/>
        <color rgb="FF000000"/>
        <rFont val="Calibri"/>
      </rPr>
      <t xml:space="preserve">8. Admin password: password of previous admin account. </t>
    </r>
    <r>
      <rPr>
        <sz val="11"/>
        <color rgb="FF000000"/>
        <rFont val="Calibri"/>
      </rPr>
      <t xml:space="preserve">
</t>
    </r>
    <r>
      <rPr>
        <sz val="11"/>
        <color rgb="FF000000"/>
        <rFont val="Calibri"/>
      </rPr>
      <t xml:space="preserve">9. User search base: this is the LDAP directory tree for the accounts that will be allowed. Example: ou=Trend Micro,dc=dod,dc=disa,dc=mil </t>
    </r>
    <r>
      <rPr>
        <sz val="11"/>
        <color rgb="FF000000"/>
        <rFont val="Calibri"/>
      </rPr>
      <t xml:space="preserve">
</t>
    </r>
    <r>
      <rPr>
        <sz val="11"/>
        <color rgb="FF000000"/>
        <rFont val="Calibri"/>
      </rPr>
      <t>10. User search attribute: normally in DoD this is userPrincipalName.</t>
    </r>
    <r>
      <rPr>
        <sz val="11"/>
        <color rgb="FF000000"/>
        <rFont val="Calibri"/>
      </rPr>
      <t xml:space="preserve">
</t>
    </r>
    <r>
      <rPr>
        <sz val="11"/>
        <color rgb="FF000000"/>
        <rFont val="Calibri"/>
      </rPr>
      <t>11. User display attribute: normally in DoD this is sAMAccountName.</t>
    </r>
    <r>
      <rPr>
        <sz val="11"/>
        <color rgb="FF000000"/>
        <rFont val="Calibri"/>
      </rPr>
      <t xml:space="preserve">
</t>
    </r>
    <r>
      <rPr>
        <sz val="11"/>
        <color rgb="FF000000"/>
        <rFont val="Calibri"/>
      </rPr>
      <t xml:space="preserve">12. Group search base: this is the LDAP directory tree for the groups that will be allowed. Example: ou=Trend Micro,dc=dod,dc=disa,dc=mil </t>
    </r>
    <r>
      <rPr>
        <sz val="11"/>
        <color rgb="FF000000"/>
        <rFont val="Calibri"/>
      </rPr>
      <t xml:space="preserve">
</t>
    </r>
    <r>
      <rPr>
        <sz val="11"/>
        <color rgb="FF000000"/>
        <rFont val="Calibri"/>
      </rPr>
      <t>13. Group name attribute: normally it is cn.</t>
    </r>
    <r>
      <rPr>
        <sz val="11"/>
        <color rgb="FF000000"/>
        <rFont val="Calibri"/>
      </rPr>
      <t xml:space="preserve">
</t>
    </r>
    <r>
      <rPr>
        <sz val="11"/>
        <color rgb="FF000000"/>
        <rFont val="Calibri"/>
      </rPr>
      <t xml:space="preserve">14. Select the test button to ensure all configurations provided function correctly. </t>
    </r>
    <r>
      <rPr>
        <sz val="11"/>
        <color rgb="FF000000"/>
        <rFont val="Calibri"/>
      </rPr>
      <t xml:space="preserve">
</t>
    </r>
    <r>
      <rPr>
        <sz val="11"/>
        <color rgb="FF000000"/>
        <rFont val="Calibri"/>
      </rPr>
      <t>15. Select OK.</t>
    </r>
    <r>
      <rPr>
        <sz val="11"/>
        <color rgb="FF000000"/>
        <rFont val="Calibri"/>
      </rPr>
      <t xml:space="preserve">
</t>
    </r>
    <r>
      <rPr>
        <sz val="11"/>
        <color rgb="FF000000"/>
        <rFont val="Calibri"/>
      </rPr>
      <t xml:space="preserve">IV. Enable OCSP revocation checking: </t>
    </r>
    <r>
      <rPr>
        <sz val="11"/>
        <color rgb="FF000000"/>
        <rFont val="Calibri"/>
      </rPr>
      <t xml:space="preserve">
</t>
    </r>
    <r>
      <rPr>
        <sz val="11"/>
        <color rgb="FF000000"/>
        <rFont val="Calibri"/>
      </rPr>
      <t xml:space="preserve">1. Under OCSP Settings, navigate to Certificate Management and Revocation &gt;&gt; New &gt;&gt; Certificate Authority. </t>
    </r>
    <r>
      <rPr>
        <sz val="11"/>
        <color rgb="FF000000"/>
        <rFont val="Calibri"/>
      </rPr>
      <t xml:space="preserve">
</t>
    </r>
    <r>
      <rPr>
        <sz val="11"/>
        <color rgb="FF000000"/>
        <rFont val="Calibri"/>
      </rPr>
      <t>2. Type the full OCSP URI (e.g. http://ocsp.disa.mil).</t>
    </r>
    <r>
      <rPr>
        <sz val="11"/>
        <color rgb="FF000000"/>
        <rFont val="Calibri"/>
      </rPr>
      <t xml:space="preserve">
</t>
    </r>
    <r>
      <rPr>
        <sz val="11"/>
        <color rgb="FF000000"/>
        <rFont val="Calibri"/>
      </rPr>
      <t>3. Repeat this step for all CA certificates in the CAC trust chain.</t>
    </r>
    <r>
      <rPr>
        <sz val="11"/>
        <color rgb="FF000000"/>
        <rFont val="Calibri"/>
      </rPr>
      <t xml:space="preserve">
</t>
    </r>
    <r>
      <rPr>
        <sz val="11"/>
        <color rgb="FF000000"/>
        <rFont val="Calibri"/>
      </rPr>
      <t>4. Optionally, to add a CRL click New under Certificate Revocation Lists.</t>
    </r>
    <r>
      <rPr>
        <sz val="11"/>
        <color rgb="FF000000"/>
        <rFont val="Calibri"/>
      </rPr>
      <t xml:space="preserve">
</t>
    </r>
    <r>
      <rPr>
        <sz val="11"/>
        <color rgb="FF000000"/>
        <rFont val="Calibri"/>
      </rPr>
      <t xml:space="preserve">5. Select the Certificate Authority. </t>
    </r>
    <r>
      <rPr>
        <sz val="11"/>
        <color rgb="FF000000"/>
        <rFont val="Calibri"/>
      </rPr>
      <t xml:space="preserve">
</t>
    </r>
    <r>
      <rPr>
        <sz val="11"/>
        <color rgb="FF000000"/>
        <rFont val="Calibri"/>
      </rPr>
      <t>6. Type the full CRL path including to the specific CRL file (e.g. http://crl.disa.mil/certificate.crl).</t>
    </r>
    <r>
      <rPr>
        <sz val="11"/>
        <color rgb="FF000000"/>
        <rFont val="Calibri"/>
      </rPr>
      <t xml:space="preserve">
</t>
    </r>
    <r>
      <rPr>
        <sz val="11"/>
        <color rgb="FF000000"/>
        <rFont val="Calibri"/>
      </rPr>
      <t xml:space="preserve">V. Enable CAC authentication/LDAPS authorization: </t>
    </r>
    <r>
      <rPr>
        <sz val="11"/>
        <color rgb="FF000000"/>
        <rFont val="Calibri"/>
      </rPr>
      <t xml:space="preserve">
</t>
    </r>
    <r>
      <rPr>
        <sz val="11"/>
        <color rgb="FF000000"/>
        <rFont val="Calibri"/>
      </rPr>
      <t>1. Navigate to Admin &gt;&gt; Authentication and Groups &gt;&gt; Edit.</t>
    </r>
    <r>
      <rPr>
        <sz val="11"/>
        <color rgb="FF000000"/>
        <rFont val="Calibri"/>
      </rPr>
      <t xml:space="preserve">
</t>
    </r>
    <r>
      <rPr>
        <sz val="11"/>
        <color rgb="FF000000"/>
        <rFont val="Calibri"/>
      </rPr>
      <t xml:space="preserve">2. Click Use CAC Authentication (ensure the local emergency user account is checked for local access in case of emergency troubleshooting). </t>
    </r>
    <r>
      <rPr>
        <sz val="11"/>
        <color rgb="FF000000"/>
        <rFont val="Calibri"/>
      </rPr>
      <t xml:space="preserve">
</t>
    </r>
    <r>
      <rPr>
        <sz val="11"/>
        <color rgb="FF000000"/>
        <rFont val="Calibri"/>
      </rPr>
      <t xml:space="preserve">3. Select OK. </t>
    </r>
    <r>
      <rPr>
        <sz val="11"/>
        <color rgb="FF000000"/>
        <rFont val="Calibri"/>
      </rPr>
      <t xml:space="preserve">
</t>
    </r>
    <r>
      <rPr>
        <sz val="11"/>
        <color rgb="FF000000"/>
        <rFont val="Calibri"/>
      </rPr>
      <t>4. Close the SMS client.</t>
    </r>
    <r>
      <rPr>
        <sz val="11"/>
        <color rgb="FF000000"/>
        <rFont val="Calibri"/>
      </rPr>
      <t xml:space="preserve">
</t>
    </r>
    <r>
      <rPr>
        <sz val="11"/>
        <color rgb="FF000000"/>
        <rFont val="Calibri"/>
      </rPr>
      <t xml:space="preserve">VI. Test CAC authentication: </t>
    </r>
    <r>
      <rPr>
        <sz val="11"/>
        <color rgb="FF000000"/>
        <rFont val="Calibri"/>
      </rPr>
      <t xml:space="preserve">
</t>
    </r>
    <r>
      <rPr>
        <sz val="11"/>
        <color rgb="FF000000"/>
        <rFont val="Calibri"/>
      </rPr>
      <t xml:space="preserve">1. Ensure one other smartcard reader is enabled in the device manager of the computer you are using. </t>
    </r>
    <r>
      <rPr>
        <sz val="11"/>
        <color rgb="FF000000"/>
        <rFont val="Calibri"/>
      </rPr>
      <t xml:space="preserve">
</t>
    </r>
    <r>
      <rPr>
        <sz val="11"/>
        <color rgb="FF000000"/>
        <rFont val="Calibri"/>
      </rPr>
      <t xml:space="preserve">2. Open the SMS client. </t>
    </r>
    <r>
      <rPr>
        <sz val="11"/>
        <color rgb="FF000000"/>
        <rFont val="Calibri"/>
      </rPr>
      <t xml:space="preserve">
</t>
    </r>
    <r>
      <rPr>
        <sz val="11"/>
        <color rgb="FF000000"/>
        <rFont val="Calibri"/>
      </rPr>
      <t>3. Type the hostname/IP of the SMS server.</t>
    </r>
    <r>
      <rPr>
        <sz val="11"/>
        <color rgb="FF000000"/>
        <rFont val="Calibri"/>
      </rPr>
      <t xml:space="preserve">
</t>
    </r>
    <r>
      <rPr>
        <sz val="11"/>
        <color rgb="FF000000"/>
        <rFont val="Calibri"/>
      </rPr>
      <t xml:space="preserve">4. Ensuring the CAC/admin token is inserted in the reader, type the PIN of the CAC. </t>
    </r>
    <r>
      <rPr>
        <sz val="11"/>
        <color rgb="FF000000"/>
        <rFont val="Calibri"/>
      </rPr>
      <t xml:space="preserve">
</t>
    </r>
    <r>
      <rPr>
        <sz val="11"/>
        <color rgb="FF000000"/>
        <rFont val="Calibri"/>
      </rPr>
      <t>5. Select the certificate to use to login.</t>
    </r>
    <r>
      <rPr>
        <sz val="11"/>
        <color rgb="FF000000"/>
        <rFont val="Calibri"/>
      </rPr>
      <t xml:space="preserve">
</t>
    </r>
    <r>
      <rPr>
        <sz val="11"/>
        <color rgb="FF000000"/>
        <rFont val="Calibri"/>
      </rPr>
      <t xml:space="preserve">6. Select OK. </t>
    </r>
    <r>
      <rPr>
        <sz val="11"/>
        <color rgb="FF000000"/>
        <rFont val="Calibri"/>
      </rPr>
      <t xml:space="preserve">
</t>
    </r>
    <r>
      <rPr>
        <sz val="11"/>
        <color rgb="FF000000"/>
        <rFont val="Calibri"/>
      </rPr>
      <t>7. User should be taken to the dashboard and configuration area of the SMS.</t>
    </r>
    <r>
      <rPr>
        <sz val="11"/>
        <color rgb="FF000000"/>
        <rFont val="Calibri"/>
      </rPr>
      <t xml:space="preserve">
</t>
    </r>
    <r>
      <rPr>
        <sz val="11"/>
        <color rgb="FF000000"/>
        <rFont val="Calibri"/>
      </rPr>
      <t xml:space="preserve">VII. Troubleshooting: </t>
    </r>
    <r>
      <rPr>
        <sz val="11"/>
        <color rgb="FF000000"/>
        <rFont val="Calibri"/>
      </rPr>
      <t xml:space="preserve">
</t>
    </r>
    <r>
      <rPr>
        <sz val="11"/>
        <color rgb="FF000000"/>
        <rFont val="Calibri"/>
      </rPr>
      <t xml:space="preserve">1. If you receive errors logging in with CAC go to the serial console of the SMS server. </t>
    </r>
    <r>
      <rPr>
        <sz val="11"/>
        <color rgb="FF000000"/>
        <rFont val="Calibri"/>
      </rPr>
      <t xml:space="preserve">
</t>
    </r>
    <r>
      <rPr>
        <sz val="11"/>
        <color rgb="FF000000"/>
        <rFont val="Calibri"/>
      </rPr>
      <t xml:space="preserve">2. Login with the local account of last resort. </t>
    </r>
    <r>
      <rPr>
        <sz val="11"/>
        <color rgb="FF000000"/>
        <rFont val="Calibri"/>
      </rPr>
      <t xml:space="preserve">
</t>
    </r>
    <r>
      <rPr>
        <sz val="11"/>
        <color rgb="FF000000"/>
        <rFont val="Calibri"/>
      </rPr>
      <t>3. Type the command "set cac.disable = yes" - this will give your local admin login access to the SMS client to troubleshoot any configuration errors.</t>
    </r>
  </si>
  <si>
    <r>
      <rPr>
        <sz val="11"/>
        <color rgb="FF000000"/>
        <rFont val="Calibri"/>
      </rPr>
      <t xml:space="preserve">Failure to provide logical access restrictions associated with changes to device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device can potentially have significant effects on the overall security of the device. </t>
    </r>
    <r>
      <rPr>
        <sz val="11"/>
        <color rgb="FF000000"/>
        <rFont val="Calibri"/>
      </rPr>
      <t xml:space="preserve">
</t>
    </r>
    <r>
      <rPr>
        <sz val="11"/>
        <color rgb="FF000000"/>
        <rFont val="Calibri"/>
      </rPr>
      <t xml:space="preserve">Accordingly, only qualified and authorized individuals should be allowed to obtain access to device components for the purposes of initiating changes, including upgrades and modifications. </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</si>
  <si>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In the Trend Micro TippingPoint system, ensure the SMS client is using CAC authentication and LDAPS authorization.</t>
    </r>
    <r>
      <rPr>
        <sz val="11"/>
        <color rgb="FF000000"/>
        <rFont val="Calibri"/>
      </rPr>
      <t xml:space="preserve">
</t>
    </r>
    <r>
      <rPr>
        <sz val="11"/>
        <color rgb="FF000000"/>
        <rFont val="Calibri"/>
      </rPr>
      <t xml:space="preserve">1. Log in to the SMS client. </t>
    </r>
    <r>
      <rPr>
        <sz val="11"/>
        <color rgb="FF000000"/>
        <rFont val="Calibri"/>
      </rPr>
      <t xml:space="preserve">
</t>
    </r>
    <r>
      <rPr>
        <sz val="11"/>
        <color rgb="FF000000"/>
        <rFont val="Calibri"/>
      </rPr>
      <t xml:space="preserve">2. Navigate to Authentication and Authorization &gt;&gt; Authentication. </t>
    </r>
    <r>
      <rPr>
        <sz val="11"/>
        <color rgb="FF000000"/>
        <rFont val="Calibri"/>
      </rPr>
      <t xml:space="preserve">
</t>
    </r>
    <r>
      <rPr>
        <sz val="11"/>
        <color rgb="FF000000"/>
        <rFont val="Calibri"/>
      </rPr>
      <t>If "Use CAC authentication" is not selected, this is a finding.</t>
    </r>
  </si>
  <si>
    <t>V-242249</t>
  </si>
  <si>
    <r>
      <rPr>
        <sz val="11"/>
        <rFont val="Calibri"/>
      </rPr>
      <t>The TippingPoint SMS must be configured to authenticate SNMP messages using a FIPS-validated Keyed-Hash Message Authentication Code (HMAC).</t>
    </r>
  </si>
  <si>
    <r>
      <rPr>
        <sz val="11"/>
        <color rgb="FF000000"/>
        <rFont val="Calibri"/>
      </rPr>
      <t>In the SMS client, ensure a SNMPv3 trap destination is configured.</t>
    </r>
    <r>
      <rPr>
        <sz val="11"/>
        <color rgb="FF000000"/>
        <rFont val="Calibri"/>
      </rPr>
      <t xml:space="preserve">
</t>
    </r>
    <r>
      <rPr>
        <sz val="11"/>
        <color rgb="FF000000"/>
        <rFont val="Calibri"/>
      </rPr>
      <t>1. Select Admin and Server Properties.</t>
    </r>
    <r>
      <rPr>
        <sz val="11"/>
        <color rgb="FF000000"/>
        <rFont val="Calibri"/>
      </rPr>
      <t xml:space="preserve">
</t>
    </r>
    <r>
      <rPr>
        <sz val="11"/>
        <color rgb="FF000000"/>
        <rFont val="Calibri"/>
      </rPr>
      <t>2. Select SNMP.</t>
    </r>
    <r>
      <rPr>
        <sz val="11"/>
        <color rgb="FF000000"/>
        <rFont val="Calibri"/>
      </rPr>
      <t xml:space="preserve">
</t>
    </r>
    <r>
      <rPr>
        <sz val="11"/>
        <color rgb="FF000000"/>
        <rFont val="Calibri"/>
      </rPr>
      <t>3. Click Add.</t>
    </r>
    <r>
      <rPr>
        <sz val="11"/>
        <color rgb="FF000000"/>
        <rFont val="Calibri"/>
      </rPr>
      <t xml:space="preserve">
</t>
    </r>
    <r>
      <rPr>
        <sz val="11"/>
        <color rgb="FF000000"/>
        <rFont val="Calibri"/>
      </rPr>
      <t>4. Enter the IPv4 or IPv6 address, Version 3, with the username, and authPriv keys configured that match the site's required attributes. The authentication must at least be SHA1 and the privacy must be at least AES 128.</t>
    </r>
    <r>
      <rPr>
        <sz val="11"/>
        <color rgb="FF000000"/>
        <rFont val="Calibri"/>
      </rPr>
      <t xml:space="preserve">
</t>
    </r>
    <r>
      <rPr>
        <sz val="11"/>
        <color rgb="FF000000"/>
        <rFont val="Calibri"/>
      </rPr>
      <t xml:space="preserve">5. Select edit under the SNMP tab. </t>
    </r>
    <r>
      <rPr>
        <sz val="11"/>
        <color rgb="FF000000"/>
        <rFont val="Calibri"/>
      </rPr>
      <t xml:space="preserve">
</t>
    </r>
    <r>
      <rPr>
        <sz val="11"/>
        <color rgb="FF000000"/>
        <rFont val="Calibri"/>
      </rPr>
      <t>6. Check enable SNMP requests.</t>
    </r>
    <r>
      <rPr>
        <sz val="11"/>
        <color rgb="FF000000"/>
        <rFont val="Calibri"/>
      </rPr>
      <t xml:space="preserve">
</t>
    </r>
    <r>
      <rPr>
        <sz val="11"/>
        <color rgb="FF000000"/>
        <rFont val="Calibri"/>
      </rPr>
      <t>7. Select only v3.</t>
    </r>
    <r>
      <rPr>
        <sz val="11"/>
        <color rgb="FF000000"/>
        <rFont val="Calibri"/>
      </rPr>
      <t xml:space="preserve">
</t>
    </r>
    <r>
      <rPr>
        <sz val="11"/>
        <color rgb="FF000000"/>
        <rFont val="Calibri"/>
      </rPr>
      <t xml:space="preserve">8. Enter the username and the authentication and privacy keys. The authentication must at least be SHA1 and the privacy must be at least AES 128. </t>
    </r>
    <r>
      <rPr>
        <sz val="11"/>
        <color rgb="FF000000"/>
        <rFont val="Calibri"/>
      </rPr>
      <t xml:space="preserve">
</t>
    </r>
    <r>
      <rPr>
        <sz val="11"/>
        <color rgb="FF000000"/>
        <rFont val="Calibri"/>
      </rPr>
      <t>9. Select OK.</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</si>
  <si>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only apply the requirement to those limited number (and type) of devices that truly need to support this capability.</t>
    </r>
  </si>
  <si>
    <r>
      <rPr>
        <sz val="11"/>
        <color rgb="FF000000"/>
        <rFont val="Calibri"/>
      </rPr>
      <t>In the SMS client, ensure a SNMPv3 trap destination and SNMPv3 Requests are configured.</t>
    </r>
    <r>
      <rPr>
        <sz val="11"/>
        <color rgb="FF000000"/>
        <rFont val="Calibri"/>
      </rPr>
      <t xml:space="preserve">
</t>
    </r>
    <r>
      <rPr>
        <sz val="11"/>
        <color rgb="FF000000"/>
        <rFont val="Calibri"/>
      </rPr>
      <t>1. Select Admin and Server Properties.</t>
    </r>
    <r>
      <rPr>
        <sz val="11"/>
        <color rgb="FF000000"/>
        <rFont val="Calibri"/>
      </rPr>
      <t xml:space="preserve">
</t>
    </r>
    <r>
      <rPr>
        <sz val="11"/>
        <color rgb="FF000000"/>
        <rFont val="Calibri"/>
      </rPr>
      <t>2. Select SNMP.</t>
    </r>
    <r>
      <rPr>
        <sz val="11"/>
        <color rgb="FF000000"/>
        <rFont val="Calibri"/>
      </rPr>
      <t xml:space="preserve">
</t>
    </r>
    <r>
      <rPr>
        <sz val="11"/>
        <color rgb="FF000000"/>
        <rFont val="Calibri"/>
      </rPr>
      <t>If an NMS Trap Destination is not configured, or if SNMPv3 requests are not configured, or if the SNMPv3 protocol does not use as least AES-128 for privacy and SHA1 for authentication, then this is a finding.</t>
    </r>
  </si>
  <si>
    <t>V-242250</t>
  </si>
  <si>
    <r>
      <rPr>
        <sz val="11"/>
        <rFont val="Calibri"/>
      </rPr>
      <t>The TippingPoint SMS must authenticate Network Time Protocol sources using authentication that is cryptographically based.</t>
    </r>
  </si>
  <si>
    <r>
      <rPr>
        <sz val="11"/>
        <color rgb="FF000000"/>
        <rFont val="Calibri"/>
      </rPr>
      <t>In the SMS client, ensure NTP authentication is enabled.</t>
    </r>
    <r>
      <rPr>
        <sz val="11"/>
        <color rgb="FF000000"/>
        <rFont val="Calibri"/>
      </rPr>
      <t xml:space="preserve">
</t>
    </r>
    <r>
      <rPr>
        <sz val="11"/>
        <color rgb="FF000000"/>
        <rFont val="Calibri"/>
      </rPr>
      <t>1. Log in to the serial console or ESXi virtual console.</t>
    </r>
    <r>
      <rPr>
        <sz val="11"/>
        <color rgb="FF000000"/>
        <rFont val="Calibri"/>
      </rPr>
      <t xml:space="preserve">
</t>
    </r>
    <r>
      <rPr>
        <sz val="11"/>
        <color rgb="FF000000"/>
        <rFont val="Calibri"/>
      </rPr>
      <t>2. Run the command ntp-auth.</t>
    </r>
    <r>
      <rPr>
        <sz val="11"/>
        <color rgb="FF000000"/>
        <rFont val="Calibri"/>
      </rPr>
      <t xml:space="preserve">
</t>
    </r>
    <r>
      <rPr>
        <sz val="11"/>
        <color rgb="FF000000"/>
        <rFont val="Calibri"/>
      </rPr>
      <t>3. Select "Y" to change the NTP Authentication settings.</t>
    </r>
    <r>
      <rPr>
        <sz val="11"/>
        <color rgb="FF000000"/>
        <rFont val="Calibri"/>
      </rPr>
      <t xml:space="preserve">
</t>
    </r>
    <r>
      <rPr>
        <sz val="11"/>
        <color rgb="FF000000"/>
        <rFont val="Calibri"/>
      </rPr>
      <t>4. Select “A”, enter a key ID.</t>
    </r>
    <r>
      <rPr>
        <sz val="11"/>
        <color rgb="FF000000"/>
        <rFont val="Calibri"/>
      </rPr>
      <t xml:space="preserve">
</t>
    </r>
    <r>
      <rPr>
        <sz val="11"/>
        <color rgb="FF000000"/>
        <rFont val="Calibri"/>
      </rPr>
      <t>5. Select "V" to add the key value.</t>
    </r>
    <r>
      <rPr>
        <sz val="11"/>
        <color rgb="FF000000"/>
        <rFont val="Calibri"/>
      </rPr>
      <t xml:space="preserve">
</t>
    </r>
    <r>
      <rPr>
        <sz val="11"/>
        <color rgb="FF000000"/>
        <rFont val="Calibri"/>
      </rPr>
      <t>6. Select "T" and ensure SHA1 is added.</t>
    </r>
    <r>
      <rPr>
        <sz val="11"/>
        <color rgb="FF000000"/>
        <rFont val="Calibri"/>
      </rPr>
      <t xml:space="preserve">
</t>
    </r>
    <r>
      <rPr>
        <sz val="11"/>
        <color rgb="FF000000"/>
        <rFont val="Calibri"/>
      </rPr>
      <t>7. Select "K" and enter the key ID number.</t>
    </r>
    <r>
      <rPr>
        <sz val="11"/>
        <color rgb="FF000000"/>
        <rFont val="Calibri"/>
      </rPr>
      <t xml:space="preserve">
</t>
    </r>
    <r>
      <rPr>
        <sz val="11"/>
        <color rgb="FF000000"/>
        <rFont val="Calibri"/>
      </rPr>
      <t>8. Select "U" and "E" for enable for client and server authentication.</t>
    </r>
  </si>
  <si>
    <r>
      <rPr>
        <sz val="11"/>
        <color rgb="FF000000"/>
        <rFont val="Calibri"/>
      </rPr>
      <t>In the SMS client, ensure NTP authentication is enabled.</t>
    </r>
    <r>
      <rPr>
        <sz val="11"/>
        <color rgb="FF000000"/>
        <rFont val="Calibri"/>
      </rPr>
      <t xml:space="preserve">
</t>
    </r>
    <r>
      <rPr>
        <sz val="11"/>
        <color rgb="FF000000"/>
        <rFont val="Calibri"/>
      </rPr>
      <t>1. Log in to the serial console or ESXi virtual console.</t>
    </r>
    <r>
      <rPr>
        <sz val="11"/>
        <color rgb="FF000000"/>
        <rFont val="Calibri"/>
      </rPr>
      <t xml:space="preserve">
</t>
    </r>
    <r>
      <rPr>
        <sz val="11"/>
        <color rgb="FF000000"/>
        <rFont val="Calibri"/>
      </rPr>
      <t>2. Run the command ntp-auth.</t>
    </r>
    <r>
      <rPr>
        <sz val="11"/>
        <color rgb="FF000000"/>
        <rFont val="Calibri"/>
      </rPr>
      <t xml:space="preserve">
</t>
    </r>
    <r>
      <rPr>
        <sz val="11"/>
        <color rgb="FF000000"/>
        <rFont val="Calibri"/>
      </rPr>
      <t>If NTP auth is not enabled for client and server, this is a finding.</t>
    </r>
  </si>
  <si>
    <t>V-242251</t>
  </si>
  <si>
    <r>
      <rPr>
        <sz val="11"/>
        <rFont val="Calibri"/>
      </rPr>
      <t>The TippingPoint TPS must have FIPS mode enforced.</t>
    </r>
  </si>
  <si>
    <r>
      <rPr>
        <sz val="11"/>
        <color rgb="FF000000"/>
        <rFont val="Calibri"/>
      </rPr>
      <t>Enable the SMS FIPS Mode:</t>
    </r>
    <r>
      <rPr>
        <sz val="11"/>
        <color rgb="FF000000"/>
        <rFont val="Calibri"/>
      </rPr>
      <t xml:space="preserve">
</t>
    </r>
    <r>
      <rPr>
        <sz val="11"/>
        <color rgb="FF000000"/>
        <rFont val="Calibri"/>
      </rPr>
      <t>1. Click Admin and Management.</t>
    </r>
    <r>
      <rPr>
        <sz val="11"/>
        <color rgb="FF000000"/>
        <rFont val="Calibri"/>
      </rPr>
      <t xml:space="preserve">
</t>
    </r>
    <r>
      <rPr>
        <sz val="11"/>
        <color rgb="FF000000"/>
        <rFont val="Calibri"/>
      </rPr>
      <t>2. Click Enable FIPS Mode by selecting Edit. This must be done in an approved change window since the SMS will reboot.</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</si>
  <si>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t>
    </r>
    <r>
      <rPr>
        <sz val="11"/>
        <color rgb="FF000000"/>
        <rFont val="Calibri"/>
      </rPr>
      <t xml:space="preserve">
</t>
    </r>
    <r>
      <rPr>
        <sz val="11"/>
        <color rgb="FF000000"/>
        <rFont val="Calibri"/>
      </rPr>
      <t>Currently, HMAC is the only FIPS-approved algorithm for generating and verifying message/data authentication codes in accordance with FIPS 198-1. Products that are FIPS 140-2 validated will have an HMAC that meets specification; however, the option must be configured for use as the only message authentication code used for authentication to cryptographic modules.</t>
    </r>
    <r>
      <rPr>
        <sz val="11"/>
        <color rgb="FF000000"/>
        <rFont val="Calibri"/>
      </rPr>
      <t xml:space="preserve">
</t>
    </r>
    <r>
      <rPr>
        <sz val="11"/>
        <color rgb="FF000000"/>
        <rFont val="Calibri"/>
      </rPr>
      <t>Satisfies: SRG-APP-000411-NDM-000330, SRG-APP-000412-NDM-000331</t>
    </r>
  </si>
  <si>
    <r>
      <rPr>
        <sz val="11"/>
        <color rgb="FF000000"/>
        <rFont val="Calibri"/>
      </rPr>
      <t>In the SMS client:</t>
    </r>
    <r>
      <rPr>
        <sz val="11"/>
        <color rgb="FF000000"/>
        <rFont val="Calibri"/>
      </rPr>
      <t xml:space="preserve">
</t>
    </r>
    <r>
      <rPr>
        <sz val="11"/>
        <color rgb="FF000000"/>
        <rFont val="Calibri"/>
      </rPr>
      <t>1. Click Admin and Management.</t>
    </r>
    <r>
      <rPr>
        <sz val="11"/>
        <color rgb="FF000000"/>
        <rFont val="Calibri"/>
      </rPr>
      <t xml:space="preserve">
</t>
    </r>
    <r>
      <rPr>
        <sz val="11"/>
        <color rgb="FF000000"/>
        <rFont val="Calibri"/>
      </rPr>
      <t xml:space="preserve">2. Ensure the SMS is in FIPS Mode. </t>
    </r>
    <r>
      <rPr>
        <sz val="11"/>
        <color rgb="FF000000"/>
        <rFont val="Calibri"/>
      </rPr>
      <t xml:space="preserve">
</t>
    </r>
    <r>
      <rPr>
        <sz val="11"/>
        <color rgb="FF000000"/>
        <rFont val="Calibri"/>
      </rPr>
      <t>If the SMS is not in FIPS mode, this is a finding.</t>
    </r>
  </si>
  <si>
    <t>V-242252</t>
  </si>
  <si>
    <r>
      <rPr>
        <sz val="11"/>
        <rFont val="Calibri"/>
      </rPr>
      <t>The TippingPoint SMS must be configured to protect against known types of denial-of-service (DoS) attacks by employing organization-defined security safeguards.</t>
    </r>
  </si>
  <si>
    <r>
      <rPr>
        <sz val="11"/>
        <color rgb="FF000000"/>
        <rFont val="Calibri"/>
      </rPr>
      <t>In the SMS client, ensure the SMS and TPS have DoS protections enabled.</t>
    </r>
    <r>
      <rPr>
        <sz val="11"/>
        <color rgb="FF000000"/>
        <rFont val="Calibri"/>
      </rPr>
      <t xml:space="preserve">
</t>
    </r>
    <r>
      <rPr>
        <sz val="11"/>
        <color rgb="FF000000"/>
        <rFont val="Calibri"/>
      </rPr>
      <t>1. Navigate to Devices and select the SMS hostname.</t>
    </r>
    <r>
      <rPr>
        <sz val="11"/>
        <color rgb="FF000000"/>
        <rFont val="Calibri"/>
      </rPr>
      <t xml:space="preserve">
</t>
    </r>
    <r>
      <rPr>
        <sz val="11"/>
        <color rgb="FF000000"/>
        <rFont val="Calibri"/>
      </rPr>
      <t xml:space="preserve">2. Select Device Configuration &gt;&gt; Select Host IP filters. </t>
    </r>
    <r>
      <rPr>
        <sz val="11"/>
        <color rgb="FF000000"/>
        <rFont val="Calibri"/>
      </rPr>
      <t xml:space="preserve">
</t>
    </r>
    <r>
      <rPr>
        <sz val="11"/>
        <color rgb="FF000000"/>
        <rFont val="Calibri"/>
      </rPr>
      <t xml:space="preserve">3. Add each allowed management subnet. </t>
    </r>
    <r>
      <rPr>
        <sz val="11"/>
        <color rgb="FF000000"/>
        <rFont val="Calibri"/>
      </rPr>
      <t xml:space="preserve">
</t>
    </r>
    <r>
      <rPr>
        <sz val="11"/>
        <color rgb="FF000000"/>
        <rFont val="Calibri"/>
      </rPr>
      <t xml:space="preserve">4. Select Deny as the default action and click OK. </t>
    </r>
    <r>
      <rPr>
        <sz val="11"/>
        <color rgb="FF000000"/>
        <rFont val="Calibri"/>
      </rPr>
      <t xml:space="preserve">
</t>
    </r>
    <r>
      <rPr>
        <sz val="11"/>
        <color rgb="FF000000"/>
        <rFont val="Calibri"/>
      </rPr>
      <t>5. Select OK.</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</si>
  <si>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network devices to mitigate the impact of DoS attacks that have occurred or are ongoing on device availability. For each network device, known and potential DoS attacks must be identified and solutions for each type implemented. A variety of technologies exist to limit or, in some cases, eliminate the effects of DoS attacks (e.g., limiting processes or restricting the number of sessions the device opens at one time). Employing increased capacity and bandwidth, combined with service redundancy, may reduce the susceptibility to some DoS attacks.</t>
    </r>
    <r>
      <rPr>
        <sz val="11"/>
        <color rgb="FF000000"/>
        <rFont val="Calibri"/>
      </rPr>
      <t xml:space="preserve">
</t>
    </r>
    <r>
      <rPr>
        <sz val="11"/>
        <color rgb="FF000000"/>
        <rFont val="Calibri"/>
      </rPr>
      <t>The security safeguards cannot be defined at the DoD level because they vary according to the capabilities of the individual network devices and the security controls applied on the adjacent networks (for example, firewalls performing packet filtering to block DoS attacks).</t>
    </r>
  </si>
  <si>
    <r>
      <rPr>
        <sz val="11"/>
        <color rgb="FF000000"/>
        <rFont val="Calibri"/>
      </rPr>
      <t>In the SMS client, verify the SMS and TPS have DoS protections enabled.</t>
    </r>
    <r>
      <rPr>
        <sz val="11"/>
        <color rgb="FF000000"/>
        <rFont val="Calibri"/>
      </rPr>
      <t xml:space="preserve">
</t>
    </r>
    <r>
      <rPr>
        <sz val="11"/>
        <color rgb="FF000000"/>
        <rFont val="Calibri"/>
      </rPr>
      <t>1. Navigate to Devices and select the SMS hostname.</t>
    </r>
    <r>
      <rPr>
        <sz val="11"/>
        <color rgb="FF000000"/>
        <rFont val="Calibri"/>
      </rPr>
      <t xml:space="preserve">
</t>
    </r>
    <r>
      <rPr>
        <sz val="11"/>
        <color rgb="FF000000"/>
        <rFont val="Calibri"/>
      </rPr>
      <t xml:space="preserve">2. Select Device Configuration &gt;&gt; Select Host IP filters. </t>
    </r>
    <r>
      <rPr>
        <sz val="11"/>
        <color rgb="FF000000"/>
        <rFont val="Calibri"/>
      </rPr>
      <t xml:space="preserve">
</t>
    </r>
    <r>
      <rPr>
        <sz val="11"/>
        <color rgb="FF000000"/>
        <rFont val="Calibri"/>
      </rPr>
      <t>If no filters exist or the default action is set to "allow", this is a finding.</t>
    </r>
  </si>
  <si>
    <t>V-242253</t>
  </si>
  <si>
    <r>
      <rPr>
        <sz val="11"/>
        <rFont val="Calibri"/>
      </rPr>
      <t>The TippingPoint SMS must generate audit records when successful/unsuccessful logon attempts occur.</t>
    </r>
  </si>
  <si>
    <r>
      <rPr>
        <sz val="11"/>
        <color rgb="FF000000"/>
        <rFont val="Calibri"/>
      </rPr>
      <t>In the SMS client, ensure the remote system is configured to generate all audit records.</t>
    </r>
    <r>
      <rPr>
        <sz val="11"/>
        <color rgb="FF000000"/>
        <rFont val="Calibri"/>
      </rPr>
      <t xml:space="preserve">
</t>
    </r>
    <r>
      <rPr>
        <sz val="11"/>
        <color rgb="FF000000"/>
        <rFont val="Calibri"/>
      </rPr>
      <t>1. Navigate to Admin &gt;&gt; Server properties &gt;&gt; Syslog &gt;&gt; New.</t>
    </r>
    <r>
      <rPr>
        <sz val="11"/>
        <color rgb="FF000000"/>
        <rFont val="Calibri"/>
      </rPr>
      <t xml:space="preserve">
</t>
    </r>
    <r>
      <rPr>
        <sz val="11"/>
        <color rgb="FF000000"/>
        <rFont val="Calibri"/>
      </rPr>
      <t>2. Click enable.</t>
    </r>
    <r>
      <rPr>
        <sz val="11"/>
        <color rgb="FF000000"/>
        <rFont val="Calibri"/>
      </rPr>
      <t xml:space="preserve">
</t>
    </r>
    <r>
      <rPr>
        <sz val="11"/>
        <color rgb="FF000000"/>
        <rFont val="Calibri"/>
      </rPr>
      <t>3. Click TCP (required for DoD).</t>
    </r>
    <r>
      <rPr>
        <sz val="11"/>
        <color rgb="FF000000"/>
        <rFont val="Calibri"/>
      </rPr>
      <t xml:space="preserve">
</t>
    </r>
    <r>
      <rPr>
        <sz val="11"/>
        <color rgb="FF000000"/>
        <rFont val="Calibri"/>
      </rPr>
      <t>4. Under Log Type, select "Device Audit".</t>
    </r>
    <r>
      <rPr>
        <sz val="11"/>
        <color rgb="FF000000"/>
        <rFont val="Calibri"/>
      </rPr>
      <t xml:space="preserve">
</t>
    </r>
    <r>
      <rPr>
        <sz val="11"/>
        <color rgb="FF000000"/>
        <rFont val="Calibri"/>
      </rPr>
      <t xml:space="preserve">5. Facility is "Log Audit". </t>
    </r>
    <r>
      <rPr>
        <sz val="11"/>
        <color rgb="FF000000"/>
        <rFont val="Calibri"/>
      </rPr>
      <t xml:space="preserve">
</t>
    </r>
    <r>
      <rPr>
        <sz val="11"/>
        <color rgb="FF000000"/>
        <rFont val="Calibri"/>
      </rPr>
      <t xml:space="preserve">6. Timestamp: SMS Current Time. </t>
    </r>
    <r>
      <rPr>
        <sz val="11"/>
        <color rgb="FF000000"/>
        <rFont val="Calibri"/>
      </rPr>
      <t xml:space="preserve">
</t>
    </r>
    <r>
      <rPr>
        <sz val="11"/>
        <color rgb="FF000000"/>
        <rFont val="Calibri"/>
      </rPr>
      <t xml:space="preserve">7. Check "Include SMS hostname in Header". </t>
    </r>
    <r>
      <rPr>
        <sz val="11"/>
        <color rgb="FF000000"/>
        <rFont val="Calibri"/>
      </rPr>
      <t xml:space="preserve">
</t>
    </r>
    <r>
      <rPr>
        <sz val="11"/>
        <color rgb="FF000000"/>
        <rFont val="Calibri"/>
      </rPr>
      <t xml:space="preserve">8. Click OK. </t>
    </r>
    <r>
      <rPr>
        <sz val="11"/>
        <color rgb="FF000000"/>
        <rFont val="Calibri"/>
      </rPr>
      <t xml:space="preserve">
</t>
    </r>
    <r>
      <rPr>
        <sz val="11"/>
        <color rgb="FF000000"/>
        <rFont val="Calibri"/>
      </rPr>
      <t>9. Repeat these steps for the following three other Log Types: Device System, SMS Audit, and SMS System.</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</si>
  <si>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network device (e.g., module or policy filter).</t>
    </r>
  </si>
  <si>
    <r>
      <rPr>
        <sz val="11"/>
        <color rgb="FF000000"/>
        <rFont val="Calibri"/>
      </rPr>
      <t xml:space="preserve">In the SMS client, ensure the remote system is configured to generate all audit records. </t>
    </r>
    <r>
      <rPr>
        <sz val="11"/>
        <color rgb="FF000000"/>
        <rFont val="Calibri"/>
      </rPr>
      <t xml:space="preserve">
</t>
    </r>
    <r>
      <rPr>
        <sz val="11"/>
        <color rgb="FF000000"/>
        <rFont val="Calibri"/>
      </rPr>
      <t xml:space="preserve">1. Navigate to Admin &gt;&gt; Server properties &gt;&gt; Syslog. </t>
    </r>
    <r>
      <rPr>
        <sz val="11"/>
        <color rgb="FF000000"/>
        <rFont val="Calibri"/>
      </rPr>
      <t xml:space="preserve">
</t>
    </r>
    <r>
      <rPr>
        <sz val="11"/>
        <color rgb="FF000000"/>
        <rFont val="Calibri"/>
      </rPr>
      <t>2. Verify the configuration enables TCP.</t>
    </r>
    <r>
      <rPr>
        <sz val="11"/>
        <color rgb="FF000000"/>
        <rFont val="Calibri"/>
      </rPr>
      <t xml:space="preserve">
</t>
    </r>
    <r>
      <rPr>
        <sz val="11"/>
        <color rgb="FF000000"/>
        <rFont val="Calibri"/>
      </rPr>
      <t>3. Verify Device Audit, Device System, SMS Audit, and SMS System log types are enabled and configured.</t>
    </r>
    <r>
      <rPr>
        <sz val="11"/>
        <color rgb="FF000000"/>
        <rFont val="Calibri"/>
      </rPr>
      <t xml:space="preserve">
</t>
    </r>
    <r>
      <rPr>
        <sz val="11"/>
        <color rgb="FF000000"/>
        <rFont val="Calibri"/>
      </rPr>
      <t>If syslog is not configured to use TCP or does not include the four log types, this is a finding.</t>
    </r>
  </si>
  <si>
    <t>V-242254</t>
  </si>
  <si>
    <r>
      <rPr>
        <sz val="11"/>
        <rFont val="Calibri"/>
      </rPr>
      <t>The TippingPoint SMS must be configured to use an authentication server for the purpose of authenticating users prior to granting administrative access and to enforce access restrictions.</t>
    </r>
  </si>
  <si>
    <r>
      <rPr>
        <sz val="11"/>
        <color rgb="FF000000"/>
        <rFont val="Calibri"/>
      </rPr>
      <t>Follow these configuration steps to enable CAC/LDAPS authentication and authorization to the Trend Micro TippingPoint SMS client. The Site's LDAPS/AD environment must be configured to audit all account actions.</t>
    </r>
    <r>
      <rPr>
        <sz val="11"/>
        <color rgb="FF000000"/>
        <rFont val="Calibri"/>
      </rPr>
      <t xml:space="preserve">
</t>
    </r>
    <r>
      <rPr>
        <sz val="11"/>
        <color rgb="FF000000"/>
        <rFont val="Calibri"/>
      </rPr>
      <t xml:space="preserve">I. Certificate Load Steps: </t>
    </r>
    <r>
      <rPr>
        <sz val="11"/>
        <color rgb="FF000000"/>
        <rFont val="Calibri"/>
      </rPr>
      <t xml:space="preserve">
</t>
    </r>
    <r>
      <rPr>
        <sz val="11"/>
        <color rgb="FF000000"/>
        <rFont val="Calibri"/>
      </rPr>
      <t xml:space="preserve">1. Log in to the SMS client. </t>
    </r>
    <r>
      <rPr>
        <sz val="11"/>
        <color rgb="FF000000"/>
        <rFont val="Calibri"/>
      </rPr>
      <t xml:space="preserve">
</t>
    </r>
    <r>
      <rPr>
        <sz val="11"/>
        <color rgb="FF000000"/>
        <rFont val="Calibri"/>
      </rPr>
      <t xml:space="preserve">2. Select certificate management. </t>
    </r>
    <r>
      <rPr>
        <sz val="11"/>
        <color rgb="FF000000"/>
        <rFont val="Calibri"/>
      </rPr>
      <t xml:space="preserve">
</t>
    </r>
    <r>
      <rPr>
        <sz val="11"/>
        <color rgb="FF000000"/>
        <rFont val="Calibri"/>
      </rPr>
      <t xml:space="preserve">3. Click CA certificates. </t>
    </r>
    <r>
      <rPr>
        <sz val="11"/>
        <color rgb="FF000000"/>
        <rFont val="Calibri"/>
      </rPr>
      <t xml:space="preserve">
</t>
    </r>
    <r>
      <rPr>
        <sz val="11"/>
        <color rgb="FF000000"/>
        <rFont val="Calibri"/>
      </rPr>
      <t xml:space="preserve">4. Select import. </t>
    </r>
    <r>
      <rPr>
        <sz val="11"/>
        <color rgb="FF000000"/>
        <rFont val="Calibri"/>
      </rPr>
      <t xml:space="preserve">
</t>
    </r>
    <r>
      <rPr>
        <sz val="11"/>
        <color rgb="FF000000"/>
        <rFont val="Calibri"/>
      </rPr>
      <t xml:space="preserve">5. Find the CA signing certificate bundle for the LDAPS servers on your machine. </t>
    </r>
    <r>
      <rPr>
        <sz val="11"/>
        <color rgb="FF000000"/>
        <rFont val="Calibri"/>
      </rPr>
      <t xml:space="preserve">
</t>
    </r>
    <r>
      <rPr>
        <sz val="11"/>
        <color rgb="FF000000"/>
        <rFont val="Calibri"/>
      </rPr>
      <t>6. Enter the name, then select browse to find the CA certificate.</t>
    </r>
    <r>
      <rPr>
        <sz val="11"/>
        <color rgb="FF000000"/>
        <rFont val="Calibri"/>
      </rPr>
      <t xml:space="preserve">
</t>
    </r>
    <r>
      <rPr>
        <sz val="11"/>
        <color rgb="FF000000"/>
        <rFont val="Calibri"/>
      </rPr>
      <t>7. Click OK.</t>
    </r>
    <r>
      <rPr>
        <sz val="11"/>
        <color rgb="FF000000"/>
        <rFont val="Calibri"/>
      </rPr>
      <t xml:space="preserve">
</t>
    </r>
    <r>
      <rPr>
        <sz val="11"/>
        <color rgb="FF000000"/>
        <rFont val="Calibri"/>
      </rPr>
      <t>8. Repeat steps for all other DOD Root and Intermediate CAs being used for the administrator’s admin-token/CACs.</t>
    </r>
    <r>
      <rPr>
        <sz val="11"/>
        <color rgb="FF000000"/>
        <rFont val="Calibri"/>
      </rPr>
      <t xml:space="preserve">
</t>
    </r>
    <r>
      <rPr>
        <sz val="11"/>
        <color rgb="FF000000"/>
        <rFont val="Calibri"/>
      </rPr>
      <t xml:space="preserve">II. LDAP Authorization configuration steps: </t>
    </r>
    <r>
      <rPr>
        <sz val="11"/>
        <color rgb="FF000000"/>
        <rFont val="Calibri"/>
      </rPr>
      <t xml:space="preserve">
</t>
    </r>
    <r>
      <rPr>
        <sz val="11"/>
        <color rgb="FF000000"/>
        <rFont val="Calibri"/>
      </rPr>
      <t>1. Click Authentication and Authorization.</t>
    </r>
    <r>
      <rPr>
        <sz val="11"/>
        <color rgb="FF000000"/>
        <rFont val="Calibri"/>
      </rPr>
      <t xml:space="preserve">
</t>
    </r>
    <r>
      <rPr>
        <sz val="11"/>
        <color rgb="FF000000"/>
        <rFont val="Calibri"/>
      </rPr>
      <t xml:space="preserve">2. Select Groups. </t>
    </r>
    <r>
      <rPr>
        <sz val="11"/>
        <color rgb="FF000000"/>
        <rFont val="Calibri"/>
      </rPr>
      <t xml:space="preserve">
</t>
    </r>
    <r>
      <rPr>
        <sz val="11"/>
        <color rgb="FF000000"/>
        <rFont val="Calibri"/>
      </rPr>
      <t>3. Click New.</t>
    </r>
    <r>
      <rPr>
        <sz val="11"/>
        <color rgb="FF000000"/>
        <rFont val="Calibri"/>
      </rPr>
      <t xml:space="preserve">
</t>
    </r>
    <r>
      <rPr>
        <sz val="11"/>
        <color rgb="FF000000"/>
        <rFont val="Calibri"/>
      </rPr>
      <t xml:space="preserve">4. Type the name of the LDAP group exactly as it appears as the CN in the active directory domain. </t>
    </r>
    <r>
      <rPr>
        <sz val="11"/>
        <color rgb="FF000000"/>
        <rFont val="Calibri"/>
      </rPr>
      <t xml:space="preserve">
</t>
    </r>
    <r>
      <rPr>
        <sz val="11"/>
        <color rgb="FF000000"/>
        <rFont val="Calibri"/>
      </rPr>
      <t xml:space="preserve">5. Add all site-specific details including which role to map superuser, admin, or operator. </t>
    </r>
    <r>
      <rPr>
        <sz val="11"/>
        <color rgb="FF000000"/>
        <rFont val="Calibri"/>
      </rPr>
      <t xml:space="preserve">
</t>
    </r>
    <r>
      <rPr>
        <sz val="11"/>
        <color rgb="FF000000"/>
        <rFont val="Calibri"/>
      </rPr>
      <t xml:space="preserve">6. Under Active Directory Group Mapping ensure the item "map this group to the same named group in active directory" is selected. </t>
    </r>
    <r>
      <rPr>
        <sz val="11"/>
        <color rgb="FF000000"/>
        <rFont val="Calibri"/>
      </rPr>
      <t xml:space="preserve">
</t>
    </r>
    <r>
      <rPr>
        <sz val="11"/>
        <color rgb="FF000000"/>
        <rFont val="Calibri"/>
      </rPr>
      <t>7. Select OK.</t>
    </r>
    <r>
      <rPr>
        <sz val="11"/>
        <color rgb="FF000000"/>
        <rFont val="Calibri"/>
      </rPr>
      <t xml:space="preserve">
</t>
    </r>
    <r>
      <rPr>
        <sz val="11"/>
        <color rgb="FF000000"/>
        <rFont val="Calibri"/>
      </rPr>
      <t xml:space="preserve">III. LDAPS Server configuration - ensure a DNS resolver has been configured in accordance with the admin guide, and this DNS resolver knows how to resolve the domain the SMS will log into: </t>
    </r>
    <r>
      <rPr>
        <sz val="11"/>
        <color rgb="FF000000"/>
        <rFont val="Calibri"/>
      </rPr>
      <t xml:space="preserve">
</t>
    </r>
    <r>
      <rPr>
        <sz val="11"/>
        <color rgb="FF000000"/>
        <rFont val="Calibri"/>
      </rPr>
      <t>1. Under Admin, click Authentication and CAC.</t>
    </r>
    <r>
      <rPr>
        <sz val="11"/>
        <color rgb="FF000000"/>
        <rFont val="Calibri"/>
      </rPr>
      <t xml:space="preserve">
</t>
    </r>
    <r>
      <rPr>
        <sz val="11"/>
        <color rgb="FF000000"/>
        <rFont val="Calibri"/>
      </rPr>
      <t xml:space="preserve">2. Click edit. </t>
    </r>
    <r>
      <rPr>
        <sz val="11"/>
        <color rgb="FF000000"/>
        <rFont val="Calibri"/>
      </rPr>
      <t xml:space="preserve">
</t>
    </r>
    <r>
      <rPr>
        <sz val="11"/>
        <color rgb="FF000000"/>
        <rFont val="Calibri"/>
      </rPr>
      <t>3. Enter the Server address: ensure it is the fully qualified domain name as the LDAPS certificate will likely have it.</t>
    </r>
    <r>
      <rPr>
        <sz val="11"/>
        <color rgb="FF000000"/>
        <rFont val="Calibri"/>
      </rPr>
      <t xml:space="preserve">
</t>
    </r>
    <r>
      <rPr>
        <sz val="11"/>
        <color rgb="FF000000"/>
        <rFont val="Calibri"/>
      </rPr>
      <t xml:space="preserve">4. Enable SSL: must be checked for LDAPS. </t>
    </r>
    <r>
      <rPr>
        <sz val="11"/>
        <color rgb="FF000000"/>
        <rFont val="Calibri"/>
      </rPr>
      <t xml:space="preserve">
</t>
    </r>
    <r>
      <rPr>
        <sz val="11"/>
        <color rgb="FF000000"/>
        <rFont val="Calibri"/>
      </rPr>
      <t xml:space="preserve">5. Current certificate: must be the intermediate root certificate/issuing CA certificate for the domain controllers - this is the CA certificate loaded in the first section. </t>
    </r>
    <r>
      <rPr>
        <sz val="11"/>
        <color rgb="FF000000"/>
        <rFont val="Calibri"/>
      </rPr>
      <t xml:space="preserve">
</t>
    </r>
    <r>
      <rPr>
        <sz val="11"/>
        <color rgb="FF000000"/>
        <rFont val="Calibri"/>
      </rPr>
      <t>6. Port: 636 (or if your DOD LDAPS port is different add this).</t>
    </r>
    <r>
      <rPr>
        <sz val="11"/>
        <color rgb="FF000000"/>
        <rFont val="Calibri"/>
      </rPr>
      <t xml:space="preserve">
</t>
    </r>
    <r>
      <rPr>
        <sz val="11"/>
        <color rgb="FF000000"/>
        <rFont val="Calibri"/>
      </rPr>
      <t>7. Timeout: 30 seconds is the default.</t>
    </r>
    <r>
      <rPr>
        <sz val="11"/>
        <color rgb="FF000000"/>
        <rFont val="Calibri"/>
      </rPr>
      <t xml:space="preserve">
</t>
    </r>
    <r>
      <rPr>
        <sz val="11"/>
        <color rgb="FF000000"/>
        <rFont val="Calibri"/>
      </rPr>
      <t>8. Admin name: this must be the account that has privileges to access the directory schema – format is username@domain.name.</t>
    </r>
    <r>
      <rPr>
        <sz val="11"/>
        <color rgb="FF000000"/>
        <rFont val="Calibri"/>
      </rPr>
      <t xml:space="preserve">
</t>
    </r>
    <r>
      <rPr>
        <sz val="11"/>
        <color rgb="FF000000"/>
        <rFont val="Calibri"/>
      </rPr>
      <t xml:space="preserve">9. Admin password: password of previous admin account. </t>
    </r>
    <r>
      <rPr>
        <sz val="11"/>
        <color rgb="FF000000"/>
        <rFont val="Calibri"/>
      </rPr>
      <t xml:space="preserve">
</t>
    </r>
    <r>
      <rPr>
        <sz val="11"/>
        <color rgb="FF000000"/>
        <rFont val="Calibri"/>
      </rPr>
      <t xml:space="preserve">10. User search base: this is the LDAP directory tree for the accounts that will be allowed. Example: ou=Trend Micro,dc=dod,dc=disa,dc=mil </t>
    </r>
    <r>
      <rPr>
        <sz val="11"/>
        <color rgb="FF000000"/>
        <rFont val="Calibri"/>
      </rPr>
      <t xml:space="preserve">
</t>
    </r>
    <r>
      <rPr>
        <sz val="11"/>
        <color rgb="FF000000"/>
        <rFont val="Calibri"/>
      </rPr>
      <t>11. User search attribute: normally in DOD this is userPrincipalName.</t>
    </r>
    <r>
      <rPr>
        <sz val="11"/>
        <color rgb="FF000000"/>
        <rFont val="Calibri"/>
      </rPr>
      <t xml:space="preserve">
</t>
    </r>
    <r>
      <rPr>
        <sz val="11"/>
        <color rgb="FF000000"/>
        <rFont val="Calibri"/>
      </rPr>
      <t>12. User display attribute: normally in DOD this is sAMAccountName.</t>
    </r>
    <r>
      <rPr>
        <sz val="11"/>
        <color rgb="FF000000"/>
        <rFont val="Calibri"/>
      </rPr>
      <t xml:space="preserve">
</t>
    </r>
    <r>
      <rPr>
        <sz val="11"/>
        <color rgb="FF000000"/>
        <rFont val="Calibri"/>
      </rPr>
      <t xml:space="preserve">13. Group search base: this is the LDAP directory tree for the groups that will be allowed. Example: ou=Trend Micro,dc=dod,dc=disa,dc=mil </t>
    </r>
    <r>
      <rPr>
        <sz val="11"/>
        <color rgb="FF000000"/>
        <rFont val="Calibri"/>
      </rPr>
      <t xml:space="preserve">
</t>
    </r>
    <r>
      <rPr>
        <sz val="11"/>
        <color rgb="FF000000"/>
        <rFont val="Calibri"/>
      </rPr>
      <t>14. Group name attribute: normally it is cn.</t>
    </r>
    <r>
      <rPr>
        <sz val="11"/>
        <color rgb="FF000000"/>
        <rFont val="Calibri"/>
      </rPr>
      <t xml:space="preserve">
</t>
    </r>
    <r>
      <rPr>
        <sz val="11"/>
        <color rgb="FF000000"/>
        <rFont val="Calibri"/>
      </rPr>
      <t xml:space="preserve">15. Select the test button to ensure all configurations provided function correctly. </t>
    </r>
    <r>
      <rPr>
        <sz val="11"/>
        <color rgb="FF000000"/>
        <rFont val="Calibri"/>
      </rPr>
      <t xml:space="preserve">
</t>
    </r>
    <r>
      <rPr>
        <sz val="11"/>
        <color rgb="FF000000"/>
        <rFont val="Calibri"/>
      </rPr>
      <t>16. Select OK.</t>
    </r>
    <r>
      <rPr>
        <sz val="11"/>
        <color rgb="FF000000"/>
        <rFont val="Calibri"/>
      </rPr>
      <t xml:space="preserve">
</t>
    </r>
    <r>
      <rPr>
        <sz val="11"/>
        <color rgb="FF000000"/>
        <rFont val="Calibri"/>
      </rPr>
      <t xml:space="preserve">IV. Enable OCSP revocation Checking: </t>
    </r>
    <r>
      <rPr>
        <sz val="11"/>
        <color rgb="FF000000"/>
        <rFont val="Calibri"/>
      </rPr>
      <t xml:space="preserve">
</t>
    </r>
    <r>
      <rPr>
        <sz val="11"/>
        <color rgb="FF000000"/>
        <rFont val="Calibri"/>
      </rPr>
      <t>1. Select Certificate Management and Revocation.</t>
    </r>
    <r>
      <rPr>
        <sz val="11"/>
        <color rgb="FF000000"/>
        <rFont val="Calibri"/>
      </rPr>
      <t xml:space="preserve">
</t>
    </r>
    <r>
      <rPr>
        <sz val="11"/>
        <color rgb="FF000000"/>
        <rFont val="Calibri"/>
      </rPr>
      <t>2. Click New under OCSP Settings.</t>
    </r>
    <r>
      <rPr>
        <sz val="11"/>
        <color rgb="FF000000"/>
        <rFont val="Calibri"/>
      </rPr>
      <t xml:space="preserve">
</t>
    </r>
    <r>
      <rPr>
        <sz val="11"/>
        <color rgb="FF000000"/>
        <rFont val="Calibri"/>
      </rPr>
      <t>3. Select the Certificate Authority. Type the full OCSP URI (e.g. http://ocsp.disa.mil).</t>
    </r>
    <r>
      <rPr>
        <sz val="11"/>
        <color rgb="FF000000"/>
        <rFont val="Calibri"/>
      </rPr>
      <t xml:space="preserve">
</t>
    </r>
    <r>
      <rPr>
        <sz val="11"/>
        <color rgb="FF000000"/>
        <rFont val="Calibri"/>
      </rPr>
      <t>4. Repeat this step for all CA certificates in the CAC trust chain.</t>
    </r>
    <r>
      <rPr>
        <sz val="11"/>
        <color rgb="FF000000"/>
        <rFont val="Calibri"/>
      </rPr>
      <t xml:space="preserve">
</t>
    </r>
    <r>
      <rPr>
        <sz val="11"/>
        <color rgb="FF000000"/>
        <rFont val="Calibri"/>
      </rPr>
      <t xml:space="preserve">5. Optionally, to add a CRL click New under Certificate Revocation Lists. </t>
    </r>
    <r>
      <rPr>
        <sz val="11"/>
        <color rgb="FF000000"/>
        <rFont val="Calibri"/>
      </rPr>
      <t xml:space="preserve">
</t>
    </r>
    <r>
      <rPr>
        <sz val="11"/>
        <color rgb="FF000000"/>
        <rFont val="Calibri"/>
      </rPr>
      <t xml:space="preserve">6. Select the Certificate Authority. </t>
    </r>
    <r>
      <rPr>
        <sz val="11"/>
        <color rgb="FF000000"/>
        <rFont val="Calibri"/>
      </rPr>
      <t xml:space="preserve">
</t>
    </r>
    <r>
      <rPr>
        <sz val="11"/>
        <color rgb="FF000000"/>
        <rFont val="Calibri"/>
      </rPr>
      <t>7. Type the full CRL path including to the specific CRL file (e.g. http://crl.disa.mil/certificate.crl).</t>
    </r>
    <r>
      <rPr>
        <sz val="11"/>
        <color rgb="FF000000"/>
        <rFont val="Calibri"/>
      </rPr>
      <t xml:space="preserve">
</t>
    </r>
    <r>
      <rPr>
        <sz val="11"/>
        <color rgb="FF000000"/>
        <rFont val="Calibri"/>
      </rPr>
      <t xml:space="preserve">V. Enable CAC authentication/LDAPS authorization: </t>
    </r>
    <r>
      <rPr>
        <sz val="11"/>
        <color rgb="FF000000"/>
        <rFont val="Calibri"/>
      </rPr>
      <t xml:space="preserve">
</t>
    </r>
    <r>
      <rPr>
        <sz val="11"/>
        <color rgb="FF000000"/>
        <rFont val="Calibri"/>
      </rPr>
      <t>1. Click Admin, click Authentication and Groups.</t>
    </r>
    <r>
      <rPr>
        <sz val="11"/>
        <color rgb="FF000000"/>
        <rFont val="Calibri"/>
      </rPr>
      <t xml:space="preserve">
</t>
    </r>
    <r>
      <rPr>
        <sz val="11"/>
        <color rgb="FF000000"/>
        <rFont val="Calibri"/>
      </rPr>
      <t>2. Select Edit.</t>
    </r>
    <r>
      <rPr>
        <sz val="11"/>
        <color rgb="FF000000"/>
        <rFont val="Calibri"/>
      </rPr>
      <t xml:space="preserve">
</t>
    </r>
    <r>
      <rPr>
        <sz val="11"/>
        <color rgb="FF000000"/>
        <rFont val="Calibri"/>
      </rPr>
      <t xml:space="preserve">3. Click Use CAC Authentication (ensure the local emergency user account is checked for local access in case of emergency troubleshooting). </t>
    </r>
    <r>
      <rPr>
        <sz val="11"/>
        <color rgb="FF000000"/>
        <rFont val="Calibri"/>
      </rPr>
      <t xml:space="preserve">
</t>
    </r>
    <r>
      <rPr>
        <sz val="11"/>
        <color rgb="FF000000"/>
        <rFont val="Calibri"/>
      </rPr>
      <t xml:space="preserve">4. Select OK. </t>
    </r>
    <r>
      <rPr>
        <sz val="11"/>
        <color rgb="FF000000"/>
        <rFont val="Calibri"/>
      </rPr>
      <t xml:space="preserve">
</t>
    </r>
    <r>
      <rPr>
        <sz val="11"/>
        <color rgb="FF000000"/>
        <rFont val="Calibri"/>
      </rPr>
      <t>5. Close the SMS client.</t>
    </r>
    <r>
      <rPr>
        <sz val="11"/>
        <color rgb="FF000000"/>
        <rFont val="Calibri"/>
      </rPr>
      <t xml:space="preserve">
</t>
    </r>
    <r>
      <rPr>
        <sz val="11"/>
        <color rgb="FF000000"/>
        <rFont val="Calibri"/>
      </rPr>
      <t xml:space="preserve">VI. Test CAC authentication: </t>
    </r>
    <r>
      <rPr>
        <sz val="11"/>
        <color rgb="FF000000"/>
        <rFont val="Calibri"/>
      </rPr>
      <t xml:space="preserve">
</t>
    </r>
    <r>
      <rPr>
        <sz val="11"/>
        <color rgb="FF000000"/>
        <rFont val="Calibri"/>
      </rPr>
      <t xml:space="preserve">1. Ensure one other smartcard reader is enabled in the device manager of the computer you are using. </t>
    </r>
    <r>
      <rPr>
        <sz val="11"/>
        <color rgb="FF000000"/>
        <rFont val="Calibri"/>
      </rPr>
      <t xml:space="preserve">
</t>
    </r>
    <r>
      <rPr>
        <sz val="11"/>
        <color rgb="FF000000"/>
        <rFont val="Calibri"/>
      </rPr>
      <t xml:space="preserve">2. Open the SMS client. </t>
    </r>
    <r>
      <rPr>
        <sz val="11"/>
        <color rgb="FF000000"/>
        <rFont val="Calibri"/>
      </rPr>
      <t xml:space="preserve">
</t>
    </r>
    <r>
      <rPr>
        <sz val="11"/>
        <color rgb="FF000000"/>
        <rFont val="Calibri"/>
      </rPr>
      <t>3. Type the hostname/IP of the SMS server.</t>
    </r>
    <r>
      <rPr>
        <sz val="11"/>
        <color rgb="FF000000"/>
        <rFont val="Calibri"/>
      </rPr>
      <t xml:space="preserve">
</t>
    </r>
    <r>
      <rPr>
        <sz val="11"/>
        <color rgb="FF000000"/>
        <rFont val="Calibri"/>
      </rPr>
      <t xml:space="preserve">4. Ensuring the CAC/admin token is inserted in the reader, type the PIN of the CAC. </t>
    </r>
    <r>
      <rPr>
        <sz val="11"/>
        <color rgb="FF000000"/>
        <rFont val="Calibri"/>
      </rPr>
      <t xml:space="preserve">
</t>
    </r>
    <r>
      <rPr>
        <sz val="11"/>
        <color rgb="FF000000"/>
        <rFont val="Calibri"/>
      </rPr>
      <t>5. Select the certificate to use to login.</t>
    </r>
    <r>
      <rPr>
        <sz val="11"/>
        <color rgb="FF000000"/>
        <rFont val="Calibri"/>
      </rPr>
      <t xml:space="preserve">
</t>
    </r>
    <r>
      <rPr>
        <sz val="11"/>
        <color rgb="FF000000"/>
        <rFont val="Calibri"/>
      </rPr>
      <t xml:space="preserve">6. Select OK. </t>
    </r>
    <r>
      <rPr>
        <sz val="11"/>
        <color rgb="FF000000"/>
        <rFont val="Calibri"/>
      </rPr>
      <t xml:space="preserve">
</t>
    </r>
    <r>
      <rPr>
        <sz val="11"/>
        <color rgb="FF000000"/>
        <rFont val="Calibri"/>
      </rPr>
      <t>7. User should be taken to the dashboard and configuration area of the SMS.</t>
    </r>
    <r>
      <rPr>
        <sz val="11"/>
        <color rgb="FF000000"/>
        <rFont val="Calibri"/>
      </rPr>
      <t xml:space="preserve">
</t>
    </r>
    <r>
      <rPr>
        <sz val="11"/>
        <color rgb="FF000000"/>
        <rFont val="Calibri"/>
      </rPr>
      <t xml:space="preserve">VII. Troubleshooting: </t>
    </r>
    <r>
      <rPr>
        <sz val="11"/>
        <color rgb="FF000000"/>
        <rFont val="Calibri"/>
      </rPr>
      <t xml:space="preserve">
</t>
    </r>
    <r>
      <rPr>
        <sz val="11"/>
        <color rgb="FF000000"/>
        <rFont val="Calibri"/>
      </rPr>
      <t xml:space="preserve">1. If you receive errors logging in with CAC go to the serial console of the SMS server. </t>
    </r>
    <r>
      <rPr>
        <sz val="11"/>
        <color rgb="FF000000"/>
        <rFont val="Calibri"/>
      </rPr>
      <t xml:space="preserve">
</t>
    </r>
    <r>
      <rPr>
        <sz val="11"/>
        <color rgb="FF000000"/>
        <rFont val="Calibri"/>
      </rPr>
      <t xml:space="preserve">2. Login with the local emergency user account. </t>
    </r>
    <r>
      <rPr>
        <sz val="11"/>
        <color rgb="FF000000"/>
        <rFont val="Calibri"/>
      </rPr>
      <t xml:space="preserve">
</t>
    </r>
    <r>
      <rPr>
        <sz val="11"/>
        <color rgb="FF000000"/>
        <rFont val="Calibri"/>
      </rPr>
      <t>3. Type the command "set cac.disable = yes" - this will give your local admin login access to the SMS client to troubleshoot any configuration errors.</t>
    </r>
    <r>
      <rPr>
        <sz val="11"/>
        <color rgb="FF000000"/>
        <rFont val="Calibri"/>
      </rPr>
      <t xml:space="preserve">
</t>
    </r>
    <r>
      <rPr>
        <sz val="11"/>
        <color rgb="FF000000"/>
        <rFont val="Calibri"/>
      </rPr>
      <t>VIII. Ensure the site's LDAP/Active Directory infrastructure is reconfigured to audit account creation, modification, disabling, and removals.</t>
    </r>
  </si>
  <si>
    <r>
      <rPr>
        <sz val="11"/>
        <color rgb="FF000000"/>
        <rFont val="Calibri"/>
      </rPr>
      <t>Centralized management of authentication settings increases the security of remote and nonlocal access methods. This control is particularly important protection against the insider threat. 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r>
      <rPr>
        <sz val="11"/>
        <color rgb="FF000000"/>
        <rFont val="Calibri"/>
      </rPr>
      <t xml:space="preserve">
</t>
    </r>
    <r>
      <rPr>
        <sz val="11"/>
        <color rgb="FF000000"/>
        <rFont val="Calibri"/>
      </rPr>
      <t>Satisfies: SRG-APP-000516-NDM-000336, SRG-APP-000516-NDM-000335, SRG-APP-000033-NDM-000212, SRG-APP-000038-NDM-000213, SRG-APP-000153-NDM-000249, SRG-APP-000329-NDM-000287 SRG-APP-000156-NDM-000250, SRG-APP-000340-NDM-000288, SRG-APP-000380-NDM-000304, SRG-APP-000408-NDM-000314</t>
    </r>
  </si>
  <si>
    <r>
      <rPr>
        <sz val="11"/>
        <color rgb="FF000000"/>
        <rFont val="Calibri"/>
      </rPr>
      <t>Configure the Trend Micro TippingPoint system to ensure the SMS client is using CAC authentication and LDAPS authorization.</t>
    </r>
    <r>
      <rPr>
        <sz val="11"/>
        <color rgb="FF000000"/>
        <rFont val="Calibri"/>
      </rPr>
      <t xml:space="preserve">
</t>
    </r>
    <r>
      <rPr>
        <sz val="11"/>
        <color rgb="FF000000"/>
        <rFont val="Calibri"/>
      </rPr>
      <t>1. Log in to the SMS client.</t>
    </r>
    <r>
      <rPr>
        <sz val="11"/>
        <color rgb="FF000000"/>
        <rFont val="Calibri"/>
      </rPr>
      <t xml:space="preserve">
</t>
    </r>
    <r>
      <rPr>
        <sz val="11"/>
        <color rgb="FF000000"/>
        <rFont val="Calibri"/>
      </rPr>
      <t>2. Click on Authentication and Authorization.</t>
    </r>
    <r>
      <rPr>
        <sz val="11"/>
        <color rgb="FF000000"/>
        <rFont val="Calibri"/>
      </rPr>
      <t xml:space="preserve">
</t>
    </r>
    <r>
      <rPr>
        <sz val="11"/>
        <color rgb="FF000000"/>
        <rFont val="Calibri"/>
      </rPr>
      <t>3. Click authentication.</t>
    </r>
    <r>
      <rPr>
        <sz val="11"/>
        <color rgb="FF000000"/>
        <rFont val="Calibri"/>
      </rPr>
      <t xml:space="preserve">
</t>
    </r>
    <r>
      <rPr>
        <sz val="11"/>
        <color rgb="FF000000"/>
        <rFont val="Calibri"/>
      </rPr>
      <t xml:space="preserve">4. Ensure "Use CAC authentication" is currently selected. </t>
    </r>
    <r>
      <rPr>
        <sz val="11"/>
        <color rgb="FF000000"/>
        <rFont val="Calibri"/>
      </rPr>
      <t xml:space="preserve">
</t>
    </r>
    <r>
      <rPr>
        <sz val="11"/>
        <color rgb="FF000000"/>
        <rFont val="Calibri"/>
      </rPr>
      <t>If the TippingPoint SMS is not configured to use an authentication server for the purpose of authenticating users prior to granting administrative access, this is a finding.</t>
    </r>
  </si>
  <si>
    <t>V-242255</t>
  </si>
  <si>
    <r>
      <rPr>
        <sz val="11"/>
        <rFont val="Calibri"/>
      </rPr>
      <t>The TippingPoint SMS must be configured to conduct backups of system level information contained in the information system when changes occur.</t>
    </r>
  </si>
  <si>
    <r>
      <rPr>
        <sz val="11"/>
        <color rgb="FF000000"/>
        <rFont val="Calibri"/>
      </rPr>
      <t xml:space="preserve">In the SMS client, ensure backups are enabled and scheduled. </t>
    </r>
    <r>
      <rPr>
        <sz val="11"/>
        <color rgb="FF000000"/>
        <rFont val="Calibri"/>
      </rPr>
      <t xml:space="preserve">
</t>
    </r>
    <r>
      <rPr>
        <sz val="11"/>
        <color rgb="FF000000"/>
        <rFont val="Calibri"/>
      </rPr>
      <t>1. Select Admin &gt;&gt; Database &gt;&gt; Backup.</t>
    </r>
    <r>
      <rPr>
        <sz val="11"/>
        <color rgb="FF000000"/>
        <rFont val="Calibri"/>
      </rPr>
      <t xml:space="preserve">
</t>
    </r>
    <r>
      <rPr>
        <sz val="11"/>
        <color rgb="FF000000"/>
        <rFont val="Calibri"/>
      </rPr>
      <t>2. Select New.</t>
    </r>
    <r>
      <rPr>
        <sz val="11"/>
        <color rgb="FF000000"/>
        <rFont val="Calibri"/>
      </rPr>
      <t xml:space="preserve">
</t>
    </r>
    <r>
      <rPr>
        <sz val="11"/>
        <color rgb="FF000000"/>
        <rFont val="Calibri"/>
      </rPr>
      <t>3. Enter a name, weekly, the date and time to backup, and no end date.</t>
    </r>
    <r>
      <rPr>
        <sz val="11"/>
        <color rgb="FF000000"/>
        <rFont val="Calibri"/>
      </rPr>
      <t xml:space="preserve">
</t>
    </r>
    <r>
      <rPr>
        <sz val="11"/>
        <color rgb="FF000000"/>
        <rFont val="Calibri"/>
      </rPr>
      <t>4. Include the most recent TOS and DV, include the certificate and keys, and then encrypt the backup. Provide a password.</t>
    </r>
    <r>
      <rPr>
        <sz val="11"/>
        <color rgb="FF000000"/>
        <rFont val="Calibri"/>
      </rPr>
      <t xml:space="preserve">
</t>
    </r>
    <r>
      <rPr>
        <sz val="11"/>
        <color rgb="FF000000"/>
        <rFont val="Calibri"/>
      </rPr>
      <t>5. Click Next.</t>
    </r>
    <r>
      <rPr>
        <sz val="11"/>
        <color rgb="FF000000"/>
        <rFont val="Calibri"/>
      </rPr>
      <t xml:space="preserve">
</t>
    </r>
    <r>
      <rPr>
        <sz val="11"/>
        <color rgb="FF000000"/>
        <rFont val="Calibri"/>
      </rPr>
      <t>6. Select SFTP.</t>
    </r>
    <r>
      <rPr>
        <sz val="11"/>
        <color rgb="FF000000"/>
        <rFont val="Calibri"/>
      </rPr>
      <t xml:space="preserve">
</t>
    </r>
    <r>
      <rPr>
        <sz val="11"/>
        <color rgb="FF000000"/>
        <rFont val="Calibri"/>
      </rPr>
      <t>7. Enter the SFTP URL, path, and location, username, and password in the following example format:  "192.168.1.1:/home/sms/backup.bak".</t>
    </r>
    <r>
      <rPr>
        <sz val="11"/>
        <color rgb="FF000000"/>
        <rFont val="Calibri"/>
      </rPr>
      <t xml:space="preserve">
</t>
    </r>
    <r>
      <rPr>
        <sz val="11"/>
        <color rgb="FF000000"/>
        <rFont val="Calibri"/>
      </rPr>
      <t>8. Select Next &gt;&gt; Finish.</t>
    </r>
  </si>
  <si>
    <r>
      <rPr>
        <sz val="11"/>
        <color rgb="FF000000"/>
        <rFont val="Calibri"/>
      </rPr>
      <t>System-level information includes default and customized settings and security attributes, including ACLs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 of service condition is possible for all who utilize this critical network component.</t>
    </r>
    <r>
      <rPr>
        <sz val="11"/>
        <color rgb="FF000000"/>
        <rFont val="Calibri"/>
      </rPr>
      <t xml:space="preserve">
</t>
    </r>
    <r>
      <rPr>
        <sz val="11"/>
        <color rgb="FF000000"/>
        <rFont val="Calibri"/>
      </rPr>
      <t>This control requires the network device to support the organizational central backup process for system-level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</si>
  <si>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In the SMS client, ensure backups are enabled and scheduled.</t>
    </r>
    <r>
      <rPr>
        <sz val="11"/>
        <color rgb="FF000000"/>
        <rFont val="Calibri"/>
      </rPr>
      <t xml:space="preserve">
</t>
    </r>
    <r>
      <rPr>
        <sz val="11"/>
        <color rgb="FF000000"/>
        <rFont val="Calibri"/>
      </rPr>
      <t>1. Select Admin &gt;&gt; Database &gt;&gt; Backup.</t>
    </r>
    <r>
      <rPr>
        <sz val="11"/>
        <color rgb="FF000000"/>
        <rFont val="Calibri"/>
      </rPr>
      <t xml:space="preserve">
</t>
    </r>
    <r>
      <rPr>
        <sz val="11"/>
        <color rgb="FF000000"/>
        <rFont val="Calibri"/>
      </rPr>
      <t>2. If no scheduled backup is configured, or if the backup is not configured at least weekly, this is a finding.</t>
    </r>
  </si>
  <si>
    <t>V-242256</t>
  </si>
  <si>
    <r>
      <rPr>
        <sz val="11"/>
        <rFont val="Calibri"/>
      </rPr>
      <t>The TippingPoint SMS must support organizational requirements to conduct backups of information system documentation, including security-related documentation, when changes occur or weekly, whichever is sooner.</t>
    </r>
  </si>
  <si>
    <r>
      <rPr>
        <sz val="11"/>
        <color rgb="FF000000"/>
        <rFont val="Calibri"/>
      </rPr>
      <t>Information system backup is a critical step in maintaining data assurance and availability. Information system and security-related documentation contains information pertaining to system configuration and security settings. If this information were not backed up, and a system failure were to occur, the security settings would be difficult to reconfigure quickly and accurately. Maintaining a backup of information system and security-related documentation provides for a quicker recovery time when system outages occur.</t>
    </r>
    <r>
      <rPr>
        <sz val="11"/>
        <color rgb="FF000000"/>
        <rFont val="Calibri"/>
      </rPr>
      <t xml:space="preserve">
</t>
    </r>
    <r>
      <rPr>
        <sz val="11"/>
        <color rgb="FF000000"/>
        <rFont val="Calibri"/>
      </rPr>
      <t>This control requires the network device to support the organizational central backup process for user account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</si>
  <si>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 xml:space="preserve">In the SMS client, ensure backups are enabled and scheduled. </t>
    </r>
    <r>
      <rPr>
        <sz val="11"/>
        <color rgb="FF000000"/>
        <rFont val="Calibri"/>
      </rPr>
      <t xml:space="preserve">
</t>
    </r>
    <r>
      <rPr>
        <sz val="11"/>
        <color rgb="FF000000"/>
        <rFont val="Calibri"/>
      </rPr>
      <t>1. Select Admin &gt;&gt; Database &gt;&gt; Backup.</t>
    </r>
    <r>
      <rPr>
        <sz val="11"/>
        <color rgb="FF000000"/>
        <rFont val="Calibri"/>
      </rPr>
      <t xml:space="preserve">
</t>
    </r>
    <r>
      <rPr>
        <sz val="11"/>
        <color rgb="FF000000"/>
        <rFont val="Calibri"/>
      </rPr>
      <t>2. If no scheduled backup is configured, or if the backup is not configured at least weekly then this is a finding.</t>
    </r>
  </si>
  <si>
    <t>V-242257</t>
  </si>
  <si>
    <r>
      <rPr>
        <sz val="11"/>
        <rFont val="Calibri"/>
      </rPr>
      <t>The TippingPoint SMS must obtain its public key certificates from an appropriate certificate policy through an approved service provider.</t>
    </r>
  </si>
  <si>
    <r>
      <rPr>
        <sz val="11"/>
        <color rgb="FF000000"/>
        <rFont val="Calibri"/>
      </rPr>
      <t xml:space="preserve">In the SMS client, ensure the certificate is signed by an authorized DoD Certificate Authority. </t>
    </r>
    <r>
      <rPr>
        <sz val="11"/>
        <color rgb="FF000000"/>
        <rFont val="Calibri"/>
      </rPr>
      <t xml:space="preserve">
</t>
    </r>
    <r>
      <rPr>
        <sz val="11"/>
        <color rgb="FF000000"/>
        <rFont val="Calibri"/>
      </rPr>
      <t>1. Select Admin &gt;&gt; Certificate Management &gt;&gt; Certificates.</t>
    </r>
    <r>
      <rPr>
        <sz val="11"/>
        <color rgb="FF000000"/>
        <rFont val="Calibri"/>
      </rPr>
      <t xml:space="preserve">
</t>
    </r>
    <r>
      <rPr>
        <sz val="11"/>
        <color rgb="FF000000"/>
        <rFont val="Calibri"/>
      </rPr>
      <t xml:space="preserve">2. Select import. </t>
    </r>
    <r>
      <rPr>
        <sz val="11"/>
        <color rgb="FF000000"/>
        <rFont val="Calibri"/>
      </rPr>
      <t xml:space="preserve">
</t>
    </r>
    <r>
      <rPr>
        <sz val="11"/>
        <color rgb="FF000000"/>
        <rFont val="Calibri"/>
      </rPr>
      <t>3. The SMS can import a certificate with a private key file separately, or can import a PKCS12/PFX file. The user can use OpenSSL on a separate system to generate the certificate signing request (CSR) or can use the CSR generation tool on the SMS under Admin, Certificate Management, Signing Requests. The CSR must ensure the following attributes are added to the CSR if using the SMS tool: 2048 RSA key size and a DNS Subject Alternative Name (SAN) - if required.</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</si>
  <si>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t>
    </r>
  </si>
  <si>
    <r>
      <rPr>
        <sz val="11"/>
        <color rgb="FF000000"/>
        <rFont val="Calibri"/>
      </rPr>
      <t xml:space="preserve">In the SMS client, ensure the certificate is signed by an authorized DoD Certificate Authority. </t>
    </r>
    <r>
      <rPr>
        <sz val="11"/>
        <color rgb="FF000000"/>
        <rFont val="Calibri"/>
      </rPr>
      <t xml:space="preserve">
</t>
    </r>
    <r>
      <rPr>
        <sz val="11"/>
        <color rgb="FF000000"/>
        <rFont val="Calibri"/>
      </rPr>
      <t>Select Admin &gt;&gt; Certificate Management &gt;&gt; Certificates.</t>
    </r>
    <r>
      <rPr>
        <sz val="11"/>
        <color rgb="FF000000"/>
        <rFont val="Calibri"/>
      </rPr>
      <t xml:space="preserve">
</t>
    </r>
    <r>
      <rPr>
        <sz val="11"/>
        <color rgb="FF000000"/>
        <rFont val="Calibri"/>
      </rPr>
      <t>If there is no certificate, or the certificate is signed by a CA that is not authorized in the DoD, this is a finding.</t>
    </r>
  </si>
  <si>
    <t>V-242258</t>
  </si>
  <si>
    <r>
      <rPr>
        <sz val="11"/>
        <rFont val="Calibri"/>
      </rPr>
      <t>The TippingPoint SMS must be running an operating system release that is currently supported by the vendor.</t>
    </r>
  </si>
  <si>
    <r>
      <rPr>
        <sz val="11"/>
        <color rgb="FF000000"/>
        <rFont val="Calibri"/>
      </rPr>
      <t>The system owner must ensure that the operating system version under Devices and SMS Software under Admin and General is still under security support by Trend Micro on the https://tmc.tippingpoint.com/TMC/ support website.</t>
    </r>
    <r>
      <rPr>
        <sz val="11"/>
        <color rgb="FF000000"/>
        <rFont val="Calibri"/>
      </rPr>
      <t xml:space="preserve">
</t>
    </r>
    <r>
      <rPr>
        <sz val="11"/>
        <color rgb="FF000000"/>
        <rFont val="Calibri"/>
      </rPr>
      <t xml:space="preserve">1. Select Release &gt;&gt; Software, and select either SMS or TPS. </t>
    </r>
    <r>
      <rPr>
        <sz val="11"/>
        <color rgb="FF000000"/>
        <rFont val="Calibri"/>
      </rPr>
      <t xml:space="preserve">
</t>
    </r>
    <r>
      <rPr>
        <sz val="11"/>
        <color rgb="FF000000"/>
        <rFont val="Calibri"/>
      </rPr>
      <t>2. The versions there will be the supported releases.</t>
    </r>
    <r>
      <rPr>
        <sz val="11"/>
        <color rgb="FF000000"/>
        <rFont val="Calibri"/>
      </rPr>
      <t xml:space="preserve">
</t>
    </r>
    <r>
      <rPr>
        <sz val="11"/>
        <color rgb="FF000000"/>
        <rFont val="Calibri"/>
      </rPr>
      <t>3. Ensure the site SMS and TPS have one of these supported releases.</t>
    </r>
  </si>
  <si>
    <r>
      <rPr>
        <sz val="11"/>
        <color rgb="FF000000"/>
        <rFont val="Calibri"/>
      </rPr>
      <t>Network devices running an unsupported operating system lack current security fixes required to mitigate the risks associated with recent vulnerabilities.</t>
    </r>
  </si>
  <si>
    <r>
      <rPr>
        <sz val="11"/>
        <color rgb="FF000000"/>
        <rFont val="Calibri"/>
      </rPr>
      <t xml:space="preserve">Verify the operating system version under devices and version in the SMS Software under Admin and General is still under security support by Trend Micro on the https://tmc.tippingpoint.com/TMC/ support website. </t>
    </r>
    <r>
      <rPr>
        <sz val="11"/>
        <color rgb="FF000000"/>
        <rFont val="Calibri"/>
      </rPr>
      <t xml:space="preserve">
</t>
    </r>
    <r>
      <rPr>
        <sz val="11"/>
        <color rgb="FF000000"/>
        <rFont val="Calibri"/>
      </rPr>
      <t>If the operating system version is not under support, this is a finding.</t>
    </r>
  </si>
  <si>
    <t>V-242259</t>
  </si>
  <si>
    <r>
      <rPr>
        <sz val="11"/>
        <rFont val="Calibri"/>
      </rPr>
      <t>The TippingPoint SMS must be configured to send log data to at least two central log servers for the purpose of forwarding alerts to the administrators and the information system security officer (ISSO).</t>
    </r>
  </si>
  <si>
    <r>
      <rPr>
        <sz val="11"/>
        <color rgb="FF000000"/>
        <rFont val="Calibri"/>
      </rPr>
      <t>1. Navigate to Admin &gt;&gt; Server properties &gt;&gt; Syslog &gt;&gt; New.</t>
    </r>
    <r>
      <rPr>
        <sz val="11"/>
        <color rgb="FF000000"/>
        <rFont val="Calibri"/>
      </rPr>
      <t xml:space="preserve">
</t>
    </r>
    <r>
      <rPr>
        <sz val="11"/>
        <color rgb="FF000000"/>
        <rFont val="Calibri"/>
      </rPr>
      <t>2. Click "enable".</t>
    </r>
    <r>
      <rPr>
        <sz val="11"/>
        <color rgb="FF000000"/>
        <rFont val="Calibri"/>
      </rPr>
      <t xml:space="preserve">
</t>
    </r>
    <r>
      <rPr>
        <sz val="11"/>
        <color rgb="FF000000"/>
        <rFont val="Calibri"/>
      </rPr>
      <t>3. Click "TCP" or "Encrypted TCP".</t>
    </r>
    <r>
      <rPr>
        <sz val="11"/>
        <color rgb="FF000000"/>
        <rFont val="Calibri"/>
      </rPr>
      <t xml:space="preserve">
</t>
    </r>
    <r>
      <rPr>
        <sz val="11"/>
        <color rgb="FF000000"/>
        <rFont val="Calibri"/>
      </rPr>
      <t>4. Under Log Type, select "Device Audit".</t>
    </r>
    <r>
      <rPr>
        <sz val="11"/>
        <color rgb="FF000000"/>
        <rFont val="Calibri"/>
      </rPr>
      <t xml:space="preserve">
</t>
    </r>
    <r>
      <rPr>
        <sz val="11"/>
        <color rgb="FF000000"/>
        <rFont val="Calibri"/>
      </rPr>
      <t>5. Facility is "Log Audit".</t>
    </r>
    <r>
      <rPr>
        <sz val="11"/>
        <color rgb="FF000000"/>
        <rFont val="Calibri"/>
      </rPr>
      <t xml:space="preserve">
</t>
    </r>
    <r>
      <rPr>
        <sz val="11"/>
        <color rgb="FF000000"/>
        <rFont val="Calibri"/>
      </rPr>
      <t>6. Timestamp: SMS Current Time.</t>
    </r>
    <r>
      <rPr>
        <sz val="11"/>
        <color rgb="FF000000"/>
        <rFont val="Calibri"/>
      </rPr>
      <t xml:space="preserve">
</t>
    </r>
    <r>
      <rPr>
        <sz val="11"/>
        <color rgb="FF000000"/>
        <rFont val="Calibri"/>
      </rPr>
      <t>7. Check "Include SMS hostname in Header".</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Repeat these steps for the following three other Log Types: Device System, SMS Audit, and SMS System.</t>
    </r>
    <r>
      <rPr>
        <sz val="11"/>
        <color rgb="FF000000"/>
        <rFont val="Calibri"/>
      </rPr>
      <t xml:space="preserve">
</t>
    </r>
    <r>
      <rPr>
        <sz val="11"/>
        <color rgb="FF000000"/>
        <rFont val="Calibri"/>
      </rPr>
      <t>10. Repeat steps to configure a second Syslog server IP host information.</t>
    </r>
    <r>
      <rPr>
        <sz val="11"/>
        <color rgb="FF000000"/>
        <rFont val="Calibri"/>
      </rPr>
      <t xml:space="preserve">
</t>
    </r>
    <r>
      <rPr>
        <sz val="11"/>
        <color rgb="FF000000"/>
        <rFont val="Calibri"/>
      </rPr>
      <t>Note: Syslog servers used must be configured to alert system administrator and ISSO upon detection of unauthorized access, modification, or deletion of audit information.</t>
    </r>
  </si>
  <si>
    <r>
      <rPr>
        <sz val="11"/>
        <color rgb="FF000000"/>
        <rFont val="Calibri"/>
      </rPr>
      <t>Reconstruction of harmful events or forensic analysis is not possible if audit records do not contain enough information. Auditing account changes provides the necessary reconciliation that account management procedures are being followed. Without this audit trail, personnel without the proper authorization may gain access to critical network nodes.</t>
    </r>
    <r>
      <rPr>
        <sz val="11"/>
        <color rgb="FF000000"/>
        <rFont val="Calibri"/>
      </rPr>
      <t xml:space="preserve">
</t>
    </r>
    <r>
      <rPr>
        <sz val="11"/>
        <color rgb="FF000000"/>
        <rFont val="Calibri"/>
      </rPr>
      <t>Associating event types, date/time of the event, identity of any individual or process associated with the event, source/destination of the event, location of the event, and the outcome of the event provides a means of investigating an attack; recognizing resource utilization or capacity thresholds; or identifying an improperly configured network device.</t>
    </r>
    <r>
      <rPr>
        <sz val="11"/>
        <color rgb="FF000000"/>
        <rFont val="Calibri"/>
      </rPr>
      <t xml:space="preserve">
</t>
    </r>
    <r>
      <rPr>
        <sz val="11"/>
        <color rgb="FF000000"/>
        <rFont val="Calibri"/>
      </rPr>
      <t>Both the SMS and TPS have the capability to capture and log detected security violations and potential security violations. DOD requires TCP at a minimum, but if operational needs permit, Encrypted TCP (also called TLS Syslog) is also supported.</t>
    </r>
  </si>
  <si>
    <r>
      <rPr>
        <sz val="11"/>
        <color rgb="FF000000"/>
        <rFont val="Calibri"/>
      </rPr>
      <t xml:space="preserve">1. Navigate to Admin &gt;&gt; Server properties &gt;&gt; Syslog. </t>
    </r>
    <r>
      <rPr>
        <sz val="11"/>
        <color rgb="FF000000"/>
        <rFont val="Calibri"/>
      </rPr>
      <t xml:space="preserve">
</t>
    </r>
    <r>
      <rPr>
        <sz val="11"/>
        <color rgb="FF000000"/>
        <rFont val="Calibri"/>
      </rPr>
      <t>2. Verify the configuration enables TCP or Encrypted TCP.</t>
    </r>
    <r>
      <rPr>
        <sz val="11"/>
        <color rgb="FF000000"/>
        <rFont val="Calibri"/>
      </rPr>
      <t xml:space="preserve">
</t>
    </r>
    <r>
      <rPr>
        <sz val="11"/>
        <color rgb="FF000000"/>
        <rFont val="Calibri"/>
      </rPr>
      <t>3. Verify Device Audit, Device System, SMS Audit, and SMS System log types are enabled and configured.</t>
    </r>
    <r>
      <rPr>
        <sz val="11"/>
        <color rgb="FF000000"/>
        <rFont val="Calibri"/>
      </rPr>
      <t xml:space="preserve">
</t>
    </r>
    <r>
      <rPr>
        <sz val="11"/>
        <color rgb="FF000000"/>
        <rFont val="Calibri"/>
      </rPr>
      <t>If syslog is not configured to use TCP or Encrypted TCP or does not include the four log types, this is a finding.</t>
    </r>
  </si>
  <si>
    <t>V-242260</t>
  </si>
  <si>
    <r>
      <rPr>
        <sz val="11"/>
        <rFont val="Calibri"/>
      </rPr>
      <t>The password for the local account of last resort and the device password (if configured) must be changed when members who had access to the password leave the role and are no longer authorized access.</t>
    </r>
  </si>
  <si>
    <r>
      <rPr>
        <sz val="11"/>
        <color rgb="FF000000"/>
        <rFont val="Calibri"/>
      </rPr>
      <t>Change the password for the account of last resort.</t>
    </r>
    <r>
      <rPr>
        <sz val="11"/>
        <color rgb="FF000000"/>
        <rFont val="Calibri"/>
      </rPr>
      <t xml:space="preserve">
</t>
    </r>
    <r>
      <rPr>
        <sz val="11"/>
        <color rgb="FF000000"/>
        <rFont val="Calibri"/>
      </rPr>
      <t>1. Navigate to Admin &gt;&gt; Authentication and Authorization &gt;&gt; Users.</t>
    </r>
    <r>
      <rPr>
        <sz val="11"/>
        <color rgb="FF000000"/>
        <rFont val="Calibri"/>
      </rPr>
      <t xml:space="preserve">
</t>
    </r>
    <r>
      <rPr>
        <sz val="11"/>
        <color rgb="FF000000"/>
        <rFont val="Calibri"/>
      </rPr>
      <t>2. Select the account of last resort.</t>
    </r>
    <r>
      <rPr>
        <sz val="11"/>
        <color rgb="FF000000"/>
        <rFont val="Calibri"/>
      </rPr>
      <t xml:space="preserve">
</t>
    </r>
    <r>
      <rPr>
        <sz val="11"/>
        <color rgb="FF000000"/>
        <rFont val="Calibri"/>
      </rPr>
      <t>3. Click Edit and Select Authentication.</t>
    </r>
    <r>
      <rPr>
        <sz val="11"/>
        <color rgb="FF000000"/>
        <rFont val="Calibri"/>
      </rPr>
      <t xml:space="preserve">
</t>
    </r>
    <r>
      <rPr>
        <sz val="11"/>
        <color rgb="FF000000"/>
        <rFont val="Calibri"/>
      </rPr>
      <t>4. Enter and confirm the password.</t>
    </r>
    <r>
      <rPr>
        <sz val="11"/>
        <color rgb="FF000000"/>
        <rFont val="Calibri"/>
      </rPr>
      <t xml:space="preserve">
</t>
    </r>
    <r>
      <rPr>
        <sz val="11"/>
        <color rgb="FF000000"/>
        <rFont val="Calibri"/>
      </rPr>
      <t xml:space="preserve">To change the password for managed devices, if configured: </t>
    </r>
    <r>
      <rPr>
        <sz val="11"/>
        <color rgb="FF000000"/>
        <rFont val="Calibri"/>
      </rPr>
      <t xml:space="preserve">
</t>
    </r>
    <r>
      <rPr>
        <sz val="11"/>
        <color rgb="FF000000"/>
        <rFont val="Calibri"/>
      </rPr>
      <t>Navigate to Devices &gt;&gt; All Devices &gt;&gt; Member Summary &gt;&gt; Device Users.</t>
    </r>
    <r>
      <rPr>
        <sz val="11"/>
        <color rgb="FF000000"/>
        <rFont val="Calibri"/>
      </rPr>
      <t xml:space="preserve">
</t>
    </r>
    <r>
      <rPr>
        <sz val="11"/>
        <color rgb="FF000000"/>
        <rFont val="Calibri"/>
      </rPr>
      <t>The Device User Accounts screen displays a table that lists the user accounts available on managed devices.</t>
    </r>
  </si>
  <si>
    <r>
      <rPr>
        <sz val="11"/>
        <color rgb="FF000000"/>
        <rFont val="Calibri"/>
      </rPr>
      <t xml:space="preserve">If shared/group account credentials are not terminated when individuals leave the group, the user that left the group can still gain access even though they are no longer authorized. There may also be instances when specific user actions need to be performed on the network device without unique administrator identification or authentication. </t>
    </r>
    <r>
      <rPr>
        <sz val="11"/>
        <color rgb="FF000000"/>
        <rFont val="Calibri"/>
      </rPr>
      <t xml:space="preserve">
</t>
    </r>
    <r>
      <rPr>
        <sz val="11"/>
        <color rgb="FF000000"/>
        <rFont val="Calibri"/>
      </rPr>
      <t>A shared/group account credential is a shared form of authentication that allows multiple individuals to access the network device using a single account.</t>
    </r>
  </si>
  <si>
    <r>
      <rPr>
        <sz val="11"/>
        <color rgb="FF000000"/>
        <rFont val="Calibri"/>
      </rPr>
      <t>Have the local representative show password change logs or documentation to show this is a local process.</t>
    </r>
    <r>
      <rPr>
        <sz val="11"/>
        <color rgb="FF000000"/>
        <rFont val="Calibri"/>
      </rPr>
      <t xml:space="preserve">
</t>
    </r>
    <r>
      <rPr>
        <sz val="11"/>
        <color rgb="FF000000"/>
        <rFont val="Calibri"/>
      </rPr>
      <t>If the password for the local account of last resort is not changed when members who had access to the password leave the role and are no longer authorized access,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</si>
  <si>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</si>
  <si>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</si>
  <si>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</si>
  <si>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</si>
  <si>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</si>
  <si>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</si>
  <si>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</si>
  <si>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</si>
  <si>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</si>
  <si>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</si>
  <si>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</si>
  <si>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</si>
  <si>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</si>
  <si>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</si>
  <si>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</si>
  <si>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</si>
  <si>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</si>
  <si>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</si>
  <si>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</si>
  <si>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</si>
  <si>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</si>
  <si>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</si>
  <si>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</si>
  <si>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</si>
  <si>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</si>
  <si>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</si>
  <si>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</si>
  <si>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</si>
  <si>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</si>
  <si>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Trend Micro TippingPoint Security Technical Implementation Guide Y25M04</t>
  </si>
  <si>
    <t>Developed By:</t>
  </si>
  <si>
    <t>Trend Micro and Defense Information Systems Agency (DISA) for the US DoD</t>
  </si>
  <si>
    <t>Release Information:</t>
  </si>
  <si>
    <r>
      <rPr>
        <b/>
        <sz val="11"/>
        <color rgb="FF000000"/>
        <rFont val="Calibri"/>
      </rPr>
      <t>Version:</t>
    </r>
    <r>
      <rPr>
        <sz val="11"/>
        <color rgb="FF000000"/>
        <rFont val="Calibri"/>
      </rPr>
      <t xml:space="preserve"> Y25M04    </t>
    </r>
    <r>
      <rPr>
        <b/>
        <sz val="11"/>
        <color rgb="FF000000"/>
        <rFont val="Calibri"/>
      </rPr>
      <t>Date:</t>
    </r>
    <r>
      <rPr>
        <sz val="11"/>
        <color rgb="FF000000"/>
        <rFont val="Calibri"/>
      </rPr>
      <t xml:space="preserve"> 02 April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60</t>
    </r>
  </si>
  <si>
    <t>Download Url:</t>
  </si>
  <si>
    <t>https://www.cyber.mil/stigs</t>
  </si>
  <si>
    <t>Guide Overview:</t>
  </si>
  <si>
    <r>
      <rPr>
        <sz val="11"/>
        <color rgb="FF000000"/>
        <rFont val="Calibri"/>
      </rPr>
      <t>The Trend Micro TippingPoint Security Technical Implementation Guide (STIG) provides the technical security policies, requirements, and implementation details for applying security concepts to the TippingPoint network security platform. The STIG is a package of two STIGs that ensure the secure implementation of the Network Device Management (NDM) function and the Intrusion Prevention (IPS) traffic services.</t>
    </r>
    <r>
      <rPr>
        <sz val="11"/>
        <color rgb="FF000000"/>
        <rFont val="Calibri"/>
      </rPr>
      <t xml:space="preserve">
</t>
    </r>
    <r>
      <rPr>
        <sz val="11"/>
        <color rgb="FF000000"/>
        <rFont val="Calibri"/>
      </rPr>
      <t>The scope of the TippingPoint STIG includes the TippingPoint Security Management System (SMS), the TippingPoint Threat Protection System (TPS), and the SMS client. The SMS provides network security management with integrated security policy, response, and visibility across network security devices. It also monitors for harmful or suspicious information flows and restricts or blocks this traffic based on attribute- and content-based inspection of the source, destination, headers, and/or content of the communications traffic. The TPS performs as an IPS by providing deep packet inspection, threat reputation monitoring, and advanced malware analysis to detect and prevent network attacks.</t>
    </r>
  </si>
  <si>
    <t>Components:</t>
  </si>
  <si>
    <r>
      <rPr>
        <i/>
        <sz val="11"/>
        <color rgb="FF000000"/>
        <rFont val="Calibri"/>
      </rPr>
      <t>Title:</t>
    </r>
    <r>
      <rPr>
        <sz val="11"/>
        <color rgb="FF000000"/>
        <rFont val="Calibri"/>
      </rPr>
      <t xml:space="preserve"> Trend Micro TippingPoint IDPS Security Technical Implementation Guide</t>
    </r>
    <r>
      <rPr>
        <sz val="11"/>
        <color rgb="FF000000"/>
        <rFont val="Calibri"/>
      </rPr>
      <t xml:space="preserve">
</t>
    </r>
    <r>
      <rPr>
        <i/>
        <sz val="11"/>
        <color rgb="FF000000"/>
        <rFont val="Calibri"/>
      </rPr>
      <t>Version:</t>
    </r>
    <r>
      <rPr>
        <sz val="11"/>
        <color rgb="FF000000"/>
        <rFont val="Calibri"/>
      </rPr>
      <t xml:space="preserve"> V2R2     </t>
    </r>
    <r>
      <rPr>
        <i/>
        <sz val="11"/>
        <color rgb="FF000000"/>
        <rFont val="Calibri"/>
      </rPr>
      <t>Date:</t>
    </r>
    <r>
      <rPr>
        <sz val="11"/>
        <color rgb="FF000000"/>
        <rFont val="Calibri"/>
      </rPr>
      <t xml:space="preserve"> 24 October 2024     </t>
    </r>
    <r>
      <rPr>
        <i/>
        <sz val="11"/>
        <color rgb="FF000000"/>
        <rFont val="Calibri"/>
      </rPr>
      <t>Recommendation Count:</t>
    </r>
    <r>
      <rPr>
        <sz val="11"/>
        <color rgb="FF000000"/>
        <rFont val="Calibri"/>
      </rPr>
      <t xml:space="preserve"> 30</t>
    </r>
  </si>
  <si>
    <r>
      <rPr>
        <i/>
        <sz val="11"/>
        <color rgb="FF000000"/>
        <rFont val="Calibri"/>
      </rPr>
      <t>Title:</t>
    </r>
    <r>
      <rPr>
        <sz val="11"/>
        <color rgb="FF000000"/>
        <rFont val="Calibri"/>
      </rPr>
      <t xml:space="preserve"> Trend Micro TippingPoint NDM Security Technical Implementation Guide</t>
    </r>
    <r>
      <rPr>
        <sz val="11"/>
        <color rgb="FF000000"/>
        <rFont val="Calibri"/>
      </rPr>
      <t xml:space="preserve">
</t>
    </r>
    <r>
      <rPr>
        <i/>
        <sz val="11"/>
        <color rgb="FF000000"/>
        <rFont val="Calibri"/>
      </rPr>
      <t>Version:</t>
    </r>
    <r>
      <rPr>
        <sz val="11"/>
        <color rgb="FF000000"/>
        <rFont val="Calibri"/>
      </rPr>
      <t xml:space="preserve"> V2R3     </t>
    </r>
    <r>
      <rPr>
        <i/>
        <sz val="11"/>
        <color rgb="FF000000"/>
        <rFont val="Calibri"/>
      </rPr>
      <t>Date:</t>
    </r>
    <r>
      <rPr>
        <sz val="11"/>
        <color rgb="FF000000"/>
        <rFont val="Calibri"/>
      </rPr>
      <t xml:space="preserve"> 02 April 2025     </t>
    </r>
    <r>
      <rPr>
        <i/>
        <sz val="11"/>
        <color rgb="FF000000"/>
        <rFont val="Calibri"/>
      </rPr>
      <t>Recommendation Count:</t>
    </r>
    <r>
      <rPr>
        <sz val="11"/>
        <color rgb="FF000000"/>
        <rFont val="Calibri"/>
      </rPr>
      <t xml:space="preserve"> 30</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</si>
  <si>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</si>
  <si>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</si>
  <si>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</si>
  <si>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</si>
  <si>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</si>
  <si>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</si>
  <si>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</si>
  <si>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</si>
  <si>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</si>
  <si>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</si>
  <si>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</si>
  <si>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</si>
  <si>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</si>
  <si>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</si>
  <si>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</si>
  <si>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</si>
  <si>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</si>
  <si>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</si>
  <si>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</si>
  <si>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</si>
  <si>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</si>
  <si>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</si>
  <si>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Trend Micro TippingPoint Security Technical Implementation Guide Y25M04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</si>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</sst>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A26-4E65-A08A-1ECFD82C3FA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A26-4E65-A08A-1ECFD82C3FA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60</c:v>
                </c:pt>
              </c:numCache>
            </c:numRef>
          </c:val>
          <c:extLst>
            <c:ext xmlns:c16="http://schemas.microsoft.com/office/drawing/2014/chart" uri="{C3380CC4-5D6E-409C-BE32-E72D297353CC}">
              <c16:uniqueId val="{00000002-3A26-4E65-A08A-1ECFD82C3FA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IDPS</c:v>
                </c:pt>
                <c:pt idx="1">
                  <c:v>NDM</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547F-461A-AB2B-C71302E3EC1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IDPS</c:v>
                </c:pt>
                <c:pt idx="1">
                  <c:v>NDM</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547F-461A-AB2B-C71302E3EC1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IDPS</c:v>
                </c:pt>
                <c:pt idx="1">
                  <c:v>NDM</c:v>
                </c:pt>
              </c:strCache>
            </c:strRef>
          </c:cat>
          <c:val>
            <c:numRef>
              <c:f>Dashboard!$E$29:$E$30</c:f>
              <c:numCache>
                <c:formatCode>General</c:formatCode>
                <c:ptCount val="2"/>
                <c:pt idx="0">
                  <c:v>30</c:v>
                </c:pt>
                <c:pt idx="1">
                  <c:v>30</c:v>
                </c:pt>
              </c:numCache>
            </c:numRef>
          </c:val>
          <c:extLst>
            <c:ext xmlns:c16="http://schemas.microsoft.com/office/drawing/2014/chart" uri="{C3380CC4-5D6E-409C-BE32-E72D297353CC}">
              <c16:uniqueId val="{00000002-547F-461A-AB2B-C71302E3EC1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577-4E08-A185-4CF3ACD9503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577-4E08-A185-4CF3ACD9503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60</c:v>
                </c:pt>
              </c:numCache>
            </c:numRef>
          </c:val>
          <c:extLst>
            <c:ext xmlns:c16="http://schemas.microsoft.com/office/drawing/2014/chart" uri="{C3380CC4-5D6E-409C-BE32-E72D297353CC}">
              <c16:uniqueId val="{00000002-5577-4E08-A185-4CF3ACD9503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95CC-43D8-A59B-23CEE769CD5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95CC-43D8-A59B-23CEE769CD5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11</c:v>
                </c:pt>
                <c:pt idx="1">
                  <c:v>44</c:v>
                </c:pt>
                <c:pt idx="2">
                  <c:v>5</c:v>
                </c:pt>
              </c:numCache>
            </c:numRef>
          </c:val>
          <c:extLst>
            <c:ext xmlns:c16="http://schemas.microsoft.com/office/drawing/2014/chart" uri="{C3380CC4-5D6E-409C-BE32-E72D297353CC}">
              <c16:uniqueId val="{00000002-95CC-43D8-A59B-23CEE769CD5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182-42A8-9F2E-6E5E5BA2A6E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182-42A8-9F2E-6E5E5BA2A6E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60</c:v>
                </c:pt>
              </c:numCache>
            </c:numRef>
          </c:val>
          <c:extLst>
            <c:ext xmlns:c16="http://schemas.microsoft.com/office/drawing/2014/chart" uri="{C3380CC4-5D6E-409C-BE32-E72D297353CC}">
              <c16:uniqueId val="{00000002-4182-42A8-9F2E-6E5E5BA2A6E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F74-4795-961E-9CC77CFC3E0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F74-4795-961E-9CC77CFC3E0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60</c:v>
                </c:pt>
              </c:numCache>
            </c:numRef>
          </c:val>
          <c:extLst>
            <c:ext xmlns:c16="http://schemas.microsoft.com/office/drawing/2014/chart" uri="{C3380CC4-5D6E-409C-BE32-E72D297353CC}">
              <c16:uniqueId val="{00000002-BF74-4795-961E-9CC77CFC3E0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752-40EB-93E8-5E9D49F0B387}"/>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752-40EB-93E8-5E9D49F0B387}"/>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752-40EB-93E8-5E9D49F0B387}"/>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752-40EB-93E8-5E9D49F0B38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044-4B52-848A-AE2D4E556DA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q32rdh">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rmc2p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v23ye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gby01t">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k2wgd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4fuf1g">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5ksszd">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zf3thd">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61">
  <autoFilter ref="A1:N61"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306</v>
      </c>
    </row>
    <row r="3" spans="2:3" ht="15" customHeight="1" x14ac:dyDescent="0.35"/>
    <row r="4" spans="2:3" ht="58" x14ac:dyDescent="0.35">
      <c r="B4" s="20" t="s">
        <v>307</v>
      </c>
      <c r="C4" s="21" t="s">
        <v>308</v>
      </c>
    </row>
    <row r="5" spans="2:3" x14ac:dyDescent="0.35">
      <c r="C5" s="21" t="s">
        <v>309</v>
      </c>
    </row>
    <row r="6" spans="2:3" x14ac:dyDescent="0.35">
      <c r="C6" s="18" t="s">
        <v>310</v>
      </c>
    </row>
    <row r="7" spans="2:3" ht="10" customHeight="1" x14ac:dyDescent="0.35"/>
    <row r="8" spans="2:3" ht="232" x14ac:dyDescent="0.35">
      <c r="B8" s="22" t="s">
        <v>311</v>
      </c>
      <c r="C8" s="21" t="s">
        <v>312</v>
      </c>
    </row>
    <row r="9" spans="2:3" ht="10" customHeight="1" x14ac:dyDescent="0.35"/>
    <row r="10" spans="2:3" ht="35" customHeight="1" x14ac:dyDescent="0.35">
      <c r="B10" s="22" t="s">
        <v>313</v>
      </c>
      <c r="C10" s="21" t="s">
        <v>314</v>
      </c>
    </row>
    <row r="11" spans="2:3" ht="75" customHeight="1" x14ac:dyDescent="0.35">
      <c r="B11" s="18" t="s">
        <v>21</v>
      </c>
      <c r="C11" s="21" t="s">
        <v>315</v>
      </c>
    </row>
    <row r="12" spans="2:3" ht="47" customHeight="1" x14ac:dyDescent="0.35">
      <c r="B12" s="18" t="s">
        <v>21</v>
      </c>
      <c r="C12" s="21" t="s">
        <v>316</v>
      </c>
    </row>
    <row r="13" spans="2:3" ht="35" customHeight="1" x14ac:dyDescent="0.35">
      <c r="B13" s="18" t="s">
        <v>21</v>
      </c>
      <c r="C13" s="21" t="s">
        <v>317</v>
      </c>
    </row>
    <row r="14" spans="2:3" ht="32" customHeight="1" x14ac:dyDescent="0.35">
      <c r="B14" s="18" t="s">
        <v>21</v>
      </c>
      <c r="C14" s="21" t="s">
        <v>318</v>
      </c>
    </row>
    <row r="15" spans="2:3" ht="30" customHeight="1" x14ac:dyDescent="0.35">
      <c r="B15" s="18" t="s">
        <v>21</v>
      </c>
      <c r="C15" s="21" t="s">
        <v>319</v>
      </c>
    </row>
    <row r="16" spans="2:3" ht="10" customHeight="1" x14ac:dyDescent="0.35"/>
    <row r="17" spans="1:3" ht="145" customHeight="1" x14ac:dyDescent="0.35">
      <c r="B17" s="22" t="s">
        <v>320</v>
      </c>
      <c r="C17" s="21" t="s">
        <v>321</v>
      </c>
    </row>
    <row r="18" spans="1:3" ht="10" customHeight="1" x14ac:dyDescent="0.35"/>
    <row r="19" spans="1:3" ht="3" customHeight="1" x14ac:dyDescent="0.35">
      <c r="B19" s="23"/>
      <c r="C19" s="23"/>
    </row>
    <row r="20" spans="1:3" ht="12" customHeight="1" x14ac:dyDescent="0.35"/>
    <row r="21" spans="1:3" ht="35" customHeight="1" x14ac:dyDescent="0.35">
      <c r="A21" s="25"/>
      <c r="B21" s="26" t="s">
        <v>322</v>
      </c>
      <c r="C21" s="27" t="s">
        <v>323</v>
      </c>
    </row>
    <row r="22" spans="1:3" ht="18" customHeight="1" x14ac:dyDescent="0.35">
      <c r="A22" s="25"/>
      <c r="B22" s="25" t="s">
        <v>21</v>
      </c>
      <c r="C22" s="27" t="s">
        <v>324</v>
      </c>
    </row>
    <row r="23" spans="1:3" ht="18" customHeight="1" x14ac:dyDescent="0.35">
      <c r="A23" s="25"/>
      <c r="B23" s="25" t="s">
        <v>21</v>
      </c>
      <c r="C23" s="27" t="s">
        <v>325</v>
      </c>
    </row>
    <row r="24" spans="1:3" ht="18" customHeight="1" x14ac:dyDescent="0.35">
      <c r="A24" s="25"/>
      <c r="B24" s="25" t="s">
        <v>21</v>
      </c>
      <c r="C24" s="27" t="s">
        <v>326</v>
      </c>
    </row>
    <row r="25" spans="1:3" ht="18" customHeight="1" x14ac:dyDescent="0.35">
      <c r="A25" s="25"/>
      <c r="B25" s="25" t="s">
        <v>21</v>
      </c>
      <c r="C25" s="27" t="s">
        <v>327</v>
      </c>
    </row>
    <row r="26" spans="1:3" ht="18" customHeight="1" x14ac:dyDescent="0.35">
      <c r="A26" s="25"/>
      <c r="B26" s="25" t="s">
        <v>21</v>
      </c>
      <c r="C26" s="27" t="s">
        <v>328</v>
      </c>
    </row>
    <row r="27" spans="1:3" ht="18" customHeight="1" x14ac:dyDescent="0.35">
      <c r="A27" s="25"/>
      <c r="B27" s="25" t="s">
        <v>21</v>
      </c>
      <c r="C27" s="27" t="s">
        <v>329</v>
      </c>
    </row>
    <row r="28" spans="1:3" ht="18" customHeight="1" x14ac:dyDescent="0.35">
      <c r="A28" s="25"/>
      <c r="B28" s="25" t="s">
        <v>21</v>
      </c>
      <c r="C28" s="27" t="s">
        <v>330</v>
      </c>
    </row>
    <row r="29" spans="1:3" ht="18" customHeight="1" x14ac:dyDescent="0.35">
      <c r="A29" s="25"/>
      <c r="B29" s="25" t="s">
        <v>21</v>
      </c>
      <c r="C29" s="27" t="s">
        <v>331</v>
      </c>
    </row>
    <row r="30" spans="1:3" ht="44" customHeight="1" x14ac:dyDescent="0.35">
      <c r="A30" s="25"/>
      <c r="B30" s="25" t="s">
        <v>21</v>
      </c>
      <c r="C30" s="28" t="s">
        <v>332</v>
      </c>
    </row>
    <row r="31" spans="1:3" ht="10" customHeight="1" x14ac:dyDescent="0.35"/>
    <row r="32" spans="1:3" ht="3" customHeight="1" x14ac:dyDescent="0.35">
      <c r="B32" s="23"/>
      <c r="C32" s="23"/>
    </row>
    <row r="33" spans="2:3" ht="12" customHeight="1" x14ac:dyDescent="0.35"/>
    <row r="34" spans="2:3" ht="24" customHeight="1" x14ac:dyDescent="0.35">
      <c r="B34" s="29" t="s">
        <v>333</v>
      </c>
      <c r="C34" s="30" t="s">
        <v>334</v>
      </c>
    </row>
    <row r="35" spans="2:3" ht="18.5" x14ac:dyDescent="0.35">
      <c r="B35" s="29" t="s">
        <v>335</v>
      </c>
      <c r="C35" s="31" t="s">
        <v>336</v>
      </c>
    </row>
    <row r="36" spans="2:3" ht="27" customHeight="1" x14ac:dyDescent="0.35">
      <c r="B36" s="32" t="s">
        <v>337</v>
      </c>
      <c r="C36" s="24" t="s">
        <v>338</v>
      </c>
    </row>
    <row r="37" spans="2:3" x14ac:dyDescent="0.35">
      <c r="B37" s="29" t="s">
        <v>339</v>
      </c>
      <c r="C37" s="33" t="s">
        <v>340</v>
      </c>
    </row>
    <row r="38" spans="2:3" ht="10" customHeight="1" x14ac:dyDescent="0.35"/>
    <row r="39" spans="2:3" ht="188.5" x14ac:dyDescent="0.35">
      <c r="B39" s="29" t="s">
        <v>341</v>
      </c>
      <c r="C39" s="34" t="s">
        <v>342</v>
      </c>
    </row>
    <row r="40" spans="2:3" ht="10" customHeight="1" x14ac:dyDescent="0.35"/>
    <row r="41" spans="2:3" ht="20" customHeight="1" x14ac:dyDescent="0.35">
      <c r="B41" s="29" t="s">
        <v>343</v>
      </c>
      <c r="C41" s="35" t="s">
        <v>17</v>
      </c>
    </row>
    <row r="42" spans="2:3" ht="29" x14ac:dyDescent="0.35">
      <c r="C42" s="21" t="s">
        <v>344</v>
      </c>
    </row>
    <row r="43" spans="2:3" ht="10" customHeight="1" x14ac:dyDescent="0.35"/>
    <row r="44" spans="2:3" ht="20" customHeight="1" x14ac:dyDescent="0.35">
      <c r="C44" s="35" t="s">
        <v>164</v>
      </c>
    </row>
    <row r="45" spans="2:3" ht="29" x14ac:dyDescent="0.35">
      <c r="C45" s="21" t="s">
        <v>345</v>
      </c>
    </row>
    <row r="46" spans="2:3" ht="10" customHeight="1" x14ac:dyDescent="0.35"/>
    <row r="47" spans="2:3" ht="43.5" x14ac:dyDescent="0.35">
      <c r="B47" s="29" t="s">
        <v>346</v>
      </c>
      <c r="C47" s="21" t="s">
        <v>347</v>
      </c>
    </row>
    <row r="48" spans="2:3" ht="10" customHeight="1" x14ac:dyDescent="0.35"/>
    <row r="49" spans="2:3" ht="15.5" x14ac:dyDescent="0.35">
      <c r="C49" s="36" t="s">
        <v>47</v>
      </c>
    </row>
    <row r="50" spans="2:3" ht="29" x14ac:dyDescent="0.35">
      <c r="C50" s="21" t="s">
        <v>348</v>
      </c>
    </row>
    <row r="51" spans="2:3" ht="10" customHeight="1" x14ac:dyDescent="0.35"/>
    <row r="52" spans="2:3" ht="15.5" x14ac:dyDescent="0.35">
      <c r="C52" s="37" t="s">
        <v>16</v>
      </c>
    </row>
    <row r="53" spans="2:3" ht="29" x14ac:dyDescent="0.35">
      <c r="C53" s="21" t="s">
        <v>349</v>
      </c>
    </row>
    <row r="54" spans="2:3" ht="10" customHeight="1" x14ac:dyDescent="0.35"/>
    <row r="55" spans="2:3" ht="15.5" x14ac:dyDescent="0.35">
      <c r="C55" s="38" t="s">
        <v>163</v>
      </c>
    </row>
    <row r="56" spans="2:3" ht="29" x14ac:dyDescent="0.35">
      <c r="C56" s="21" t="s">
        <v>350</v>
      </c>
    </row>
    <row r="57" spans="2:3" ht="10" customHeight="1" x14ac:dyDescent="0.35"/>
    <row r="58" spans="2:3" ht="3" customHeight="1" x14ac:dyDescent="0.35">
      <c r="B58" s="23"/>
      <c r="C58" s="23"/>
    </row>
    <row r="59" spans="2:3" ht="12" customHeight="1" x14ac:dyDescent="0.35"/>
    <row r="60" spans="2:3" ht="130.5" x14ac:dyDescent="0.35">
      <c r="B60" s="20" t="s">
        <v>351</v>
      </c>
      <c r="C60" s="21" t="s">
        <v>352</v>
      </c>
    </row>
    <row r="61" spans="2:3" ht="6" customHeight="1" x14ac:dyDescent="0.35"/>
    <row r="62" spans="2:3" ht="217.5" x14ac:dyDescent="0.35">
      <c r="C62" s="21" t="s">
        <v>353</v>
      </c>
    </row>
    <row r="63" spans="2:3" ht="6" customHeight="1" x14ac:dyDescent="0.35"/>
    <row r="64" spans="2:3" ht="43.5" x14ac:dyDescent="0.35">
      <c r="C64" s="21" t="s">
        <v>354</v>
      </c>
    </row>
    <row r="65" spans="2:3" ht="10" customHeight="1" x14ac:dyDescent="0.35"/>
    <row r="66" spans="2:3" ht="3" customHeight="1" x14ac:dyDescent="0.35">
      <c r="B66" s="23"/>
      <c r="C66" s="23"/>
    </row>
    <row r="67" spans="2:3" ht="12" customHeight="1" x14ac:dyDescent="0.35"/>
    <row r="68" spans="2:3" ht="145" x14ac:dyDescent="0.35">
      <c r="B68" s="20" t="s">
        <v>355</v>
      </c>
      <c r="C68" s="21" t="s">
        <v>356</v>
      </c>
    </row>
    <row r="69" spans="2:3" ht="6" customHeight="1" x14ac:dyDescent="0.35"/>
    <row r="70" spans="2:3" ht="203" x14ac:dyDescent="0.35">
      <c r="C70" s="21" t="s">
        <v>357</v>
      </c>
    </row>
    <row r="71" spans="2:3" ht="6" customHeight="1" x14ac:dyDescent="0.35"/>
    <row r="72" spans="2:3" ht="43.5" x14ac:dyDescent="0.35">
      <c r="C72" s="21" t="s">
        <v>358</v>
      </c>
    </row>
    <row r="73" spans="2:3" ht="10" customHeight="1" x14ac:dyDescent="0.35"/>
    <row r="74" spans="2:3" ht="3" customHeight="1" x14ac:dyDescent="0.35">
      <c r="B74" s="23"/>
      <c r="C74" s="23"/>
    </row>
    <row r="75" spans="2:3" ht="12" customHeight="1" x14ac:dyDescent="0.35"/>
    <row r="76" spans="2:3" ht="101.5" x14ac:dyDescent="0.35">
      <c r="B76" s="20" t="s">
        <v>359</v>
      </c>
      <c r="C76" s="21" t="s">
        <v>360</v>
      </c>
    </row>
    <row r="77" spans="2:3" ht="6" customHeight="1" x14ac:dyDescent="0.35"/>
    <row r="78" spans="2:3" ht="145" x14ac:dyDescent="0.35">
      <c r="C78" s="21" t="s">
        <v>361</v>
      </c>
    </row>
    <row r="79" spans="2:3" ht="6" customHeight="1" x14ac:dyDescent="0.35"/>
    <row r="80" spans="2:3" ht="43.5" x14ac:dyDescent="0.35">
      <c r="C80" s="21" t="s">
        <v>362</v>
      </c>
    </row>
    <row r="84" spans="2:3" ht="32" customHeight="1" x14ac:dyDescent="0.35">
      <c r="B84" s="81" t="s">
        <v>305</v>
      </c>
      <c r="C84" s="81"/>
    </row>
  </sheetData>
  <sheetProtection password="90EA" sheet="1"/>
  <mergeCells count="1">
    <mergeCell ref="B84:C84"/>
  </mergeCells>
  <hyperlinks>
    <hyperlink ref="C5" r:id="rId1" xr:uid="{00000000-0004-0000-0000-000000000000}"/>
    <hyperlink ref="C6" r:id="rId2" xr:uid="{00000000-0004-0000-0000-000001000000}"/>
    <hyperlink ref="C37" r:id="rId3" xr:uid="{00000000-0004-0000-0000-000002000000}"/>
    <hyperlink ref="B84"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363</v>
      </c>
      <c r="C2" s="83"/>
      <c r="D2" s="83"/>
      <c r="E2" s="83"/>
      <c r="F2" s="83"/>
      <c r="G2" s="83"/>
      <c r="H2" s="83"/>
      <c r="I2" s="83"/>
    </row>
    <row r="4" spans="2:15" ht="18.5" x14ac:dyDescent="0.45">
      <c r="B4" s="40" t="s">
        <v>364</v>
      </c>
    </row>
    <row r="5" spans="2:15" x14ac:dyDescent="0.35">
      <c r="B5" s="42" t="s">
        <v>21</v>
      </c>
      <c r="C5" s="42" t="s">
        <v>365</v>
      </c>
      <c r="D5" s="42" t="s">
        <v>366</v>
      </c>
      <c r="F5" s="84" t="s">
        <v>367</v>
      </c>
      <c r="G5" s="84"/>
      <c r="H5" s="84"/>
      <c r="I5" s="85" t="s">
        <v>368</v>
      </c>
      <c r="J5" s="85"/>
      <c r="K5" s="85"/>
      <c r="L5" s="85"/>
      <c r="M5" s="85"/>
      <c r="N5" s="85"/>
      <c r="O5" s="85"/>
    </row>
    <row r="6" spans="2:15" x14ac:dyDescent="0.35">
      <c r="B6" s="48" t="s">
        <v>369</v>
      </c>
      <c r="C6" s="49">
        <v>60</v>
      </c>
      <c r="D6" s="50" t="s">
        <v>21</v>
      </c>
      <c r="F6" s="84" t="s">
        <v>370</v>
      </c>
      <c r="G6" s="84"/>
      <c r="H6" s="84"/>
      <c r="I6" s="86" t="s">
        <v>371</v>
      </c>
      <c r="J6" s="86"/>
      <c r="K6" s="86"/>
      <c r="L6" s="86"/>
      <c r="M6" s="86"/>
      <c r="N6" s="86"/>
      <c r="O6" s="86"/>
    </row>
    <row r="7" spans="2:15" x14ac:dyDescent="0.35">
      <c r="B7" s="51" t="s">
        <v>372</v>
      </c>
      <c r="C7" s="52">
        <f>C6-C8-C9</f>
        <v>60</v>
      </c>
      <c r="D7" s="53">
        <f>IF(C6&gt;0,C7/C6,0)</f>
        <v>1</v>
      </c>
      <c r="F7" s="84" t="s">
        <v>373</v>
      </c>
      <c r="G7" s="84"/>
      <c r="H7" s="84"/>
      <c r="I7" s="86" t="s">
        <v>371</v>
      </c>
      <c r="J7" s="86"/>
      <c r="K7" s="86"/>
      <c r="L7" s="86"/>
      <c r="M7" s="86"/>
      <c r="N7" s="86"/>
      <c r="O7" s="86"/>
    </row>
    <row r="8" spans="2:15" x14ac:dyDescent="0.35">
      <c r="B8" s="44" t="s">
        <v>374</v>
      </c>
      <c r="C8" s="45">
        <f>COUNTIF('Recommendations'!H:H,"Risk Accepted")</f>
        <v>0</v>
      </c>
      <c r="D8" s="46">
        <f>IF(C6&gt;0,C8/C6,0)</f>
        <v>0</v>
      </c>
      <c r="F8" s="84" t="s">
        <v>375</v>
      </c>
      <c r="G8" s="84"/>
      <c r="H8" s="84"/>
      <c r="I8" s="86" t="s">
        <v>371</v>
      </c>
      <c r="J8" s="86"/>
      <c r="K8" s="86"/>
      <c r="L8" s="86"/>
      <c r="M8" s="86"/>
      <c r="N8" s="86"/>
      <c r="O8" s="86"/>
    </row>
    <row r="9" spans="2:15" x14ac:dyDescent="0.35">
      <c r="B9" s="44" t="s">
        <v>376</v>
      </c>
      <c r="C9" s="45">
        <f>COUNTIF('Recommendations'!H:H,"N/A")</f>
        <v>0</v>
      </c>
      <c r="D9" s="46">
        <f>IF(C6&gt;0,C9/C6,0)</f>
        <v>0</v>
      </c>
      <c r="F9" s="84" t="s">
        <v>377</v>
      </c>
      <c r="G9" s="84"/>
      <c r="H9" s="84"/>
      <c r="I9" s="86" t="s">
        <v>371</v>
      </c>
      <c r="J9" s="86"/>
      <c r="K9" s="86"/>
      <c r="L9" s="86"/>
      <c r="M9" s="86"/>
      <c r="N9" s="86"/>
      <c r="O9" s="86"/>
    </row>
    <row r="12" spans="2:15" ht="18.5" x14ac:dyDescent="0.45">
      <c r="B12" s="40" t="s">
        <v>378</v>
      </c>
    </row>
    <row r="14" spans="2:15" x14ac:dyDescent="0.35">
      <c r="B14" s="54" t="s">
        <v>379</v>
      </c>
    </row>
    <row r="15" spans="2:15" x14ac:dyDescent="0.35">
      <c r="B15" s="42" t="s">
        <v>21</v>
      </c>
      <c r="C15" s="42" t="s">
        <v>380</v>
      </c>
      <c r="D15" s="42" t="s">
        <v>381</v>
      </c>
      <c r="E15" s="42" t="s">
        <v>382</v>
      </c>
      <c r="F15" s="42" t="s">
        <v>383</v>
      </c>
    </row>
    <row r="16" spans="2:15" x14ac:dyDescent="0.35">
      <c r="B16" s="44" t="s">
        <v>384</v>
      </c>
      <c r="C16" s="45">
        <f>COUNTIF('Recommendations'!M:M,"Resolved")</f>
        <v>0</v>
      </c>
      <c r="D16" s="45">
        <f>COUNTIF('Recommendations'!M:M,"Testing")</f>
        <v>0</v>
      </c>
      <c r="E16" s="45">
        <f>COUNTIF('Recommendations'!M:M,"Outstanding")</f>
        <v>60</v>
      </c>
      <c r="F16" s="45">
        <f>SUM(C16:E16)</f>
        <v>60</v>
      </c>
    </row>
    <row r="18" spans="2:6" x14ac:dyDescent="0.35">
      <c r="B18" s="54" t="s">
        <v>385</v>
      </c>
    </row>
    <row r="19" spans="2:6" x14ac:dyDescent="0.35">
      <c r="B19" s="55" t="s">
        <v>21</v>
      </c>
      <c r="C19" s="55" t="s">
        <v>380</v>
      </c>
      <c r="D19" s="55" t="s">
        <v>381</v>
      </c>
      <c r="E19" s="55" t="s">
        <v>382</v>
      </c>
      <c r="F19" s="55" t="s">
        <v>21</v>
      </c>
    </row>
    <row r="20" spans="2:6" x14ac:dyDescent="0.35">
      <c r="B20" s="44" t="s">
        <v>384</v>
      </c>
      <c r="C20" s="46">
        <f>IF(F16&gt;0, C16/F16, 0)</f>
        <v>0</v>
      </c>
      <c r="D20" s="46">
        <f>IF(F16&gt;0, D16/F16, 0)</f>
        <v>0</v>
      </c>
      <c r="E20" s="46">
        <f>IF(F16&gt;0, E16/F16, 0)</f>
        <v>1</v>
      </c>
      <c r="F20" s="47" t="s">
        <v>21</v>
      </c>
    </row>
    <row r="25" spans="2:6" ht="18.5" x14ac:dyDescent="0.45">
      <c r="B25" s="40" t="s">
        <v>386</v>
      </c>
    </row>
    <row r="27" spans="2:6" x14ac:dyDescent="0.35">
      <c r="B27" s="54" t="s">
        <v>379</v>
      </c>
    </row>
    <row r="28" spans="2:6" x14ac:dyDescent="0.35">
      <c r="B28" s="42" t="s">
        <v>3</v>
      </c>
      <c r="C28" s="42" t="s">
        <v>380</v>
      </c>
      <c r="D28" s="42" t="s">
        <v>381</v>
      </c>
      <c r="E28" s="42" t="s">
        <v>382</v>
      </c>
      <c r="F28" s="42" t="s">
        <v>383</v>
      </c>
    </row>
    <row r="29" spans="2:6" x14ac:dyDescent="0.35">
      <c r="B29" s="44" t="s">
        <v>17</v>
      </c>
      <c r="C29" s="45">
        <f>COUNTIFS('Recommendations'!D:D,"IDPS",'Recommendations'!M:M,"=Resolved")</f>
        <v>0</v>
      </c>
      <c r="D29" s="45">
        <f>COUNTIFS('Recommendations'!D:D,"=IDPS",'Recommendations'!M:M,"=Testing")</f>
        <v>0</v>
      </c>
      <c r="E29" s="45">
        <f>COUNTIFS('Recommendations'!D:D,"=IDPS",'Recommendations'!M:M,"=Outstanding")</f>
        <v>30</v>
      </c>
      <c r="F29" s="45">
        <f>SUM(C29:E29)</f>
        <v>30</v>
      </c>
    </row>
    <row r="30" spans="2:6" x14ac:dyDescent="0.35">
      <c r="B30" s="44" t="s">
        <v>164</v>
      </c>
      <c r="C30" s="45">
        <f>COUNTIFS('Recommendations'!D:D,"NDM",'Recommendations'!M:M,"=Resolved")</f>
        <v>0</v>
      </c>
      <c r="D30" s="45">
        <f>COUNTIFS('Recommendations'!D:D,"=NDM",'Recommendations'!M:M,"=Testing")</f>
        <v>0</v>
      </c>
      <c r="E30" s="45">
        <f>COUNTIFS('Recommendations'!D:D,"=NDM",'Recommendations'!M:M,"=Outstanding")</f>
        <v>30</v>
      </c>
      <c r="F30" s="45">
        <f>SUM(C30:E30)</f>
        <v>30</v>
      </c>
    </row>
    <row r="32" spans="2:6" x14ac:dyDescent="0.35">
      <c r="B32" s="54" t="s">
        <v>385</v>
      </c>
    </row>
    <row r="33" spans="2:6" x14ac:dyDescent="0.35">
      <c r="B33" s="55" t="s">
        <v>3</v>
      </c>
      <c r="C33" s="55" t="s">
        <v>380</v>
      </c>
      <c r="D33" s="55" t="s">
        <v>381</v>
      </c>
      <c r="E33" s="55" t="s">
        <v>382</v>
      </c>
      <c r="F33" s="55" t="s">
        <v>21</v>
      </c>
    </row>
    <row r="34" spans="2:6" x14ac:dyDescent="0.35">
      <c r="B34" s="44" t="s">
        <v>17</v>
      </c>
      <c r="C34" s="46">
        <f>IF(F29&gt;0, C29/F29, 0)</f>
        <v>0</v>
      </c>
      <c r="D34" s="46">
        <f>IF(F29&gt;0, D29/F29, 0)</f>
        <v>0</v>
      </c>
      <c r="E34" s="46">
        <f>IF(F29&gt;0, E29/F29, 0)</f>
        <v>1</v>
      </c>
      <c r="F34" s="47" t="s">
        <v>21</v>
      </c>
    </row>
    <row r="35" spans="2:6" x14ac:dyDescent="0.35">
      <c r="B35" s="44" t="s">
        <v>164</v>
      </c>
      <c r="C35" s="46">
        <f>IF(F30&gt;0, C30/F30, 0)</f>
        <v>0</v>
      </c>
      <c r="D35" s="46">
        <f>IF(F30&gt;0, D30/F30, 0)</f>
        <v>0</v>
      </c>
      <c r="E35" s="46">
        <f>IF(F30&gt;0, E30/F30, 0)</f>
        <v>1</v>
      </c>
      <c r="F35" s="47" t="s">
        <v>21</v>
      </c>
    </row>
    <row r="40" spans="2:6" ht="18.5" x14ac:dyDescent="0.45">
      <c r="B40" s="40" t="s">
        <v>387</v>
      </c>
    </row>
    <row r="42" spans="2:6" x14ac:dyDescent="0.35">
      <c r="B42" s="54" t="s">
        <v>379</v>
      </c>
    </row>
    <row r="43" spans="2:6" x14ac:dyDescent="0.35">
      <c r="B43" s="42" t="s">
        <v>6</v>
      </c>
      <c r="C43" s="42" t="s">
        <v>380</v>
      </c>
      <c r="D43" s="42" t="s">
        <v>381</v>
      </c>
      <c r="E43" s="42" t="s">
        <v>382</v>
      </c>
      <c r="F43" s="42" t="s">
        <v>383</v>
      </c>
    </row>
    <row r="44" spans="2:6" x14ac:dyDescent="0.35">
      <c r="B44" s="44" t="s">
        <v>388</v>
      </c>
      <c r="C44" s="45">
        <f>COUNTIFS('Recommendations'!G:G,"Phase1",'Recommendations'!M:M,"=Resolved")</f>
        <v>0</v>
      </c>
      <c r="D44" s="45">
        <f>COUNTIFS('Recommendations'!G:G,"=Phase1",'Recommendations'!M:M,"=Testing")</f>
        <v>0</v>
      </c>
      <c r="E44" s="45">
        <f>COUNTIFS('Recommendations'!G:G,"=Phase1",'Recommendations'!M:M,"=Outstanding")</f>
        <v>0</v>
      </c>
      <c r="F44" s="45">
        <f t="shared" ref="F44:F49" si="0">SUM(C44:E44)</f>
        <v>0</v>
      </c>
    </row>
    <row r="45" spans="2:6" x14ac:dyDescent="0.35">
      <c r="B45" s="44" t="s">
        <v>389</v>
      </c>
      <c r="C45" s="45">
        <f>COUNTIFS('Recommendations'!G:G,"Phase2",'Recommendations'!M:M,"=Resolved")</f>
        <v>0</v>
      </c>
      <c r="D45" s="45">
        <f>COUNTIFS('Recommendations'!G:G,"=Phase2",'Recommendations'!M:M,"=Testing")</f>
        <v>0</v>
      </c>
      <c r="E45" s="45">
        <f>COUNTIFS('Recommendations'!G:G,"=Phase2",'Recommendations'!M:M,"=Outstanding")</f>
        <v>0</v>
      </c>
      <c r="F45" s="45">
        <f t="shared" si="0"/>
        <v>0</v>
      </c>
    </row>
    <row r="46" spans="2:6" x14ac:dyDescent="0.35">
      <c r="B46" s="44" t="s">
        <v>390</v>
      </c>
      <c r="C46" s="45">
        <f>COUNTIFS('Recommendations'!G:G,"Phase3",'Recommendations'!M:M,"=Resolved")</f>
        <v>0</v>
      </c>
      <c r="D46" s="45">
        <f>COUNTIFS('Recommendations'!G:G,"=Phase3",'Recommendations'!M:M,"=Testing")</f>
        <v>0</v>
      </c>
      <c r="E46" s="45">
        <f>COUNTIFS('Recommendations'!G:G,"=Phase3",'Recommendations'!M:M,"=Outstanding")</f>
        <v>0</v>
      </c>
      <c r="F46" s="45">
        <f t="shared" si="0"/>
        <v>0</v>
      </c>
    </row>
    <row r="47" spans="2:6" x14ac:dyDescent="0.35">
      <c r="B47" s="44" t="s">
        <v>391</v>
      </c>
      <c r="C47" s="45">
        <f>COUNTIFS('Recommendations'!G:G,"Phase4",'Recommendations'!M:M,"=Resolved")</f>
        <v>0</v>
      </c>
      <c r="D47" s="45">
        <f>COUNTIFS('Recommendations'!G:G,"=Phase4",'Recommendations'!M:M,"=Testing")</f>
        <v>0</v>
      </c>
      <c r="E47" s="45">
        <f>COUNTIFS('Recommendations'!G:G,"=Phase4",'Recommendations'!M:M,"=Outstanding")</f>
        <v>0</v>
      </c>
      <c r="F47" s="45">
        <f t="shared" si="0"/>
        <v>0</v>
      </c>
    </row>
    <row r="48" spans="2:6" x14ac:dyDescent="0.35">
      <c r="B48" s="44" t="s">
        <v>392</v>
      </c>
      <c r="C48" s="45">
        <f>COUNTIFS('Recommendations'!G:G,"Phase5",'Recommendations'!M:M,"=Resolved")</f>
        <v>0</v>
      </c>
      <c r="D48" s="45">
        <f>COUNTIFS('Recommendations'!G:G,"=Phase5",'Recommendations'!M:M,"=Testing")</f>
        <v>0</v>
      </c>
      <c r="E48" s="45">
        <f>COUNTIFS('Recommendations'!G:G,"=Phase5",'Recommendations'!M:M,"=Outstanding")</f>
        <v>0</v>
      </c>
      <c r="F48" s="45">
        <f t="shared" si="0"/>
        <v>0</v>
      </c>
    </row>
    <row r="49" spans="2:6" x14ac:dyDescent="0.35">
      <c r="B49" s="44" t="s">
        <v>20</v>
      </c>
      <c r="C49" s="45">
        <f>COUNTIFS('Recommendations'!G:G,"Pending",'Recommendations'!M:M,"=Resolved")</f>
        <v>0</v>
      </c>
      <c r="D49" s="45">
        <f>COUNTIFS('Recommendations'!G:G,"=Pending",'Recommendations'!M:M,"=Testing")</f>
        <v>0</v>
      </c>
      <c r="E49" s="45">
        <f>COUNTIFS('Recommendations'!G:G,"=Pending",'Recommendations'!M:M,"=Outstanding")</f>
        <v>60</v>
      </c>
      <c r="F49" s="45">
        <f t="shared" si="0"/>
        <v>60</v>
      </c>
    </row>
    <row r="51" spans="2:6" x14ac:dyDescent="0.35">
      <c r="B51" s="54" t="s">
        <v>385</v>
      </c>
    </row>
    <row r="52" spans="2:6" x14ac:dyDescent="0.35">
      <c r="B52" s="55" t="s">
        <v>6</v>
      </c>
      <c r="C52" s="55" t="s">
        <v>380</v>
      </c>
      <c r="D52" s="55" t="s">
        <v>381</v>
      </c>
      <c r="E52" s="55" t="s">
        <v>382</v>
      </c>
      <c r="F52" s="55" t="s">
        <v>21</v>
      </c>
    </row>
    <row r="53" spans="2:6" x14ac:dyDescent="0.35">
      <c r="B53" s="44" t="s">
        <v>388</v>
      </c>
      <c r="C53" s="46">
        <f t="shared" ref="C53:C58" si="1">IF(F44&gt;0, C44/F44, 0)</f>
        <v>0</v>
      </c>
      <c r="D53" s="46">
        <f t="shared" ref="D53:D58" si="2">IF(F44&gt;0, D44/F44, 0)</f>
        <v>0</v>
      </c>
      <c r="E53" s="46">
        <f t="shared" ref="E53:E58" si="3">IF(F44&gt;0, E44/F44, 0)</f>
        <v>0</v>
      </c>
      <c r="F53" s="47" t="s">
        <v>21</v>
      </c>
    </row>
    <row r="54" spans="2:6" x14ac:dyDescent="0.35">
      <c r="B54" s="44" t="s">
        <v>389</v>
      </c>
      <c r="C54" s="46">
        <f t="shared" si="1"/>
        <v>0</v>
      </c>
      <c r="D54" s="46">
        <f t="shared" si="2"/>
        <v>0</v>
      </c>
      <c r="E54" s="46">
        <f t="shared" si="3"/>
        <v>0</v>
      </c>
      <c r="F54" s="47" t="s">
        <v>21</v>
      </c>
    </row>
    <row r="55" spans="2:6" x14ac:dyDescent="0.35">
      <c r="B55" s="44" t="s">
        <v>390</v>
      </c>
      <c r="C55" s="46">
        <f t="shared" si="1"/>
        <v>0</v>
      </c>
      <c r="D55" s="46">
        <f t="shared" si="2"/>
        <v>0</v>
      </c>
      <c r="E55" s="46">
        <f t="shared" si="3"/>
        <v>0</v>
      </c>
      <c r="F55" s="47" t="s">
        <v>21</v>
      </c>
    </row>
    <row r="56" spans="2:6" x14ac:dyDescent="0.35">
      <c r="B56" s="44" t="s">
        <v>391</v>
      </c>
      <c r="C56" s="46">
        <f t="shared" si="1"/>
        <v>0</v>
      </c>
      <c r="D56" s="46">
        <f t="shared" si="2"/>
        <v>0</v>
      </c>
      <c r="E56" s="46">
        <f t="shared" si="3"/>
        <v>0</v>
      </c>
      <c r="F56" s="47" t="s">
        <v>21</v>
      </c>
    </row>
    <row r="57" spans="2:6" x14ac:dyDescent="0.35">
      <c r="B57" s="44" t="s">
        <v>392</v>
      </c>
      <c r="C57" s="46">
        <f t="shared" si="1"/>
        <v>0</v>
      </c>
      <c r="D57" s="46">
        <f t="shared" si="2"/>
        <v>0</v>
      </c>
      <c r="E57" s="46">
        <f t="shared" si="3"/>
        <v>0</v>
      </c>
      <c r="F57" s="47" t="s">
        <v>21</v>
      </c>
    </row>
    <row r="58" spans="2:6" x14ac:dyDescent="0.35">
      <c r="B58" s="44" t="s">
        <v>20</v>
      </c>
      <c r="C58" s="46">
        <f t="shared" si="1"/>
        <v>0</v>
      </c>
      <c r="D58" s="46">
        <f t="shared" si="2"/>
        <v>0</v>
      </c>
      <c r="E58" s="46">
        <f t="shared" si="3"/>
        <v>1</v>
      </c>
      <c r="F58" s="47" t="s">
        <v>21</v>
      </c>
    </row>
    <row r="63" spans="2:6" ht="18.5" x14ac:dyDescent="0.45">
      <c r="B63" s="40" t="s">
        <v>393</v>
      </c>
    </row>
    <row r="65" spans="2:6" x14ac:dyDescent="0.35">
      <c r="B65" s="54" t="s">
        <v>379</v>
      </c>
    </row>
    <row r="66" spans="2:6" x14ac:dyDescent="0.35">
      <c r="B66" s="42" t="s">
        <v>2</v>
      </c>
      <c r="C66" s="42" t="s">
        <v>380</v>
      </c>
      <c r="D66" s="42" t="s">
        <v>381</v>
      </c>
      <c r="E66" s="42" t="s">
        <v>382</v>
      </c>
      <c r="F66" s="42" t="s">
        <v>383</v>
      </c>
    </row>
    <row r="67" spans="2:6" x14ac:dyDescent="0.35">
      <c r="B67" s="44" t="s">
        <v>47</v>
      </c>
      <c r="C67" s="45">
        <f>COUNTIFS('Recommendations'!C:C,"CAT I (High)",'Recommendations'!M:M,"=Resolved")</f>
        <v>0</v>
      </c>
      <c r="D67" s="45">
        <f>COUNTIFS('Recommendations'!C:C,"=CAT I (High)",'Recommendations'!M:M,"=Testing")</f>
        <v>0</v>
      </c>
      <c r="E67" s="45">
        <f>COUNTIFS('Recommendations'!C:C,"=CAT I (High)",'Recommendations'!M:M,"=Outstanding")</f>
        <v>11</v>
      </c>
      <c r="F67" s="45">
        <f>SUM(C67:E67)</f>
        <v>11</v>
      </c>
    </row>
    <row r="68" spans="2:6" x14ac:dyDescent="0.35">
      <c r="B68" s="44" t="s">
        <v>16</v>
      </c>
      <c r="C68" s="45">
        <f>COUNTIFS('Recommendations'!C:C,"CAT II (Medium)",'Recommendations'!M:M,"=Resolved")</f>
        <v>0</v>
      </c>
      <c r="D68" s="45">
        <f>COUNTIFS('Recommendations'!C:C,"=CAT II (Medium)",'Recommendations'!M:M,"=Testing")</f>
        <v>0</v>
      </c>
      <c r="E68" s="45">
        <f>COUNTIFS('Recommendations'!C:C,"=CAT II (Medium)",'Recommendations'!M:M,"=Outstanding")</f>
        <v>44</v>
      </c>
      <c r="F68" s="45">
        <f>SUM(C68:E68)</f>
        <v>44</v>
      </c>
    </row>
    <row r="69" spans="2:6" x14ac:dyDescent="0.35">
      <c r="B69" s="44" t="s">
        <v>163</v>
      </c>
      <c r="C69" s="45">
        <f>COUNTIFS('Recommendations'!C:C,"CAT III (Low)",'Recommendations'!M:M,"=Resolved")</f>
        <v>0</v>
      </c>
      <c r="D69" s="45">
        <f>COUNTIFS('Recommendations'!C:C,"=CAT III (Low)",'Recommendations'!M:M,"=Testing")</f>
        <v>0</v>
      </c>
      <c r="E69" s="45">
        <f>COUNTIFS('Recommendations'!C:C,"=CAT III (Low)",'Recommendations'!M:M,"=Outstanding")</f>
        <v>5</v>
      </c>
      <c r="F69" s="45">
        <f>SUM(C69:E69)</f>
        <v>5</v>
      </c>
    </row>
    <row r="71" spans="2:6" x14ac:dyDescent="0.35">
      <c r="B71" s="54" t="s">
        <v>385</v>
      </c>
    </row>
    <row r="72" spans="2:6" x14ac:dyDescent="0.35">
      <c r="B72" s="55" t="s">
        <v>2</v>
      </c>
      <c r="C72" s="55" t="s">
        <v>380</v>
      </c>
      <c r="D72" s="55" t="s">
        <v>381</v>
      </c>
      <c r="E72" s="55" t="s">
        <v>382</v>
      </c>
      <c r="F72" s="55" t="s">
        <v>21</v>
      </c>
    </row>
    <row r="73" spans="2:6" x14ac:dyDescent="0.35">
      <c r="B73" s="44" t="s">
        <v>47</v>
      </c>
      <c r="C73" s="46">
        <f>IF(F67&gt;0, C67/F67, 0)</f>
        <v>0</v>
      </c>
      <c r="D73" s="46">
        <f>IF(F67&gt;0, D67/F67, 0)</f>
        <v>0</v>
      </c>
      <c r="E73" s="46">
        <f>IF(F67&gt;0, E67/F67, 0)</f>
        <v>1</v>
      </c>
      <c r="F73" s="47" t="s">
        <v>21</v>
      </c>
    </row>
    <row r="74" spans="2:6" x14ac:dyDescent="0.35">
      <c r="B74" s="44" t="s">
        <v>16</v>
      </c>
      <c r="C74" s="46">
        <f>IF(F68&gt;0, C68/F68, 0)</f>
        <v>0</v>
      </c>
      <c r="D74" s="46">
        <f>IF(F68&gt;0, D68/F68, 0)</f>
        <v>0</v>
      </c>
      <c r="E74" s="46">
        <f>IF(F68&gt;0, E68/F68, 0)</f>
        <v>1</v>
      </c>
      <c r="F74" s="47" t="s">
        <v>21</v>
      </c>
    </row>
    <row r="75" spans="2:6" x14ac:dyDescent="0.35">
      <c r="B75" s="44" t="s">
        <v>163</v>
      </c>
      <c r="C75" s="46">
        <f>IF(F69&gt;0, C69/F69, 0)</f>
        <v>0</v>
      </c>
      <c r="D75" s="46">
        <f>IF(F69&gt;0, D69/F69, 0)</f>
        <v>0</v>
      </c>
      <c r="E75" s="46">
        <f>IF(F69&gt;0, E69/F69, 0)</f>
        <v>1</v>
      </c>
      <c r="F75" s="47" t="s">
        <v>21</v>
      </c>
    </row>
    <row r="80" spans="2:6" ht="18.5" x14ac:dyDescent="0.45">
      <c r="B80" s="40" t="s">
        <v>394</v>
      </c>
    </row>
    <row r="82" spans="2:6" x14ac:dyDescent="0.35">
      <c r="B82" s="54" t="s">
        <v>379</v>
      </c>
    </row>
    <row r="83" spans="2:6" x14ac:dyDescent="0.35">
      <c r="B83" s="42" t="s">
        <v>4</v>
      </c>
      <c r="C83" s="42" t="s">
        <v>380</v>
      </c>
      <c r="D83" s="42" t="s">
        <v>381</v>
      </c>
      <c r="E83" s="42" t="s">
        <v>382</v>
      </c>
      <c r="F83" s="42" t="s">
        <v>383</v>
      </c>
    </row>
    <row r="84" spans="2:6" x14ac:dyDescent="0.35">
      <c r="B84" s="44" t="s">
        <v>395</v>
      </c>
      <c r="C84" s="45">
        <f>COUNTIFS('Recommendations'!E:E,"Must",'Recommendations'!M:M,"=Resolved")</f>
        <v>0</v>
      </c>
      <c r="D84" s="45">
        <f>COUNTIFS('Recommendations'!E:E,"=Must",'Recommendations'!M:M,"=Testing")</f>
        <v>0</v>
      </c>
      <c r="E84" s="45">
        <f>COUNTIFS('Recommendations'!E:E,"=Must",'Recommendations'!M:M,"=Outstanding")</f>
        <v>0</v>
      </c>
      <c r="F84" s="45">
        <f>SUM(C84:E84)</f>
        <v>0</v>
      </c>
    </row>
    <row r="85" spans="2:6" x14ac:dyDescent="0.35">
      <c r="B85" s="44" t="s">
        <v>396</v>
      </c>
      <c r="C85" s="45">
        <f>COUNTIFS('Recommendations'!E:E,"Should",'Recommendations'!M:M,"=Resolved")</f>
        <v>0</v>
      </c>
      <c r="D85" s="45">
        <f>COUNTIFS('Recommendations'!E:E,"=Should",'Recommendations'!M:M,"=Testing")</f>
        <v>0</v>
      </c>
      <c r="E85" s="45">
        <f>COUNTIFS('Recommendations'!E:E,"=Should",'Recommendations'!M:M,"=Outstanding")</f>
        <v>0</v>
      </c>
      <c r="F85" s="45">
        <f>SUM(C85:E85)</f>
        <v>0</v>
      </c>
    </row>
    <row r="86" spans="2:6" x14ac:dyDescent="0.35">
      <c r="B86" s="44" t="s">
        <v>397</v>
      </c>
      <c r="C86" s="45">
        <f>COUNTIFS('Recommendations'!E:E,"Could",'Recommendations'!M:M,"=Resolved")</f>
        <v>0</v>
      </c>
      <c r="D86" s="45">
        <f>COUNTIFS('Recommendations'!E:E,"=Could",'Recommendations'!M:M,"=Testing")</f>
        <v>0</v>
      </c>
      <c r="E86" s="45">
        <f>COUNTIFS('Recommendations'!E:E,"=Could",'Recommendations'!M:M,"=Outstanding")</f>
        <v>0</v>
      </c>
      <c r="F86" s="45">
        <f>SUM(C86:E86)</f>
        <v>0</v>
      </c>
    </row>
    <row r="87" spans="2:6" x14ac:dyDescent="0.35">
      <c r="B87" s="44" t="s">
        <v>398</v>
      </c>
      <c r="C87" s="45">
        <f>COUNTIFS('Recommendations'!E:E,"Won't",'Recommendations'!M:M,"=Resolved")</f>
        <v>0</v>
      </c>
      <c r="D87" s="45">
        <f>COUNTIFS('Recommendations'!E:E,"=Won't",'Recommendations'!M:M,"=Testing")</f>
        <v>0</v>
      </c>
      <c r="E87" s="45">
        <f>COUNTIFS('Recommendations'!E:E,"=Won't",'Recommendations'!M:M,"=Outstanding")</f>
        <v>0</v>
      </c>
      <c r="F87" s="45">
        <f>SUM(C87:E87)</f>
        <v>0</v>
      </c>
    </row>
    <row r="88" spans="2:6" x14ac:dyDescent="0.35">
      <c r="B88" s="44" t="s">
        <v>18</v>
      </c>
      <c r="C88" s="45">
        <f>COUNTIFS('Recommendations'!E:E,"Unassigned",'Recommendations'!M:M,"=Resolved")</f>
        <v>0</v>
      </c>
      <c r="D88" s="45">
        <f>COUNTIFS('Recommendations'!E:E,"=Unassigned",'Recommendations'!M:M,"=Testing")</f>
        <v>0</v>
      </c>
      <c r="E88" s="45">
        <f>COUNTIFS('Recommendations'!E:E,"=Unassigned",'Recommendations'!M:M,"=Outstanding")</f>
        <v>60</v>
      </c>
      <c r="F88" s="45">
        <f>SUM(C88:E88)</f>
        <v>60</v>
      </c>
    </row>
    <row r="90" spans="2:6" x14ac:dyDescent="0.35">
      <c r="B90" s="54" t="s">
        <v>385</v>
      </c>
    </row>
    <row r="91" spans="2:6" x14ac:dyDescent="0.35">
      <c r="B91" s="55" t="s">
        <v>4</v>
      </c>
      <c r="C91" s="55" t="s">
        <v>380</v>
      </c>
      <c r="D91" s="55" t="s">
        <v>381</v>
      </c>
      <c r="E91" s="55" t="s">
        <v>382</v>
      </c>
      <c r="F91" s="55" t="s">
        <v>21</v>
      </c>
    </row>
    <row r="92" spans="2:6" x14ac:dyDescent="0.35">
      <c r="B92" s="44" t="s">
        <v>395</v>
      </c>
      <c r="C92" s="46">
        <f>IF(F84&gt;0, C84/F84, 0)</f>
        <v>0</v>
      </c>
      <c r="D92" s="46">
        <f>IF(F84&gt;0, D84/F84, 0)</f>
        <v>0</v>
      </c>
      <c r="E92" s="46">
        <f>IF(F84&gt;0, E84/F84, 0)</f>
        <v>0</v>
      </c>
      <c r="F92" s="47" t="s">
        <v>21</v>
      </c>
    </row>
    <row r="93" spans="2:6" x14ac:dyDescent="0.35">
      <c r="B93" s="44" t="s">
        <v>396</v>
      </c>
      <c r="C93" s="46">
        <f>IF(F85&gt;0, C85/F85, 0)</f>
        <v>0</v>
      </c>
      <c r="D93" s="46">
        <f>IF(F85&gt;0, D85/F85, 0)</f>
        <v>0</v>
      </c>
      <c r="E93" s="46">
        <f>IF(F85&gt;0, E85/F85, 0)</f>
        <v>0</v>
      </c>
      <c r="F93" s="47" t="s">
        <v>21</v>
      </c>
    </row>
    <row r="94" spans="2:6" x14ac:dyDescent="0.35">
      <c r="B94" s="44" t="s">
        <v>397</v>
      </c>
      <c r="C94" s="46">
        <f>IF(F86&gt;0, C86/F86, 0)</f>
        <v>0</v>
      </c>
      <c r="D94" s="46">
        <f>IF(F86&gt;0, D86/F86, 0)</f>
        <v>0</v>
      </c>
      <c r="E94" s="46">
        <f>IF(F86&gt;0, E86/F86, 0)</f>
        <v>0</v>
      </c>
      <c r="F94" s="47" t="s">
        <v>21</v>
      </c>
    </row>
    <row r="95" spans="2:6" x14ac:dyDescent="0.35">
      <c r="B95" s="44" t="s">
        <v>398</v>
      </c>
      <c r="C95" s="46">
        <f>IF(F87&gt;0, C87/F87, 0)</f>
        <v>0</v>
      </c>
      <c r="D95" s="46">
        <f>IF(F87&gt;0, D87/F87, 0)</f>
        <v>0</v>
      </c>
      <c r="E95" s="46">
        <f>IF(F87&gt;0, E87/F87, 0)</f>
        <v>0</v>
      </c>
      <c r="F95" s="47" t="s">
        <v>21</v>
      </c>
    </row>
    <row r="96" spans="2:6" x14ac:dyDescent="0.35">
      <c r="B96" s="44" t="s">
        <v>18</v>
      </c>
      <c r="C96" s="46">
        <f>IF(F88&gt;0, C88/F88, 0)</f>
        <v>0</v>
      </c>
      <c r="D96" s="46">
        <f>IF(F88&gt;0, D88/F88, 0)</f>
        <v>0</v>
      </c>
      <c r="E96" s="46">
        <f>IF(F88&gt;0, E88/F88, 0)</f>
        <v>1</v>
      </c>
      <c r="F96" s="47" t="s">
        <v>21</v>
      </c>
    </row>
    <row r="101" spans="2:6" ht="18.5" x14ac:dyDescent="0.45">
      <c r="B101" s="40" t="s">
        <v>399</v>
      </c>
    </row>
    <row r="103" spans="2:6" x14ac:dyDescent="0.35">
      <c r="B103" s="54" t="s">
        <v>379</v>
      </c>
    </row>
    <row r="104" spans="2:6" x14ac:dyDescent="0.35">
      <c r="B104" s="42" t="s">
        <v>400</v>
      </c>
      <c r="C104" s="42" t="s">
        <v>380</v>
      </c>
      <c r="D104" s="42" t="s">
        <v>381</v>
      </c>
      <c r="E104" s="42" t="s">
        <v>382</v>
      </c>
      <c r="F104" s="42" t="s">
        <v>383</v>
      </c>
    </row>
    <row r="105" spans="2:6" x14ac:dyDescent="0.35">
      <c r="B105" s="44" t="s">
        <v>401</v>
      </c>
      <c r="C105" s="45">
        <f>COUNTIFS('Recommendations'!F:F,"Low",'Recommendations'!M:M,"=Resolved")</f>
        <v>0</v>
      </c>
      <c r="D105" s="45">
        <f>COUNTIFS('Recommendations'!F:F,"=Low",'Recommendations'!M:M,"=Testing")</f>
        <v>0</v>
      </c>
      <c r="E105" s="45">
        <f>COUNTIFS('Recommendations'!F:F,"=Low",'Recommendations'!M:M,"=Outstanding")</f>
        <v>0</v>
      </c>
      <c r="F105" s="45">
        <f>SUM(C105:E105)</f>
        <v>0</v>
      </c>
    </row>
    <row r="106" spans="2:6" x14ac:dyDescent="0.35">
      <c r="B106" s="44" t="s">
        <v>402</v>
      </c>
      <c r="C106" s="45">
        <f>COUNTIFS('Recommendations'!F:F,"Medium",'Recommendations'!M:M,"=Resolved")</f>
        <v>0</v>
      </c>
      <c r="D106" s="45">
        <f>COUNTIFS('Recommendations'!F:F,"=Medium",'Recommendations'!M:M,"=Testing")</f>
        <v>0</v>
      </c>
      <c r="E106" s="45">
        <f>COUNTIFS('Recommendations'!F:F,"=Medium",'Recommendations'!M:M,"=Outstanding")</f>
        <v>0</v>
      </c>
      <c r="F106" s="45">
        <f>SUM(C106:E106)</f>
        <v>0</v>
      </c>
    </row>
    <row r="107" spans="2:6" x14ac:dyDescent="0.35">
      <c r="B107" s="44" t="s">
        <v>403</v>
      </c>
      <c r="C107" s="45">
        <f>COUNTIFS('Recommendations'!F:F,"High",'Recommendations'!M:M,"=Resolved")</f>
        <v>0</v>
      </c>
      <c r="D107" s="45">
        <f>COUNTIFS('Recommendations'!F:F,"=High",'Recommendations'!M:M,"=Testing")</f>
        <v>0</v>
      </c>
      <c r="E107" s="45">
        <f>COUNTIFS('Recommendations'!F:F,"=High",'Recommendations'!M:M,"=Outstanding")</f>
        <v>0</v>
      </c>
      <c r="F107" s="45">
        <f>SUM(C107:E107)</f>
        <v>0</v>
      </c>
    </row>
    <row r="108" spans="2:6" x14ac:dyDescent="0.35">
      <c r="B108" s="44" t="s">
        <v>19</v>
      </c>
      <c r="C108" s="45">
        <f>COUNTIFS('Recommendations'!F:F,"Unassessed",'Recommendations'!M:M,"=Resolved")</f>
        <v>0</v>
      </c>
      <c r="D108" s="45">
        <f>COUNTIFS('Recommendations'!F:F,"=Unassessed",'Recommendations'!M:M,"=Testing")</f>
        <v>0</v>
      </c>
      <c r="E108" s="45">
        <f>COUNTIFS('Recommendations'!F:F,"=Unassessed",'Recommendations'!M:M,"=Outstanding")</f>
        <v>60</v>
      </c>
      <c r="F108" s="45">
        <f>SUM(C108:E108)</f>
        <v>60</v>
      </c>
    </row>
    <row r="110" spans="2:6" x14ac:dyDescent="0.35">
      <c r="B110" s="54" t="s">
        <v>385</v>
      </c>
    </row>
    <row r="111" spans="2:6" x14ac:dyDescent="0.35">
      <c r="B111" s="55" t="s">
        <v>400</v>
      </c>
      <c r="C111" s="55" t="s">
        <v>380</v>
      </c>
      <c r="D111" s="55" t="s">
        <v>381</v>
      </c>
      <c r="E111" s="55" t="s">
        <v>382</v>
      </c>
      <c r="F111" s="55" t="s">
        <v>21</v>
      </c>
    </row>
    <row r="112" spans="2:6" x14ac:dyDescent="0.35">
      <c r="B112" s="44" t="s">
        <v>401</v>
      </c>
      <c r="C112" s="46">
        <f>IF(F105&gt;0, C105/F105, 0)</f>
        <v>0</v>
      </c>
      <c r="D112" s="46">
        <f>IF(F105&gt;0, D105/F105, 0)</f>
        <v>0</v>
      </c>
      <c r="E112" s="46">
        <f>IF(F105&gt;0, E105/F105, 0)</f>
        <v>0</v>
      </c>
      <c r="F112" s="47" t="s">
        <v>21</v>
      </c>
    </row>
    <row r="113" spans="2:15" x14ac:dyDescent="0.35">
      <c r="B113" s="44" t="s">
        <v>402</v>
      </c>
      <c r="C113" s="46">
        <f>IF(F106&gt;0, C106/F106, 0)</f>
        <v>0</v>
      </c>
      <c r="D113" s="46">
        <f>IF(F106&gt;0, D106/F106, 0)</f>
        <v>0</v>
      </c>
      <c r="E113" s="46">
        <f>IF(F106&gt;0, E106/F106, 0)</f>
        <v>0</v>
      </c>
      <c r="F113" s="47" t="s">
        <v>21</v>
      </c>
    </row>
    <row r="114" spans="2:15" x14ac:dyDescent="0.35">
      <c r="B114" s="44" t="s">
        <v>403</v>
      </c>
      <c r="C114" s="46">
        <f>IF(F107&gt;0, C107/F107, 0)</f>
        <v>0</v>
      </c>
      <c r="D114" s="46">
        <f>IF(F107&gt;0, D107/F107, 0)</f>
        <v>0</v>
      </c>
      <c r="E114" s="46">
        <f>IF(F107&gt;0, E107/F107, 0)</f>
        <v>0</v>
      </c>
      <c r="F114" s="47" t="s">
        <v>21</v>
      </c>
    </row>
    <row r="115" spans="2:15" x14ac:dyDescent="0.35">
      <c r="B115" s="44" t="s">
        <v>19</v>
      </c>
      <c r="C115" s="46">
        <f>IF(F108&gt;0, C108/F108, 0)</f>
        <v>0</v>
      </c>
      <c r="D115" s="46">
        <f>IF(F108&gt;0, D108/F108, 0)</f>
        <v>0</v>
      </c>
      <c r="E115" s="46">
        <f>IF(F108&gt;0, E108/F108, 0)</f>
        <v>1</v>
      </c>
      <c r="F115" s="47" t="s">
        <v>21</v>
      </c>
    </row>
    <row r="120" spans="2:15" ht="18.5" x14ac:dyDescent="0.45">
      <c r="B120" s="40" t="s">
        <v>404</v>
      </c>
      <c r="J120" s="40" t="s">
        <v>405</v>
      </c>
    </row>
    <row r="121" spans="2:15" x14ac:dyDescent="0.35">
      <c r="B121" s="42" t="s">
        <v>6</v>
      </c>
      <c r="C121" s="87" t="s">
        <v>406</v>
      </c>
      <c r="D121" s="87"/>
      <c r="E121" s="42" t="s">
        <v>372</v>
      </c>
      <c r="F121" s="42" t="s">
        <v>380</v>
      </c>
      <c r="G121" s="87" t="s">
        <v>407</v>
      </c>
      <c r="H121" s="87"/>
      <c r="J121" s="42" t="s">
        <v>6</v>
      </c>
      <c r="K121" s="42" t="s">
        <v>395</v>
      </c>
      <c r="L121" s="42" t="s">
        <v>396</v>
      </c>
      <c r="M121" s="42" t="s">
        <v>397</v>
      </c>
      <c r="N121" s="42" t="s">
        <v>398</v>
      </c>
      <c r="O121" s="42" t="s">
        <v>18</v>
      </c>
    </row>
    <row r="122" spans="2:15" x14ac:dyDescent="0.35">
      <c r="B122" s="48" t="s">
        <v>388</v>
      </c>
      <c r="C122" s="88" t="s">
        <v>21</v>
      </c>
      <c r="D122" s="88"/>
      <c r="E122" s="45">
        <f>COUNTIF('Recommendations'!G:G,"Phase1")-COUNTIFS('Recommendations'!G:G,"Phase1",'Recommendations'!H:H,"Risk Accepted")-COUNTIFS('Recommendations'!G:G,"Phase1",'Recommendations'!H:H,"N/A")</f>
        <v>0</v>
      </c>
      <c r="F122" s="45">
        <f>COUNTIFS('Recommendations'!G:G,"Phase1",'Recommendations'!M:M,"Resolved")</f>
        <v>0</v>
      </c>
      <c r="G122" s="89">
        <f t="shared" ref="G122:G127" si="4">IF(E122&gt;0,F122/E122,0)</f>
        <v>0</v>
      </c>
      <c r="H122" s="89"/>
      <c r="J122" s="48" t="s">
        <v>388</v>
      </c>
      <c r="K122" s="45">
        <f>COUNTIFS('Recommendations'!G:G,"Phase1",'Recommendations'!E:E,"Must")</f>
        <v>0</v>
      </c>
      <c r="L122" s="45">
        <f>COUNTIFS('Recommendations'!G:G,"Phase1",'Recommendations'!E:E,"Should")</f>
        <v>0</v>
      </c>
      <c r="M122" s="45">
        <f>COUNTIFS('Recommendations'!G:G,"Phase1",'Recommendations'!E:E,"Could")</f>
        <v>0</v>
      </c>
      <c r="N122" s="45">
        <f>COUNTIFS('Recommendations'!G:G,"Phase1",'Recommendations'!E:E,"Won't")</f>
        <v>0</v>
      </c>
      <c r="O122" s="45">
        <f>COUNTIFS('Recommendations'!G:G,"Phase1",'Recommendations'!E:E,"Unassigned")</f>
        <v>0</v>
      </c>
    </row>
    <row r="123" spans="2:15" x14ac:dyDescent="0.35">
      <c r="B123" s="48" t="s">
        <v>389</v>
      </c>
      <c r="C123" s="88" t="s">
        <v>21</v>
      </c>
      <c r="D123" s="88"/>
      <c r="E123" s="45">
        <f>COUNTIF('Recommendations'!G:G,"Phase2")-COUNTIFS('Recommendations'!G:G,"Phase2",'Recommendations'!H:H,"Risk Accepted")-COUNTIFS('Recommendations'!G:G,"Phase2",'Recommendations'!H:H,"N/A")</f>
        <v>0</v>
      </c>
      <c r="F123" s="45">
        <f>COUNTIFS('Recommendations'!G:G,"Phase2",'Recommendations'!M:M,"Resolved")</f>
        <v>0</v>
      </c>
      <c r="G123" s="89">
        <f t="shared" si="4"/>
        <v>0</v>
      </c>
      <c r="H123" s="89"/>
      <c r="J123" s="48" t="s">
        <v>389</v>
      </c>
      <c r="K123" s="45">
        <f>COUNTIFS('Recommendations'!G:G,"Phase2",'Recommendations'!E:E,"Must")</f>
        <v>0</v>
      </c>
      <c r="L123" s="45">
        <f>COUNTIFS('Recommendations'!G:G,"Phase2",'Recommendations'!E:E,"Should")</f>
        <v>0</v>
      </c>
      <c r="M123" s="45">
        <f>COUNTIFS('Recommendations'!G:G,"Phase2",'Recommendations'!E:E,"Could")</f>
        <v>0</v>
      </c>
      <c r="N123" s="45">
        <f>COUNTIFS('Recommendations'!G:G,"Phase2",'Recommendations'!E:E,"Won't")</f>
        <v>0</v>
      </c>
      <c r="O123" s="45">
        <f>COUNTIFS('Recommendations'!G:G,"Phase2",'Recommendations'!E:E,"Unassigned")</f>
        <v>0</v>
      </c>
    </row>
    <row r="124" spans="2:15" x14ac:dyDescent="0.35">
      <c r="B124" s="48" t="s">
        <v>390</v>
      </c>
      <c r="C124" s="88" t="s">
        <v>21</v>
      </c>
      <c r="D124" s="88"/>
      <c r="E124" s="45">
        <f>COUNTIF('Recommendations'!G:G,"Phase3")-COUNTIFS('Recommendations'!G:G,"Phase3",'Recommendations'!H:H,"Risk Accepted")-COUNTIFS('Recommendations'!G:G,"Phase3",'Recommendations'!H:H,"N/A")</f>
        <v>0</v>
      </c>
      <c r="F124" s="45">
        <f>COUNTIFS('Recommendations'!G:G,"Phase3",'Recommendations'!M:M,"Resolved")</f>
        <v>0</v>
      </c>
      <c r="G124" s="89">
        <f t="shared" si="4"/>
        <v>0</v>
      </c>
      <c r="H124" s="89"/>
      <c r="J124" s="48" t="s">
        <v>390</v>
      </c>
      <c r="K124" s="45">
        <f>COUNTIFS('Recommendations'!G:G,"Phase3",'Recommendations'!E:E,"Must")</f>
        <v>0</v>
      </c>
      <c r="L124" s="45">
        <f>COUNTIFS('Recommendations'!G:G,"Phase3",'Recommendations'!E:E,"Should")</f>
        <v>0</v>
      </c>
      <c r="M124" s="45">
        <f>COUNTIFS('Recommendations'!G:G,"Phase3",'Recommendations'!E:E,"Could")</f>
        <v>0</v>
      </c>
      <c r="N124" s="45">
        <f>COUNTIFS('Recommendations'!G:G,"Phase3",'Recommendations'!E:E,"Won't")</f>
        <v>0</v>
      </c>
      <c r="O124" s="45">
        <f>COUNTIFS('Recommendations'!G:G,"Phase3",'Recommendations'!E:E,"Unassigned")</f>
        <v>0</v>
      </c>
    </row>
    <row r="125" spans="2:15" x14ac:dyDescent="0.35">
      <c r="B125" s="48" t="s">
        <v>391</v>
      </c>
      <c r="C125" s="88" t="s">
        <v>21</v>
      </c>
      <c r="D125" s="88"/>
      <c r="E125" s="45">
        <f>COUNTIF('Recommendations'!G:G,"Phase4")-COUNTIFS('Recommendations'!G:G,"Phase4",'Recommendations'!H:H,"Risk Accepted")-COUNTIFS('Recommendations'!G:G,"Phase4",'Recommendations'!H:H,"N/A")</f>
        <v>0</v>
      </c>
      <c r="F125" s="45">
        <f>COUNTIFS('Recommendations'!G:G,"Phase4",'Recommendations'!M:M,"Resolved")</f>
        <v>0</v>
      </c>
      <c r="G125" s="89">
        <f t="shared" si="4"/>
        <v>0</v>
      </c>
      <c r="H125" s="89"/>
      <c r="J125" s="48" t="s">
        <v>391</v>
      </c>
      <c r="K125" s="45">
        <f>COUNTIFS('Recommendations'!G:G,"Phase4",'Recommendations'!E:E,"Must")</f>
        <v>0</v>
      </c>
      <c r="L125" s="45">
        <f>COUNTIFS('Recommendations'!G:G,"Phase4",'Recommendations'!E:E,"Should")</f>
        <v>0</v>
      </c>
      <c r="M125" s="45">
        <f>COUNTIFS('Recommendations'!G:G,"Phase4",'Recommendations'!E:E,"Could")</f>
        <v>0</v>
      </c>
      <c r="N125" s="45">
        <f>COUNTIFS('Recommendations'!G:G,"Phase4",'Recommendations'!E:E,"Won't")</f>
        <v>0</v>
      </c>
      <c r="O125" s="45">
        <f>COUNTIFS('Recommendations'!G:G,"Phase4",'Recommendations'!E:E,"Unassigned")</f>
        <v>0</v>
      </c>
    </row>
    <row r="126" spans="2:15" x14ac:dyDescent="0.35">
      <c r="B126" s="48" t="s">
        <v>392</v>
      </c>
      <c r="C126" s="88" t="s">
        <v>21</v>
      </c>
      <c r="D126" s="88"/>
      <c r="E126" s="45">
        <f>COUNTIF('Recommendations'!G:G,"Phase5")-COUNTIFS('Recommendations'!G:G,"Phase5",'Recommendations'!H:H,"Risk Accepted")-COUNTIFS('Recommendations'!G:G,"Phase5",'Recommendations'!H:H,"N/A")</f>
        <v>0</v>
      </c>
      <c r="F126" s="45">
        <f>COUNTIFS('Recommendations'!G:G,"Phase5",'Recommendations'!M:M,"Resolved")</f>
        <v>0</v>
      </c>
      <c r="G126" s="89">
        <f t="shared" si="4"/>
        <v>0</v>
      </c>
      <c r="H126" s="89"/>
      <c r="J126" s="48" t="s">
        <v>392</v>
      </c>
      <c r="K126" s="45">
        <f>COUNTIFS('Recommendations'!G:G,"Phase5",'Recommendations'!E:E,"Must")</f>
        <v>0</v>
      </c>
      <c r="L126" s="45">
        <f>COUNTIFS('Recommendations'!G:G,"Phase5",'Recommendations'!E:E,"Should")</f>
        <v>0</v>
      </c>
      <c r="M126" s="45">
        <f>COUNTIFS('Recommendations'!G:G,"Phase5",'Recommendations'!E:E,"Could")</f>
        <v>0</v>
      </c>
      <c r="N126" s="45">
        <f>COUNTIFS('Recommendations'!G:G,"Phase5",'Recommendations'!E:E,"Won't")</f>
        <v>0</v>
      </c>
      <c r="O126" s="45">
        <f>COUNTIFS('Recommendations'!G:G,"Phase5",'Recommendations'!E:E,"Unassigned")</f>
        <v>0</v>
      </c>
    </row>
    <row r="127" spans="2:15" x14ac:dyDescent="0.35">
      <c r="B127" s="48" t="s">
        <v>20</v>
      </c>
      <c r="C127" s="88" t="s">
        <v>21</v>
      </c>
      <c r="D127" s="88"/>
      <c r="E127" s="45">
        <f>COUNTIF('Recommendations'!G:G,"Pending")-COUNTIFS('Recommendations'!G:G,"Pending",'Recommendations'!H:H,"Risk Accepted")-COUNTIFS('Recommendations'!G:G,"Pending",'Recommendations'!H:H,"N/A")</f>
        <v>60</v>
      </c>
      <c r="F127" s="45">
        <f>COUNTIFS('Recommendations'!G:G,"Pending",'Recommendations'!M:M,"Resolved")</f>
        <v>0</v>
      </c>
      <c r="G127" s="89">
        <f t="shared" si="4"/>
        <v>0</v>
      </c>
      <c r="H127" s="89"/>
      <c r="J127" s="48" t="s">
        <v>20</v>
      </c>
      <c r="K127" s="45">
        <f>COUNTIFS('Recommendations'!G:G,"Pending",'Recommendations'!E:E,"Must")</f>
        <v>0</v>
      </c>
      <c r="L127" s="45">
        <f>COUNTIFS('Recommendations'!G:G,"Pending",'Recommendations'!E:E,"Should")</f>
        <v>0</v>
      </c>
      <c r="M127" s="45">
        <f>COUNTIFS('Recommendations'!G:G,"Pending",'Recommendations'!E:E,"Could")</f>
        <v>0</v>
      </c>
      <c r="N127" s="45">
        <f>COUNTIFS('Recommendations'!G:G,"Pending",'Recommendations'!E:E,"Won't")</f>
        <v>0</v>
      </c>
      <c r="O127" s="45">
        <f>COUNTIFS('Recommendations'!G:G,"Pending",'Recommendations'!E:E,"Unassigned")</f>
        <v>60</v>
      </c>
    </row>
    <row r="134" spans="2:24" ht="21" x14ac:dyDescent="0.5">
      <c r="B134" s="40" t="s">
        <v>408</v>
      </c>
      <c r="P134" s="57" t="s">
        <v>409</v>
      </c>
    </row>
    <row r="136" spans="2:24" ht="60" customHeight="1" x14ac:dyDescent="0.35">
      <c r="B136" s="90" t="s">
        <v>410</v>
      </c>
      <c r="C136" s="83"/>
      <c r="D136" s="83"/>
      <c r="E136" s="83"/>
      <c r="F136" s="83"/>
      <c r="P136" s="90" t="s">
        <v>411</v>
      </c>
      <c r="Q136" s="83"/>
      <c r="R136" s="83"/>
      <c r="S136" s="83"/>
      <c r="T136" s="83"/>
      <c r="U136" s="83"/>
      <c r="V136" s="83"/>
      <c r="W136" s="83"/>
    </row>
    <row r="138" spans="2:24" ht="30" customHeight="1" x14ac:dyDescent="0.35">
      <c r="P138" s="58" t="s">
        <v>412</v>
      </c>
      <c r="Q138" s="59">
        <f>C16</f>
        <v>0</v>
      </c>
      <c r="R138" s="60"/>
      <c r="S138" s="59">
        <f>C84</f>
        <v>0</v>
      </c>
      <c r="T138" s="60"/>
      <c r="U138" s="59">
        <f>C85</f>
        <v>0</v>
      </c>
      <c r="V138" s="60"/>
      <c r="W138" s="59">
        <f>C86</f>
        <v>0</v>
      </c>
      <c r="X138" s="60"/>
    </row>
    <row r="139" spans="2:24" ht="35" customHeight="1" x14ac:dyDescent="0.35">
      <c r="P139" s="61" t="s">
        <v>413</v>
      </c>
      <c r="Q139" s="61" t="s">
        <v>414</v>
      </c>
      <c r="R139" s="61" t="s">
        <v>415</v>
      </c>
      <c r="S139" s="61" t="s">
        <v>416</v>
      </c>
      <c r="T139" s="61" t="s">
        <v>417</v>
      </c>
      <c r="U139" s="61" t="s">
        <v>418</v>
      </c>
      <c r="V139" s="61" t="s">
        <v>419</v>
      </c>
      <c r="W139" s="61" t="s">
        <v>420</v>
      </c>
      <c r="X139" s="61" t="s">
        <v>421</v>
      </c>
    </row>
    <row r="140" spans="2:24" x14ac:dyDescent="0.35">
      <c r="O140" s="62" t="s">
        <v>422</v>
      </c>
      <c r="P140" s="63" t="s">
        <v>423</v>
      </c>
      <c r="Q140" s="64">
        <v>0</v>
      </c>
      <c r="R140" s="65">
        <f>IF(Dashboard!F16&gt;0, Q140/Dashboard!F16, "")</f>
        <v>0</v>
      </c>
      <c r="S140" s="64">
        <v>0</v>
      </c>
      <c r="T140" s="65" t="str">
        <f>IF(AND(NOT(ISBLANK(S140)),Dashboard!F84&gt;0), S140/Dashboard!F84, "")</f>
        <v/>
      </c>
      <c r="U140" s="64">
        <v>0</v>
      </c>
      <c r="V140" s="65" t="str">
        <f>IF(AND(NOT(ISBLANK(U140)),Dashboard!F85&gt;0), U140/Dashboard!F85, "")</f>
        <v/>
      </c>
      <c r="W140" s="64">
        <v>0</v>
      </c>
      <c r="X140" s="65" t="str">
        <f>IF(AND(NOT(ISBLANK(W140)),Dashboard!F86&gt;0), W140/Dashboard!F86, "")</f>
        <v/>
      </c>
    </row>
    <row r="141" spans="2:24" x14ac:dyDescent="0.35">
      <c r="P141" s="56"/>
      <c r="Q141" s="43"/>
      <c r="R141" s="46" t="str">
        <f>IF(AND(NOT(ISBLANK(Q141)),Dashboard!F16&gt;0), Q141/Dashboard!F16, "")</f>
        <v/>
      </c>
      <c r="S141" s="43"/>
      <c r="T141" s="46" t="str">
        <f>IF(AND(NOT(ISBLANK(S141)),Dashboard!F84&gt;0), S141/Dashboard!F84, "")</f>
        <v/>
      </c>
      <c r="U141" s="43"/>
      <c r="V141" s="46" t="str">
        <f>IF(AND(NOT(ISBLANK(U141)),Dashboard!F85&gt;0), U141/Dashboard!F85, "")</f>
        <v/>
      </c>
      <c r="W141" s="43"/>
      <c r="X141" s="46" t="str">
        <f>IF(AND(NOT(ISBLANK(W141)),Dashboard!F86&gt;0), W141/Dashboard!F86, "")</f>
        <v/>
      </c>
    </row>
    <row r="142" spans="2:24" x14ac:dyDescent="0.35">
      <c r="P142" s="56"/>
      <c r="Q142" s="43"/>
      <c r="R142" s="46" t="str">
        <f>IF(AND(NOT(ISBLANK(Q142)),Dashboard!F16&gt;0), Q142/Dashboard!F16, "")</f>
        <v/>
      </c>
      <c r="S142" s="43"/>
      <c r="T142" s="46" t="str">
        <f>IF(AND(NOT(ISBLANK(S142)),Dashboard!F84&gt;0), S142/Dashboard!F84, "")</f>
        <v/>
      </c>
      <c r="U142" s="43"/>
      <c r="V142" s="46" t="str">
        <f>IF(AND(NOT(ISBLANK(U142)),Dashboard!F85&gt;0), U142/Dashboard!F85, "")</f>
        <v/>
      </c>
      <c r="W142" s="43"/>
      <c r="X142" s="46" t="str">
        <f>IF(AND(NOT(ISBLANK(W142)),Dashboard!F86&gt;0), W142/Dashboard!F86, "")</f>
        <v/>
      </c>
    </row>
    <row r="143" spans="2:24" x14ac:dyDescent="0.35">
      <c r="P143" s="56"/>
      <c r="Q143" s="43"/>
      <c r="R143" s="46" t="str">
        <f>IF(AND(NOT(ISBLANK(Q143)),Dashboard!F16&gt;0), Q143/Dashboard!F16, "")</f>
        <v/>
      </c>
      <c r="S143" s="43"/>
      <c r="T143" s="46" t="str">
        <f>IF(AND(NOT(ISBLANK(S143)),Dashboard!F84&gt;0), S143/Dashboard!F84, "")</f>
        <v/>
      </c>
      <c r="U143" s="43"/>
      <c r="V143" s="46" t="str">
        <f>IF(AND(NOT(ISBLANK(U143)),Dashboard!F85&gt;0), U143/Dashboard!F85, "")</f>
        <v/>
      </c>
      <c r="W143" s="43"/>
      <c r="X143" s="46" t="str">
        <f>IF(AND(NOT(ISBLANK(W143)),Dashboard!F86&gt;0), W143/Dashboard!F86, "")</f>
        <v/>
      </c>
    </row>
    <row r="144" spans="2:24" x14ac:dyDescent="0.35">
      <c r="P144" s="56"/>
      <c r="Q144" s="43"/>
      <c r="R144" s="46" t="str">
        <f>IF(AND(NOT(ISBLANK(Q144)),Dashboard!F16&gt;0), Q144/Dashboard!F16, "")</f>
        <v/>
      </c>
      <c r="S144" s="43"/>
      <c r="T144" s="46" t="str">
        <f>IF(AND(NOT(ISBLANK(S144)),Dashboard!F84&gt;0), S144/Dashboard!F84, "")</f>
        <v/>
      </c>
      <c r="U144" s="43"/>
      <c r="V144" s="46" t="str">
        <f>IF(AND(NOT(ISBLANK(U144)),Dashboard!F85&gt;0), U144/Dashboard!F85, "")</f>
        <v/>
      </c>
      <c r="W144" s="43"/>
      <c r="X144" s="46" t="str">
        <f>IF(AND(NOT(ISBLANK(W144)),Dashboard!F86&gt;0), W144/Dashboard!F86, "")</f>
        <v/>
      </c>
    </row>
    <row r="145" spans="16:24" x14ac:dyDescent="0.35">
      <c r="P145" s="56"/>
      <c r="Q145" s="43"/>
      <c r="R145" s="46" t="str">
        <f>IF(AND(NOT(ISBLANK(Q145)),Dashboard!F16&gt;0), Q145/Dashboard!F16, "")</f>
        <v/>
      </c>
      <c r="S145" s="43"/>
      <c r="T145" s="46" t="str">
        <f>IF(AND(NOT(ISBLANK(S145)),Dashboard!F84&gt;0), S145/Dashboard!F84, "")</f>
        <v/>
      </c>
      <c r="U145" s="43"/>
      <c r="V145" s="46" t="str">
        <f>IF(AND(NOT(ISBLANK(U145)),Dashboard!F85&gt;0), U145/Dashboard!F85, "")</f>
        <v/>
      </c>
      <c r="W145" s="43"/>
      <c r="X145" s="46" t="str">
        <f>IF(AND(NOT(ISBLANK(W145)),Dashboard!F86&gt;0), W145/Dashboard!F86, "")</f>
        <v/>
      </c>
    </row>
    <row r="146" spans="16:24" x14ac:dyDescent="0.35">
      <c r="P146" s="56"/>
      <c r="Q146" s="43"/>
      <c r="R146" s="46" t="str">
        <f>IF(AND(NOT(ISBLANK(Q146)),Dashboard!F16&gt;0), Q146/Dashboard!F16, "")</f>
        <v/>
      </c>
      <c r="S146" s="43"/>
      <c r="T146" s="46" t="str">
        <f>IF(AND(NOT(ISBLANK(S146)),Dashboard!F84&gt;0), S146/Dashboard!F84, "")</f>
        <v/>
      </c>
      <c r="U146" s="43"/>
      <c r="V146" s="46" t="str">
        <f>IF(AND(NOT(ISBLANK(U146)),Dashboard!F85&gt;0), U146/Dashboard!F85, "")</f>
        <v/>
      </c>
      <c r="W146" s="43"/>
      <c r="X146" s="46" t="str">
        <f>IF(AND(NOT(ISBLANK(W146)),Dashboard!F86&gt;0), W146/Dashboard!F86, "")</f>
        <v/>
      </c>
    </row>
    <row r="147" spans="16:24" x14ac:dyDescent="0.35">
      <c r="P147" s="56"/>
      <c r="Q147" s="43"/>
      <c r="R147" s="46" t="str">
        <f>IF(AND(NOT(ISBLANK(Q147)),Dashboard!F16&gt;0), Q147/Dashboard!F16, "")</f>
        <v/>
      </c>
      <c r="S147" s="43"/>
      <c r="T147" s="46" t="str">
        <f>IF(AND(NOT(ISBLANK(S147)),Dashboard!F84&gt;0), S147/Dashboard!F84, "")</f>
        <v/>
      </c>
      <c r="U147" s="43"/>
      <c r="V147" s="46" t="str">
        <f>IF(AND(NOT(ISBLANK(U147)),Dashboard!F85&gt;0), U147/Dashboard!F85, "")</f>
        <v/>
      </c>
      <c r="W147" s="43"/>
      <c r="X147" s="46" t="str">
        <f>IF(AND(NOT(ISBLANK(W147)),Dashboard!F86&gt;0), W147/Dashboard!F86, "")</f>
        <v/>
      </c>
    </row>
    <row r="148" spans="16:24" x14ac:dyDescent="0.35">
      <c r="P148" s="56"/>
      <c r="Q148" s="43"/>
      <c r="R148" s="46" t="str">
        <f>IF(AND(NOT(ISBLANK(Q148)),Dashboard!F16&gt;0), Q148/Dashboard!F16, "")</f>
        <v/>
      </c>
      <c r="S148" s="43"/>
      <c r="T148" s="46" t="str">
        <f>IF(AND(NOT(ISBLANK(S148)),Dashboard!F84&gt;0), S148/Dashboard!F84, "")</f>
        <v/>
      </c>
      <c r="U148" s="43"/>
      <c r="V148" s="46" t="str">
        <f>IF(AND(NOT(ISBLANK(U148)),Dashboard!F85&gt;0), U148/Dashboard!F85, "")</f>
        <v/>
      </c>
      <c r="W148" s="43"/>
      <c r="X148" s="46" t="str">
        <f>IF(AND(NOT(ISBLANK(W148)),Dashboard!F86&gt;0), W148/Dashboard!F86, "")</f>
        <v/>
      </c>
    </row>
    <row r="149" spans="16:24" x14ac:dyDescent="0.35">
      <c r="P149" s="56"/>
      <c r="Q149" s="43"/>
      <c r="R149" s="46" t="str">
        <f>IF(AND(NOT(ISBLANK(Q149)),Dashboard!F16&gt;0), Q149/Dashboard!F16, "")</f>
        <v/>
      </c>
      <c r="S149" s="43"/>
      <c r="T149" s="46" t="str">
        <f>IF(AND(NOT(ISBLANK(S149)),Dashboard!F84&gt;0), S149/Dashboard!F84, "")</f>
        <v/>
      </c>
      <c r="U149" s="43"/>
      <c r="V149" s="46" t="str">
        <f>IF(AND(NOT(ISBLANK(U149)),Dashboard!F85&gt;0), U149/Dashboard!F85, "")</f>
        <v/>
      </c>
      <c r="W149" s="43"/>
      <c r="X149" s="46" t="str">
        <f>IF(AND(NOT(ISBLANK(W149)),Dashboard!F86&gt;0), W149/Dashboard!F86, "")</f>
        <v/>
      </c>
    </row>
    <row r="150" spans="16:24" x14ac:dyDescent="0.35">
      <c r="P150" s="56"/>
      <c r="Q150" s="43"/>
      <c r="R150" s="46" t="str">
        <f>IF(AND(NOT(ISBLANK(Q150)),Dashboard!F16&gt;0), Q150/Dashboard!F16, "")</f>
        <v/>
      </c>
      <c r="S150" s="43"/>
      <c r="T150" s="46" t="str">
        <f>IF(AND(NOT(ISBLANK(S150)),Dashboard!F84&gt;0), S150/Dashboard!F84, "")</f>
        <v/>
      </c>
      <c r="U150" s="43"/>
      <c r="V150" s="46" t="str">
        <f>IF(AND(NOT(ISBLANK(U150)),Dashboard!F85&gt;0), U150/Dashboard!F85, "")</f>
        <v/>
      </c>
      <c r="W150" s="43"/>
      <c r="X150" s="46" t="str">
        <f>IF(AND(NOT(ISBLANK(W150)),Dashboard!F86&gt;0), W150/Dashboard!F86, "")</f>
        <v/>
      </c>
    </row>
    <row r="151" spans="16:24" x14ac:dyDescent="0.35">
      <c r="P151" s="56"/>
      <c r="Q151" s="43"/>
      <c r="R151" s="46" t="str">
        <f>IF(AND(NOT(ISBLANK(Q151)),Dashboard!F16&gt;0), Q151/Dashboard!F16, "")</f>
        <v/>
      </c>
      <c r="S151" s="43"/>
      <c r="T151" s="46" t="str">
        <f>IF(AND(NOT(ISBLANK(S151)),Dashboard!F84&gt;0), S151/Dashboard!F84, "")</f>
        <v/>
      </c>
      <c r="U151" s="43"/>
      <c r="V151" s="46" t="str">
        <f>IF(AND(NOT(ISBLANK(U151)),Dashboard!F85&gt;0), U151/Dashboard!F85, "")</f>
        <v/>
      </c>
      <c r="W151" s="43"/>
      <c r="X151" s="46" t="str">
        <f>IF(AND(NOT(ISBLANK(W151)),Dashboard!F86&gt;0), W151/Dashboard!F86, "")</f>
        <v/>
      </c>
    </row>
    <row r="152" spans="16:24" x14ac:dyDescent="0.35">
      <c r="P152" s="56"/>
      <c r="Q152" s="43"/>
      <c r="R152" s="46" t="str">
        <f>IF(AND(NOT(ISBLANK(Q152)),Dashboard!F16&gt;0), Q152/Dashboard!F16, "")</f>
        <v/>
      </c>
      <c r="S152" s="43"/>
      <c r="T152" s="46" t="str">
        <f>IF(AND(NOT(ISBLANK(S152)),Dashboard!F84&gt;0), S152/Dashboard!F84, "")</f>
        <v/>
      </c>
      <c r="U152" s="43"/>
      <c r="V152" s="46" t="str">
        <f>IF(AND(NOT(ISBLANK(U152)),Dashboard!F85&gt;0), U152/Dashboard!F85, "")</f>
        <v/>
      </c>
      <c r="W152" s="43"/>
      <c r="X152" s="46" t="str">
        <f>IF(AND(NOT(ISBLANK(W152)),Dashboard!F86&gt;0), W152/Dashboard!F86, "")</f>
        <v/>
      </c>
    </row>
    <row r="153" spans="16:24" x14ac:dyDescent="0.35">
      <c r="P153" s="56"/>
      <c r="Q153" s="43"/>
      <c r="R153" s="46" t="str">
        <f>IF(AND(NOT(ISBLANK(Q153)),Dashboard!F16&gt;0), Q153/Dashboard!F16, "")</f>
        <v/>
      </c>
      <c r="S153" s="43"/>
      <c r="T153" s="46" t="str">
        <f>IF(AND(NOT(ISBLANK(S153)),Dashboard!F84&gt;0), S153/Dashboard!F84, "")</f>
        <v/>
      </c>
      <c r="U153" s="43"/>
      <c r="V153" s="46" t="str">
        <f>IF(AND(NOT(ISBLANK(U153)),Dashboard!F85&gt;0), U153/Dashboard!F85, "")</f>
        <v/>
      </c>
      <c r="W153" s="43"/>
      <c r="X153" s="46" t="str">
        <f>IF(AND(NOT(ISBLANK(W153)),Dashboard!F86&gt;0), W153/Dashboard!F86, "")</f>
        <v/>
      </c>
    </row>
    <row r="154" spans="16:24" x14ac:dyDescent="0.35">
      <c r="P154" s="56"/>
      <c r="Q154" s="43"/>
      <c r="R154" s="46" t="str">
        <f>IF(AND(NOT(ISBLANK(Q154)),Dashboard!F16&gt;0), Q154/Dashboard!F16, "")</f>
        <v/>
      </c>
      <c r="S154" s="43"/>
      <c r="T154" s="46" t="str">
        <f>IF(AND(NOT(ISBLANK(S154)),Dashboard!F84&gt;0), S154/Dashboard!F84, "")</f>
        <v/>
      </c>
      <c r="U154" s="43"/>
      <c r="V154" s="46" t="str">
        <f>IF(AND(NOT(ISBLANK(U154)),Dashboard!F85&gt;0), U154/Dashboard!F85, "")</f>
        <v/>
      </c>
      <c r="W154" s="43"/>
      <c r="X154" s="46" t="str">
        <f>IF(AND(NOT(ISBLANK(W154)),Dashboard!F86&gt;0), W154/Dashboard!F86, "")</f>
        <v/>
      </c>
    </row>
    <row r="155" spans="16:24" x14ac:dyDescent="0.35">
      <c r="P155" s="56"/>
      <c r="Q155" s="43"/>
      <c r="R155" s="46" t="str">
        <f>IF(AND(NOT(ISBLANK(Q155)),Dashboard!F16&gt;0), Q155/Dashboard!F16, "")</f>
        <v/>
      </c>
      <c r="S155" s="43"/>
      <c r="T155" s="46" t="str">
        <f>IF(AND(NOT(ISBLANK(S155)),Dashboard!F84&gt;0), S155/Dashboard!F84, "")</f>
        <v/>
      </c>
      <c r="U155" s="43"/>
      <c r="V155" s="46" t="str">
        <f>IF(AND(NOT(ISBLANK(U155)),Dashboard!F85&gt;0), U155/Dashboard!F85, "")</f>
        <v/>
      </c>
      <c r="W155" s="43"/>
      <c r="X155" s="46" t="str">
        <f>IF(AND(NOT(ISBLANK(W155)),Dashboard!F86&gt;0), W155/Dashboard!F86, "")</f>
        <v/>
      </c>
    </row>
    <row r="156" spans="16:24" x14ac:dyDescent="0.35">
      <c r="P156" s="56"/>
      <c r="Q156" s="43"/>
      <c r="R156" s="46" t="str">
        <f>IF(AND(NOT(ISBLANK(Q156)),Dashboard!F16&gt;0), Q156/Dashboard!F16, "")</f>
        <v/>
      </c>
      <c r="S156" s="43"/>
      <c r="T156" s="46" t="str">
        <f>IF(AND(NOT(ISBLANK(S156)),Dashboard!F84&gt;0), S156/Dashboard!F84, "")</f>
        <v/>
      </c>
      <c r="U156" s="43"/>
      <c r="V156" s="46" t="str">
        <f>IF(AND(NOT(ISBLANK(U156)),Dashboard!F85&gt;0), U156/Dashboard!F85, "")</f>
        <v/>
      </c>
      <c r="W156" s="43"/>
      <c r="X156" s="46" t="str">
        <f>IF(AND(NOT(ISBLANK(W156)),Dashboard!F86&gt;0), W156/Dashboard!F86, "")</f>
        <v/>
      </c>
    </row>
    <row r="157" spans="16:24" x14ac:dyDescent="0.35">
      <c r="P157" s="56"/>
      <c r="Q157" s="43"/>
      <c r="R157" s="46" t="str">
        <f>IF(AND(NOT(ISBLANK(Q157)),Dashboard!F16&gt;0), Q157/Dashboard!F16, "")</f>
        <v/>
      </c>
      <c r="S157" s="43"/>
      <c r="T157" s="46" t="str">
        <f>IF(AND(NOT(ISBLANK(S157)),Dashboard!F84&gt;0), S157/Dashboard!F84, "")</f>
        <v/>
      </c>
      <c r="U157" s="43"/>
      <c r="V157" s="46" t="str">
        <f>IF(AND(NOT(ISBLANK(U157)),Dashboard!F85&gt;0), U157/Dashboard!F85, "")</f>
        <v/>
      </c>
      <c r="W157" s="43"/>
      <c r="X157" s="46" t="str">
        <f>IF(AND(NOT(ISBLANK(W157)),Dashboard!F86&gt;0), W157/Dashboard!F86, "")</f>
        <v/>
      </c>
    </row>
    <row r="158" spans="16:24" x14ac:dyDescent="0.35">
      <c r="P158" s="56"/>
      <c r="Q158" s="43"/>
      <c r="R158" s="46" t="str">
        <f>IF(AND(NOT(ISBLANK(Q158)),Dashboard!F16&gt;0), Q158/Dashboard!F16, "")</f>
        <v/>
      </c>
      <c r="S158" s="43"/>
      <c r="T158" s="46" t="str">
        <f>IF(AND(NOT(ISBLANK(S158)),Dashboard!F84&gt;0), S158/Dashboard!F84, "")</f>
        <v/>
      </c>
      <c r="U158" s="43"/>
      <c r="V158" s="46" t="str">
        <f>IF(AND(NOT(ISBLANK(U158)),Dashboard!F85&gt;0), U158/Dashboard!F85, "")</f>
        <v/>
      </c>
      <c r="W158" s="43"/>
      <c r="X158" s="46" t="str">
        <f>IF(AND(NOT(ISBLANK(W158)),Dashboard!F86&gt;0), W158/Dashboard!F86, "")</f>
        <v/>
      </c>
    </row>
    <row r="159" spans="16:24" x14ac:dyDescent="0.35">
      <c r="P159" s="56"/>
      <c r="Q159" s="43"/>
      <c r="R159" s="46" t="str">
        <f>IF(AND(NOT(ISBLANK(Q159)),Dashboard!F16&gt;0), Q159/Dashboard!F16, "")</f>
        <v/>
      </c>
      <c r="S159" s="43"/>
      <c r="T159" s="46" t="str">
        <f>IF(AND(NOT(ISBLANK(S159)),Dashboard!F84&gt;0), S159/Dashboard!F84, "")</f>
        <v/>
      </c>
      <c r="U159" s="43"/>
      <c r="V159" s="46" t="str">
        <f>IF(AND(NOT(ISBLANK(U159)),Dashboard!F85&gt;0), U159/Dashboard!F85, "")</f>
        <v/>
      </c>
      <c r="W159" s="43"/>
      <c r="X159" s="46" t="str">
        <f>IF(AND(NOT(ISBLANK(W159)),Dashboard!F86&gt;0), W159/Dashboard!F86, "")</f>
        <v/>
      </c>
    </row>
    <row r="160" spans="16:24" x14ac:dyDescent="0.35">
      <c r="P160" s="56"/>
      <c r="Q160" s="43"/>
      <c r="R160" s="46" t="str">
        <f>IF(AND(NOT(ISBLANK(Q160)),Dashboard!F16&gt;0), Q160/Dashboard!F16, "")</f>
        <v/>
      </c>
      <c r="S160" s="43"/>
      <c r="T160" s="46" t="str">
        <f>IF(AND(NOT(ISBLANK(S160)),Dashboard!F84&gt;0), S160/Dashboard!F84, "")</f>
        <v/>
      </c>
      <c r="U160" s="43"/>
      <c r="V160" s="46" t="str">
        <f>IF(AND(NOT(ISBLANK(U160)),Dashboard!F85&gt;0), U160/Dashboard!F85, "")</f>
        <v/>
      </c>
      <c r="W160" s="43"/>
      <c r="X160" s="46" t="str">
        <f>IF(AND(NOT(ISBLANK(W160)),Dashboard!F86&gt;0), W160/Dashboard!F86, "")</f>
        <v/>
      </c>
    </row>
    <row r="161" spans="2:24" x14ac:dyDescent="0.35">
      <c r="P161" s="56"/>
      <c r="Q161" s="43"/>
      <c r="R161" s="46" t="str">
        <f>IF(AND(NOT(ISBLANK(Q161)),Dashboard!F16&gt;0), Q161/Dashboard!F16, "")</f>
        <v/>
      </c>
      <c r="S161" s="43"/>
      <c r="T161" s="46" t="str">
        <f>IF(AND(NOT(ISBLANK(S161)),Dashboard!F84&gt;0), S161/Dashboard!F84, "")</f>
        <v/>
      </c>
      <c r="U161" s="43"/>
      <c r="V161" s="46" t="str">
        <f>IF(AND(NOT(ISBLANK(U161)),Dashboard!F85&gt;0), U161/Dashboard!F85, "")</f>
        <v/>
      </c>
      <c r="W161" s="43"/>
      <c r="X161" s="46" t="str">
        <f>IF(AND(NOT(ISBLANK(W161)),Dashboard!F86&gt;0), W161/Dashboard!F86, "")</f>
        <v/>
      </c>
    </row>
    <row r="162" spans="2:24" x14ac:dyDescent="0.35">
      <c r="P162" s="56"/>
      <c r="Q162" s="43"/>
      <c r="R162" s="46" t="str">
        <f>IF(AND(NOT(ISBLANK(Q162)),Dashboard!F16&gt;0), Q162/Dashboard!F16, "")</f>
        <v/>
      </c>
      <c r="S162" s="43"/>
      <c r="T162" s="46" t="str">
        <f>IF(AND(NOT(ISBLANK(S162)),Dashboard!F84&gt;0), S162/Dashboard!F84, "")</f>
        <v/>
      </c>
      <c r="U162" s="43"/>
      <c r="V162" s="46" t="str">
        <f>IF(AND(NOT(ISBLANK(U162)),Dashboard!F85&gt;0), U162/Dashboard!F85, "")</f>
        <v/>
      </c>
      <c r="W162" s="43"/>
      <c r="X162" s="46" t="str">
        <f>IF(AND(NOT(ISBLANK(W162)),Dashboard!F86&gt;0), W162/Dashboard!F86, "")</f>
        <v/>
      </c>
    </row>
    <row r="163" spans="2:24" x14ac:dyDescent="0.35">
      <c r="P163" s="56"/>
      <c r="Q163" s="43"/>
      <c r="R163" s="46" t="str">
        <f>IF(AND(NOT(ISBLANK(Q163)),Dashboard!F16&gt;0), Q163/Dashboard!F16, "")</f>
        <v/>
      </c>
      <c r="S163" s="43"/>
      <c r="T163" s="46" t="str">
        <f>IF(AND(NOT(ISBLANK(S163)),Dashboard!F84&gt;0), S163/Dashboard!F84, "")</f>
        <v/>
      </c>
      <c r="U163" s="43"/>
      <c r="V163" s="46" t="str">
        <f>IF(AND(NOT(ISBLANK(U163)),Dashboard!F85&gt;0), U163/Dashboard!F85, "")</f>
        <v/>
      </c>
      <c r="W163" s="43"/>
      <c r="X163" s="46" t="str">
        <f>IF(AND(NOT(ISBLANK(W163)),Dashboard!F86&gt;0), W163/Dashboard!F86, "")</f>
        <v/>
      </c>
    </row>
    <row r="164" spans="2:24" x14ac:dyDescent="0.35">
      <c r="P164" s="56"/>
      <c r="Q164" s="43"/>
      <c r="R164" s="46" t="str">
        <f>IF(AND(NOT(ISBLANK(Q164)),Dashboard!F16&gt;0), Q164/Dashboard!F16, "")</f>
        <v/>
      </c>
      <c r="S164" s="43"/>
      <c r="T164" s="46" t="str">
        <f>IF(AND(NOT(ISBLANK(S164)),Dashboard!F84&gt;0), S164/Dashboard!F84, "")</f>
        <v/>
      </c>
      <c r="U164" s="43"/>
      <c r="V164" s="46" t="str">
        <f>IF(AND(NOT(ISBLANK(U164)),Dashboard!F85&gt;0), U164/Dashboard!F85, "")</f>
        <v/>
      </c>
      <c r="W164" s="43"/>
      <c r="X164" s="46" t="str">
        <f>IF(AND(NOT(ISBLANK(W164)),Dashboard!F86&gt;0), W164/Dashboard!F86, "")</f>
        <v/>
      </c>
    </row>
    <row r="165" spans="2:24" x14ac:dyDescent="0.35">
      <c r="P165" s="56"/>
      <c r="Q165" s="43"/>
      <c r="R165" s="46" t="str">
        <f>IF(AND(NOT(ISBLANK(Q165)),Dashboard!F16&gt;0), Q165/Dashboard!F16, "")</f>
        <v/>
      </c>
      <c r="S165" s="43"/>
      <c r="T165" s="46" t="str">
        <f>IF(AND(NOT(ISBLANK(S165)),Dashboard!F84&gt;0), S165/Dashboard!F84, "")</f>
        <v/>
      </c>
      <c r="U165" s="43"/>
      <c r="V165" s="46" t="str">
        <f>IF(AND(NOT(ISBLANK(U165)),Dashboard!F85&gt;0), U165/Dashboard!F85, "")</f>
        <v/>
      </c>
      <c r="W165" s="43"/>
      <c r="X165" s="46" t="str">
        <f>IF(AND(NOT(ISBLANK(W165)),Dashboard!F86&gt;0), W165/Dashboard!F86, "")</f>
        <v/>
      </c>
    </row>
    <row r="166" spans="2:24" x14ac:dyDescent="0.35">
      <c r="P166" s="56"/>
      <c r="Q166" s="43"/>
      <c r="R166" s="46" t="str">
        <f>IF(AND(NOT(ISBLANK(Q166)),Dashboard!F16&gt;0), Q166/Dashboard!F16, "")</f>
        <v/>
      </c>
      <c r="S166" s="43"/>
      <c r="T166" s="46" t="str">
        <f>IF(AND(NOT(ISBLANK(S166)),Dashboard!F84&gt;0), S166/Dashboard!F84, "")</f>
        <v/>
      </c>
      <c r="U166" s="43"/>
      <c r="V166" s="46" t="str">
        <f>IF(AND(NOT(ISBLANK(U166)),Dashboard!F85&gt;0), U166/Dashboard!F85, "")</f>
        <v/>
      </c>
      <c r="W166" s="43"/>
      <c r="X166" s="46" t="str">
        <f>IF(AND(NOT(ISBLANK(W166)),Dashboard!F86&gt;0), W166/Dashboard!F86, "")</f>
        <v/>
      </c>
    </row>
    <row r="167" spans="2:24" x14ac:dyDescent="0.35">
      <c r="P167" s="56"/>
      <c r="Q167" s="43"/>
      <c r="R167" s="46" t="str">
        <f>IF(AND(NOT(ISBLANK(Q167)),Dashboard!F16&gt;0), Q167/Dashboard!F16, "")</f>
        <v/>
      </c>
      <c r="S167" s="43"/>
      <c r="T167" s="46" t="str">
        <f>IF(AND(NOT(ISBLANK(S167)),Dashboard!F84&gt;0), S167/Dashboard!F84, "")</f>
        <v/>
      </c>
      <c r="U167" s="43"/>
      <c r="V167" s="46" t="str">
        <f>IF(AND(NOT(ISBLANK(U167)),Dashboard!F85&gt;0), U167/Dashboard!F85, "")</f>
        <v/>
      </c>
      <c r="W167" s="43"/>
      <c r="X167" s="46" t="str">
        <f>IF(AND(NOT(ISBLANK(W167)),Dashboard!F86&gt;0), W167/Dashboard!F86, "")</f>
        <v/>
      </c>
    </row>
    <row r="168" spans="2:24" x14ac:dyDescent="0.35">
      <c r="P168" s="56"/>
      <c r="Q168" s="43"/>
      <c r="R168" s="46" t="str">
        <f>IF(AND(NOT(ISBLANK(Q168)),Dashboard!F16&gt;0), Q168/Dashboard!F16, "")</f>
        <v/>
      </c>
      <c r="S168" s="43"/>
      <c r="T168" s="46" t="str">
        <f>IF(AND(NOT(ISBLANK(S168)),Dashboard!F84&gt;0), S168/Dashboard!F84, "")</f>
        <v/>
      </c>
      <c r="U168" s="43"/>
      <c r="V168" s="46" t="str">
        <f>IF(AND(NOT(ISBLANK(U168)),Dashboard!F85&gt;0), U168/Dashboard!F85, "")</f>
        <v/>
      </c>
      <c r="W168" s="43"/>
      <c r="X168" s="46" t="str">
        <f>IF(AND(NOT(ISBLANK(W168)),Dashboard!F86&gt;0), W168/Dashboard!F86, "")</f>
        <v/>
      </c>
    </row>
    <row r="169" spans="2:24" x14ac:dyDescent="0.35">
      <c r="P169" s="56"/>
      <c r="Q169" s="43"/>
      <c r="R169" s="46" t="str">
        <f>IF(AND(NOT(ISBLANK(Q169)),Dashboard!F16&gt;0), Q169/Dashboard!F16, "")</f>
        <v/>
      </c>
      <c r="S169" s="43"/>
      <c r="T169" s="46" t="str">
        <f>IF(AND(NOT(ISBLANK(S169)),Dashboard!F84&gt;0), S169/Dashboard!F84, "")</f>
        <v/>
      </c>
      <c r="U169" s="43"/>
      <c r="V169" s="46" t="str">
        <f>IF(AND(NOT(ISBLANK(U169)),Dashboard!F85&gt;0), U169/Dashboard!F85, "")</f>
        <v/>
      </c>
      <c r="W169" s="43"/>
      <c r="X169" s="46" t="str">
        <f>IF(AND(NOT(ISBLANK(W169)),Dashboard!F86&gt;0), W169/Dashboard!F86, "")</f>
        <v/>
      </c>
    </row>
    <row r="170" spans="2:24" x14ac:dyDescent="0.35">
      <c r="P170" s="56"/>
      <c r="Q170" s="43"/>
      <c r="R170" s="46" t="str">
        <f>IF(AND(NOT(ISBLANK(Q170)),Dashboard!F16&gt;0), Q170/Dashboard!F16, "")</f>
        <v/>
      </c>
      <c r="S170" s="43"/>
      <c r="T170" s="46" t="str">
        <f>IF(AND(NOT(ISBLANK(S170)),Dashboard!F84&gt;0), S170/Dashboard!F84, "")</f>
        <v/>
      </c>
      <c r="U170" s="43"/>
      <c r="V170" s="46" t="str">
        <f>IF(AND(NOT(ISBLANK(U170)),Dashboard!F85&gt;0), U170/Dashboard!F85, "")</f>
        <v/>
      </c>
      <c r="W170" s="43"/>
      <c r="X170" s="46" t="str">
        <f>IF(AND(NOT(ISBLANK(W170)),Dashboard!F86&gt;0), W170/Dashboard!F86, "")</f>
        <v/>
      </c>
    </row>
    <row r="175" spans="2:24" ht="21" x14ac:dyDescent="0.5">
      <c r="B175" s="40" t="s">
        <v>424</v>
      </c>
      <c r="P175" s="57" t="s">
        <v>425</v>
      </c>
    </row>
    <row r="177" spans="2:22" ht="45" customHeight="1" x14ac:dyDescent="0.35">
      <c r="B177" s="90" t="s">
        <v>426</v>
      </c>
      <c r="C177" s="83"/>
      <c r="D177" s="83"/>
      <c r="E177" s="83"/>
      <c r="F177" s="83"/>
      <c r="P177" s="90" t="s">
        <v>427</v>
      </c>
      <c r="Q177" s="83"/>
      <c r="R177" s="83"/>
      <c r="S177" s="83"/>
      <c r="T177" s="83"/>
      <c r="U177" s="83"/>
    </row>
    <row r="178" spans="2:22" ht="35" customHeight="1" x14ac:dyDescent="0.35">
      <c r="P178" s="87" t="s">
        <v>428</v>
      </c>
      <c r="Q178" s="87"/>
      <c r="R178" s="87" t="s">
        <v>429</v>
      </c>
      <c r="S178" s="87"/>
      <c r="T178" s="87"/>
    </row>
    <row r="179" spans="2:22" ht="30" customHeight="1" x14ac:dyDescent="0.35">
      <c r="P179" s="91">
        <v>0</v>
      </c>
      <c r="Q179" s="92"/>
      <c r="R179" s="93" t="s">
        <v>430</v>
      </c>
      <c r="S179" s="94"/>
      <c r="T179" s="94"/>
    </row>
    <row r="182" spans="2:22" ht="25" customHeight="1" x14ac:dyDescent="0.35">
      <c r="P182" s="66" t="s">
        <v>413</v>
      </c>
      <c r="Q182" s="66" t="s">
        <v>431</v>
      </c>
      <c r="R182" s="66" t="s">
        <v>432</v>
      </c>
      <c r="S182" s="95" t="s">
        <v>8</v>
      </c>
      <c r="T182" s="95"/>
      <c r="U182" s="95"/>
      <c r="V182" s="83"/>
    </row>
    <row r="183" spans="2:22" ht="20" customHeight="1" x14ac:dyDescent="0.35">
      <c r="P183" s="68"/>
      <c r="Q183" s="69"/>
      <c r="R183" s="70" t="str">
        <f>IF(AND(NOT(ISBLANK(Q183)), Dashboard!$P179&gt;0), Q183/Dashboard!$P179, "")</f>
        <v/>
      </c>
      <c r="S183" s="96"/>
      <c r="T183" s="97"/>
      <c r="U183" s="97"/>
      <c r="V183" s="97"/>
    </row>
    <row r="184" spans="2:22" ht="20" customHeight="1" x14ac:dyDescent="0.35">
      <c r="P184" s="68"/>
      <c r="Q184" s="69"/>
      <c r="R184" s="70" t="str">
        <f>IF(AND(NOT(ISBLANK(Q184)), Dashboard!$P179&gt;0), Q184/Dashboard!$P179, "")</f>
        <v/>
      </c>
      <c r="S184" s="96"/>
      <c r="T184" s="97"/>
      <c r="U184" s="97"/>
      <c r="V184" s="97"/>
    </row>
    <row r="185" spans="2:22" ht="20" customHeight="1" x14ac:dyDescent="0.35">
      <c r="P185" s="68"/>
      <c r="Q185" s="69"/>
      <c r="R185" s="70" t="str">
        <f>IF(AND(NOT(ISBLANK(Q185)), Dashboard!$P179&gt;0), Q185/Dashboard!$P179, "")</f>
        <v/>
      </c>
      <c r="S185" s="96"/>
      <c r="T185" s="97"/>
      <c r="U185" s="97"/>
      <c r="V185" s="97"/>
    </row>
    <row r="186" spans="2:22" ht="20" customHeight="1" x14ac:dyDescent="0.35">
      <c r="P186" s="68"/>
      <c r="Q186" s="69"/>
      <c r="R186" s="70" t="str">
        <f>IF(AND(NOT(ISBLANK(Q186)), Dashboard!$P179&gt;0), Q186/Dashboard!$P179, "")</f>
        <v/>
      </c>
      <c r="S186" s="96"/>
      <c r="T186" s="97"/>
      <c r="U186" s="97"/>
      <c r="V186" s="97"/>
    </row>
    <row r="187" spans="2:22" ht="20" customHeight="1" x14ac:dyDescent="0.35">
      <c r="P187" s="68"/>
      <c r="Q187" s="69"/>
      <c r="R187" s="70" t="str">
        <f>IF(AND(NOT(ISBLANK(Q187)), Dashboard!$P179&gt;0), Q187/Dashboard!$P179, "")</f>
        <v/>
      </c>
      <c r="S187" s="96"/>
      <c r="T187" s="97"/>
      <c r="U187" s="97"/>
      <c r="V187" s="97"/>
    </row>
    <row r="188" spans="2:22" ht="20" customHeight="1" x14ac:dyDescent="0.35">
      <c r="P188" s="68"/>
      <c r="Q188" s="69"/>
      <c r="R188" s="70" t="str">
        <f>IF(AND(NOT(ISBLANK(Q188)), Dashboard!$P179&gt;0), Q188/Dashboard!$P179, "")</f>
        <v/>
      </c>
      <c r="S188" s="96"/>
      <c r="T188" s="97"/>
      <c r="U188" s="97"/>
      <c r="V188" s="97"/>
    </row>
    <row r="189" spans="2:22" ht="20" customHeight="1" x14ac:dyDescent="0.35">
      <c r="P189" s="68"/>
      <c r="Q189" s="69"/>
      <c r="R189" s="70" t="str">
        <f>IF(AND(NOT(ISBLANK(Q189)), Dashboard!$P179&gt;0), Q189/Dashboard!$P179, "")</f>
        <v/>
      </c>
      <c r="S189" s="96"/>
      <c r="T189" s="97"/>
      <c r="U189" s="97"/>
      <c r="V189" s="97"/>
    </row>
    <row r="190" spans="2:22" ht="20" customHeight="1" x14ac:dyDescent="0.35">
      <c r="P190" s="68"/>
      <c r="Q190" s="69"/>
      <c r="R190" s="70" t="str">
        <f>IF(AND(NOT(ISBLANK(Q190)), Dashboard!$P179&gt;0), Q190/Dashboard!$P179, "")</f>
        <v/>
      </c>
      <c r="S190" s="96"/>
      <c r="T190" s="97"/>
      <c r="U190" s="97"/>
      <c r="V190" s="97"/>
    </row>
    <row r="191" spans="2:22" ht="20" customHeight="1" x14ac:dyDescent="0.35">
      <c r="P191" s="68"/>
      <c r="Q191" s="69"/>
      <c r="R191" s="70" t="str">
        <f>IF(AND(NOT(ISBLANK(Q191)), Dashboard!$P179&gt;0), Q191/Dashboard!$P179, "")</f>
        <v/>
      </c>
      <c r="S191" s="96"/>
      <c r="T191" s="97"/>
      <c r="U191" s="97"/>
      <c r="V191" s="97"/>
    </row>
    <row r="192" spans="2:22" ht="20" customHeight="1" x14ac:dyDescent="0.35">
      <c r="P192" s="68"/>
      <c r="Q192" s="69"/>
      <c r="R192" s="70" t="str">
        <f>IF(AND(NOT(ISBLANK(Q192)), Dashboard!$P179&gt;0), Q192/Dashboard!$P179, "")</f>
        <v/>
      </c>
      <c r="S192" s="96"/>
      <c r="T192" s="97"/>
      <c r="U192" s="97"/>
      <c r="V192" s="97"/>
    </row>
    <row r="193" spans="2:22" ht="20" customHeight="1" x14ac:dyDescent="0.35">
      <c r="P193" s="68"/>
      <c r="Q193" s="69"/>
      <c r="R193" s="70" t="str">
        <f>IF(AND(NOT(ISBLANK(Q193)), Dashboard!$P179&gt;0), Q193/Dashboard!$P179, "")</f>
        <v/>
      </c>
      <c r="S193" s="96"/>
      <c r="T193" s="97"/>
      <c r="U193" s="97"/>
      <c r="V193" s="97"/>
    </row>
    <row r="194" spans="2:22" ht="20" customHeight="1" x14ac:dyDescent="0.35">
      <c r="P194" s="68"/>
      <c r="Q194" s="69"/>
      <c r="R194" s="70" t="str">
        <f>IF(AND(NOT(ISBLANK(Q194)), Dashboard!$P179&gt;0), Q194/Dashboard!$P179, "")</f>
        <v/>
      </c>
      <c r="S194" s="96"/>
      <c r="T194" s="97"/>
      <c r="U194" s="97"/>
      <c r="V194" s="97"/>
    </row>
    <row r="195" spans="2:22" ht="20" customHeight="1" x14ac:dyDescent="0.35">
      <c r="P195" s="68"/>
      <c r="Q195" s="69"/>
      <c r="R195" s="70" t="str">
        <f>IF(AND(NOT(ISBLANK(Q195)), Dashboard!$P179&gt;0), Q195/Dashboard!$P179, "")</f>
        <v/>
      </c>
      <c r="S195" s="96"/>
      <c r="T195" s="97"/>
      <c r="U195" s="97"/>
      <c r="V195" s="97"/>
    </row>
    <row r="196" spans="2:22" ht="20" customHeight="1" x14ac:dyDescent="0.35">
      <c r="P196" s="68"/>
      <c r="Q196" s="69"/>
      <c r="R196" s="70" t="str">
        <f>IF(AND(NOT(ISBLANK(Q196)), Dashboard!$P179&gt;0), Q196/Dashboard!$P179, "")</f>
        <v/>
      </c>
      <c r="S196" s="96"/>
      <c r="T196" s="97"/>
      <c r="U196" s="97"/>
      <c r="V196" s="97"/>
    </row>
    <row r="197" spans="2:22" ht="20" customHeight="1" x14ac:dyDescent="0.35">
      <c r="P197" s="68"/>
      <c r="Q197" s="69"/>
      <c r="R197" s="70" t="str">
        <f>IF(AND(NOT(ISBLANK(Q197)), Dashboard!$P179&gt;0), Q197/Dashboard!$P179, "")</f>
        <v/>
      </c>
      <c r="S197" s="96"/>
      <c r="T197" s="97"/>
      <c r="U197" s="97"/>
      <c r="V197" s="97"/>
    </row>
    <row r="198" spans="2:22" ht="20" customHeight="1" x14ac:dyDescent="0.35">
      <c r="P198" s="68"/>
      <c r="Q198" s="69"/>
      <c r="R198" s="70" t="str">
        <f>IF(AND(NOT(ISBLANK(Q198)), Dashboard!$P179&gt;0), Q198/Dashboard!$P179, "")</f>
        <v/>
      </c>
      <c r="S198" s="96"/>
      <c r="T198" s="97"/>
      <c r="U198" s="97"/>
      <c r="V198" s="97"/>
    </row>
    <row r="199" spans="2:22" ht="20" customHeight="1" x14ac:dyDescent="0.35">
      <c r="P199" s="68"/>
      <c r="Q199" s="69"/>
      <c r="R199" s="70" t="str">
        <f>IF(AND(NOT(ISBLANK(Q199)), Dashboard!$P179&gt;0), Q199/Dashboard!$P179, "")</f>
        <v/>
      </c>
      <c r="S199" s="96"/>
      <c r="T199" s="97"/>
      <c r="U199" s="97"/>
      <c r="V199" s="97"/>
    </row>
    <row r="200" spans="2:22" ht="20" customHeight="1" x14ac:dyDescent="0.35">
      <c r="P200" s="68"/>
      <c r="Q200" s="69"/>
      <c r="R200" s="70" t="str">
        <f>IF(AND(NOT(ISBLANK(Q200)), Dashboard!$P179&gt;0), Q200/Dashboard!$P179, "")</f>
        <v/>
      </c>
      <c r="S200" s="96"/>
      <c r="T200" s="97"/>
      <c r="U200" s="97"/>
      <c r="V200" s="97"/>
    </row>
    <row r="201" spans="2:22" ht="20" customHeight="1" x14ac:dyDescent="0.35">
      <c r="P201" s="68"/>
      <c r="Q201" s="69"/>
      <c r="R201" s="70" t="str">
        <f>IF(AND(NOT(ISBLANK(Q201)), Dashboard!$P179&gt;0), Q201/Dashboard!$P179, "")</f>
        <v/>
      </c>
      <c r="S201" s="96"/>
      <c r="T201" s="97"/>
      <c r="U201" s="97"/>
      <c r="V201" s="97"/>
    </row>
    <row r="202" spans="2:22" ht="20" customHeight="1" x14ac:dyDescent="0.35">
      <c r="P202" s="68"/>
      <c r="Q202" s="69"/>
      <c r="R202" s="70" t="str">
        <f>IF(AND(NOT(ISBLANK(Q202)), Dashboard!$P179&gt;0), Q202/Dashboard!$P179, "")</f>
        <v/>
      </c>
      <c r="S202" s="96"/>
      <c r="T202" s="97"/>
      <c r="U202" s="97"/>
      <c r="V202" s="97"/>
    </row>
    <row r="206" spans="2:22" ht="32" customHeight="1" x14ac:dyDescent="0.35">
      <c r="B206" s="81" t="s">
        <v>305</v>
      </c>
      <c r="C206" s="81"/>
      <c r="D206" s="81"/>
      <c r="E206" s="81"/>
      <c r="F206" s="81"/>
      <c r="G206" s="81"/>
      <c r="H206" s="81"/>
      <c r="I206" s="8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2:H127">
    <cfRule type="expression" dxfId="32" priority="4">
      <formula>$G122&gt;=0.8</formula>
    </cfRule>
    <cfRule type="expression" dxfId="31" priority="5">
      <formula>AND($G122&gt;=0.5,$G122&lt;0.8)</formula>
    </cfRule>
    <cfRule type="expression" dxfId="30" priority="6">
      <formula>$G122&lt;0.5</formula>
    </cfRule>
  </conditionalFormatting>
  <conditionalFormatting sqref="K122:K127">
    <cfRule type="cellIs" dxfId="29" priority="7" operator="greaterThan">
      <formula>0</formula>
    </cfRule>
  </conditionalFormatting>
  <conditionalFormatting sqref="L122:L127">
    <cfRule type="cellIs" dxfId="28" priority="8" operator="greaterThan">
      <formula>0</formula>
    </cfRule>
  </conditionalFormatting>
  <conditionalFormatting sqref="M122:M127">
    <cfRule type="cellIs" dxfId="27" priority="9" operator="greaterThan">
      <formula>0</formula>
    </cfRule>
  </conditionalFormatting>
  <conditionalFormatting sqref="N122:N127">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5"/>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61"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22</v>
      </c>
      <c r="K4" s="1" t="s">
        <v>32</v>
      </c>
      <c r="L4" s="1" t="s">
        <v>24</v>
      </c>
      <c r="M4" s="4" t="str">
        <f t="shared" si="0"/>
        <v>Outstanding</v>
      </c>
      <c r="N4" s="13" t="s">
        <v>21</v>
      </c>
    </row>
    <row r="5" spans="1:14" ht="60" customHeight="1" x14ac:dyDescent="0.35">
      <c r="A5" s="11" t="s">
        <v>33</v>
      </c>
      <c r="B5" s="1" t="s">
        <v>34</v>
      </c>
      <c r="C5" s="2" t="s">
        <v>16</v>
      </c>
      <c r="D5" s="3" t="s">
        <v>17</v>
      </c>
      <c r="E5" s="4" t="s">
        <v>18</v>
      </c>
      <c r="F5" s="4" t="s">
        <v>19</v>
      </c>
      <c r="G5" s="4" t="s">
        <v>20</v>
      </c>
      <c r="H5" s="4" t="s">
        <v>21</v>
      </c>
      <c r="I5" s="5" t="s">
        <v>21</v>
      </c>
      <c r="J5" s="1" t="s">
        <v>22</v>
      </c>
      <c r="K5" s="1" t="s">
        <v>35</v>
      </c>
      <c r="L5" s="1" t="s">
        <v>36</v>
      </c>
      <c r="M5" s="4" t="str">
        <f t="shared" si="0"/>
        <v>Outstanding</v>
      </c>
      <c r="N5" s="13" t="s">
        <v>21</v>
      </c>
    </row>
    <row r="6" spans="1:14" ht="60" customHeight="1" x14ac:dyDescent="0.35">
      <c r="A6" s="11" t="s">
        <v>37</v>
      </c>
      <c r="B6" s="1" t="s">
        <v>38</v>
      </c>
      <c r="C6" s="2" t="s">
        <v>16</v>
      </c>
      <c r="D6" s="3" t="s">
        <v>17</v>
      </c>
      <c r="E6" s="4" t="s">
        <v>18</v>
      </c>
      <c r="F6" s="4" t="s">
        <v>19</v>
      </c>
      <c r="G6" s="4" t="s">
        <v>20</v>
      </c>
      <c r="H6" s="4" t="s">
        <v>21</v>
      </c>
      <c r="I6" s="5" t="s">
        <v>21</v>
      </c>
      <c r="J6" s="1" t="s">
        <v>39</v>
      </c>
      <c r="K6" s="1" t="s">
        <v>40</v>
      </c>
      <c r="L6" s="1" t="s">
        <v>41</v>
      </c>
      <c r="M6" s="4" t="str">
        <f t="shared" si="0"/>
        <v>Outstanding</v>
      </c>
      <c r="N6" s="13" t="s">
        <v>21</v>
      </c>
    </row>
    <row r="7" spans="1:14" ht="60" customHeight="1" x14ac:dyDescent="0.35">
      <c r="A7" s="11" t="s">
        <v>42</v>
      </c>
      <c r="B7" s="1" t="s">
        <v>43</v>
      </c>
      <c r="C7" s="2" t="s">
        <v>16</v>
      </c>
      <c r="D7" s="3" t="s">
        <v>17</v>
      </c>
      <c r="E7" s="4" t="s">
        <v>18</v>
      </c>
      <c r="F7" s="4" t="s">
        <v>19</v>
      </c>
      <c r="G7" s="4" t="s">
        <v>20</v>
      </c>
      <c r="H7" s="4" t="s">
        <v>21</v>
      </c>
      <c r="I7" s="5" t="s">
        <v>21</v>
      </c>
      <c r="J7" s="1" t="s">
        <v>22</v>
      </c>
      <c r="K7" s="1" t="s">
        <v>44</v>
      </c>
      <c r="L7" s="1" t="s">
        <v>36</v>
      </c>
      <c r="M7" s="4" t="str">
        <f t="shared" si="0"/>
        <v>Outstanding</v>
      </c>
      <c r="N7" s="13" t="s">
        <v>21</v>
      </c>
    </row>
    <row r="8" spans="1:14" ht="60" customHeight="1" x14ac:dyDescent="0.35">
      <c r="A8" s="11" t="s">
        <v>45</v>
      </c>
      <c r="B8" s="1" t="s">
        <v>46</v>
      </c>
      <c r="C8" s="2" t="s">
        <v>47</v>
      </c>
      <c r="D8" s="3" t="s">
        <v>17</v>
      </c>
      <c r="E8" s="4" t="s">
        <v>18</v>
      </c>
      <c r="F8" s="4" t="s">
        <v>19</v>
      </c>
      <c r="G8" s="4" t="s">
        <v>20</v>
      </c>
      <c r="H8" s="4" t="s">
        <v>21</v>
      </c>
      <c r="I8" s="5" t="s">
        <v>21</v>
      </c>
      <c r="J8" s="1" t="s">
        <v>48</v>
      </c>
      <c r="K8" s="1" t="s">
        <v>49</v>
      </c>
      <c r="L8" s="1" t="s">
        <v>50</v>
      </c>
      <c r="M8" s="4" t="str">
        <f t="shared" si="0"/>
        <v>Outstanding</v>
      </c>
      <c r="N8" s="13" t="s">
        <v>21</v>
      </c>
    </row>
    <row r="9" spans="1:14" ht="60" customHeight="1" x14ac:dyDescent="0.35">
      <c r="A9" s="11" t="s">
        <v>51</v>
      </c>
      <c r="B9" s="1" t="s">
        <v>52</v>
      </c>
      <c r="C9" s="2" t="s">
        <v>16</v>
      </c>
      <c r="D9" s="3" t="s">
        <v>17</v>
      </c>
      <c r="E9" s="4" t="s">
        <v>18</v>
      </c>
      <c r="F9" s="4" t="s">
        <v>19</v>
      </c>
      <c r="G9" s="4" t="s">
        <v>20</v>
      </c>
      <c r="H9" s="4" t="s">
        <v>21</v>
      </c>
      <c r="I9" s="5" t="s">
        <v>21</v>
      </c>
      <c r="J9" s="1" t="s">
        <v>53</v>
      </c>
      <c r="K9" s="1" t="s">
        <v>54</v>
      </c>
      <c r="L9" s="1" t="s">
        <v>55</v>
      </c>
      <c r="M9" s="4" t="str">
        <f t="shared" si="0"/>
        <v>Outstanding</v>
      </c>
      <c r="N9" s="13" t="s">
        <v>21</v>
      </c>
    </row>
    <row r="10" spans="1:14" ht="60" customHeight="1" x14ac:dyDescent="0.35">
      <c r="A10" s="11" t="s">
        <v>56</v>
      </c>
      <c r="B10" s="1" t="s">
        <v>57</v>
      </c>
      <c r="C10" s="2" t="s">
        <v>16</v>
      </c>
      <c r="D10" s="3" t="s">
        <v>17</v>
      </c>
      <c r="E10" s="4" t="s">
        <v>18</v>
      </c>
      <c r="F10" s="4" t="s">
        <v>19</v>
      </c>
      <c r="G10" s="4" t="s">
        <v>20</v>
      </c>
      <c r="H10" s="4" t="s">
        <v>21</v>
      </c>
      <c r="I10" s="5" t="s">
        <v>21</v>
      </c>
      <c r="J10" s="1" t="s">
        <v>58</v>
      </c>
      <c r="K10" s="1" t="s">
        <v>59</v>
      </c>
      <c r="L10" s="1" t="s">
        <v>60</v>
      </c>
      <c r="M10" s="4" t="str">
        <f t="shared" si="0"/>
        <v>Outstanding</v>
      </c>
      <c r="N10" s="13" t="s">
        <v>21</v>
      </c>
    </row>
    <row r="11" spans="1:14" ht="60" customHeight="1" x14ac:dyDescent="0.35">
      <c r="A11" s="11" t="s">
        <v>61</v>
      </c>
      <c r="B11" s="1" t="s">
        <v>62</v>
      </c>
      <c r="C11" s="2" t="s">
        <v>16</v>
      </c>
      <c r="D11" s="3" t="s">
        <v>17</v>
      </c>
      <c r="E11" s="4" t="s">
        <v>18</v>
      </c>
      <c r="F11" s="4" t="s">
        <v>19</v>
      </c>
      <c r="G11" s="4" t="s">
        <v>20</v>
      </c>
      <c r="H11" s="4" t="s">
        <v>21</v>
      </c>
      <c r="I11" s="5" t="s">
        <v>21</v>
      </c>
      <c r="J11" s="1" t="s">
        <v>63</v>
      </c>
      <c r="K11" s="1" t="s">
        <v>64</v>
      </c>
      <c r="L11" s="1" t="s">
        <v>65</v>
      </c>
      <c r="M11" s="4" t="str">
        <f t="shared" si="0"/>
        <v>Outstanding</v>
      </c>
      <c r="N11" s="13" t="s">
        <v>21</v>
      </c>
    </row>
    <row r="12" spans="1:14" ht="60" customHeight="1" x14ac:dyDescent="0.35">
      <c r="A12" s="11" t="s">
        <v>66</v>
      </c>
      <c r="B12" s="1" t="s">
        <v>67</v>
      </c>
      <c r="C12" s="2" t="s">
        <v>16</v>
      </c>
      <c r="D12" s="3" t="s">
        <v>17</v>
      </c>
      <c r="E12" s="4" t="s">
        <v>18</v>
      </c>
      <c r="F12" s="4" t="s">
        <v>19</v>
      </c>
      <c r="G12" s="4" t="s">
        <v>20</v>
      </c>
      <c r="H12" s="4" t="s">
        <v>21</v>
      </c>
      <c r="I12" s="5" t="s">
        <v>21</v>
      </c>
      <c r="J12" s="1" t="s">
        <v>68</v>
      </c>
      <c r="K12" s="1" t="s">
        <v>69</v>
      </c>
      <c r="L12" s="1" t="s">
        <v>70</v>
      </c>
      <c r="M12" s="4" t="str">
        <f t="shared" si="0"/>
        <v>Outstanding</v>
      </c>
      <c r="N12" s="13" t="s">
        <v>21</v>
      </c>
    </row>
    <row r="13" spans="1:14" ht="60" customHeight="1" x14ac:dyDescent="0.35">
      <c r="A13" s="11" t="s">
        <v>71</v>
      </c>
      <c r="B13" s="1" t="s">
        <v>72</v>
      </c>
      <c r="C13" s="2" t="s">
        <v>16</v>
      </c>
      <c r="D13" s="3" t="s">
        <v>17</v>
      </c>
      <c r="E13" s="4" t="s">
        <v>18</v>
      </c>
      <c r="F13" s="4" t="s">
        <v>19</v>
      </c>
      <c r="G13" s="4" t="s">
        <v>20</v>
      </c>
      <c r="H13" s="4" t="s">
        <v>21</v>
      </c>
      <c r="I13" s="5" t="s">
        <v>21</v>
      </c>
      <c r="J13" s="1" t="s">
        <v>73</v>
      </c>
      <c r="K13" s="1" t="s">
        <v>74</v>
      </c>
      <c r="L13" s="1" t="s">
        <v>75</v>
      </c>
      <c r="M13" s="4" t="str">
        <f t="shared" si="0"/>
        <v>Outstanding</v>
      </c>
      <c r="N13" s="13" t="s">
        <v>21</v>
      </c>
    </row>
    <row r="14" spans="1:14" ht="60" customHeight="1" x14ac:dyDescent="0.35">
      <c r="A14" s="11" t="s">
        <v>76</v>
      </c>
      <c r="B14" s="1" t="s">
        <v>77</v>
      </c>
      <c r="C14" s="2" t="s">
        <v>16</v>
      </c>
      <c r="D14" s="3" t="s">
        <v>17</v>
      </c>
      <c r="E14" s="4" t="s">
        <v>18</v>
      </c>
      <c r="F14" s="4" t="s">
        <v>19</v>
      </c>
      <c r="G14" s="4" t="s">
        <v>20</v>
      </c>
      <c r="H14" s="4" t="s">
        <v>21</v>
      </c>
      <c r="I14" s="5" t="s">
        <v>21</v>
      </c>
      <c r="J14" s="1" t="s">
        <v>78</v>
      </c>
      <c r="K14" s="1" t="s">
        <v>79</v>
      </c>
      <c r="L14" s="1" t="s">
        <v>80</v>
      </c>
      <c r="M14" s="4" t="str">
        <f t="shared" si="0"/>
        <v>Outstanding</v>
      </c>
      <c r="N14" s="13" t="s">
        <v>21</v>
      </c>
    </row>
    <row r="15" spans="1:14" ht="60" customHeight="1" x14ac:dyDescent="0.35">
      <c r="A15" s="11" t="s">
        <v>81</v>
      </c>
      <c r="B15" s="1" t="s">
        <v>82</v>
      </c>
      <c r="C15" s="2" t="s">
        <v>16</v>
      </c>
      <c r="D15" s="3" t="s">
        <v>17</v>
      </c>
      <c r="E15" s="4" t="s">
        <v>18</v>
      </c>
      <c r="F15" s="4" t="s">
        <v>19</v>
      </c>
      <c r="G15" s="4" t="s">
        <v>20</v>
      </c>
      <c r="H15" s="4" t="s">
        <v>21</v>
      </c>
      <c r="I15" s="5" t="s">
        <v>21</v>
      </c>
      <c r="J15" s="1" t="s">
        <v>83</v>
      </c>
      <c r="K15" s="1" t="s">
        <v>84</v>
      </c>
      <c r="L15" s="1" t="s">
        <v>85</v>
      </c>
      <c r="M15" s="4" t="str">
        <f t="shared" si="0"/>
        <v>Outstanding</v>
      </c>
      <c r="N15" s="13" t="s">
        <v>21</v>
      </c>
    </row>
    <row r="16" spans="1:14" ht="60" customHeight="1" x14ac:dyDescent="0.35">
      <c r="A16" s="11" t="s">
        <v>86</v>
      </c>
      <c r="B16" s="1" t="s">
        <v>87</v>
      </c>
      <c r="C16" s="2" t="s">
        <v>16</v>
      </c>
      <c r="D16" s="3" t="s">
        <v>17</v>
      </c>
      <c r="E16" s="4" t="s">
        <v>18</v>
      </c>
      <c r="F16" s="4" t="s">
        <v>19</v>
      </c>
      <c r="G16" s="4" t="s">
        <v>20</v>
      </c>
      <c r="H16" s="4" t="s">
        <v>21</v>
      </c>
      <c r="I16" s="5" t="s">
        <v>21</v>
      </c>
      <c r="J16" s="1" t="s">
        <v>83</v>
      </c>
      <c r="K16" s="1" t="s">
        <v>88</v>
      </c>
      <c r="L16" s="1" t="s">
        <v>89</v>
      </c>
      <c r="M16" s="4" t="str">
        <f t="shared" si="0"/>
        <v>Outstanding</v>
      </c>
      <c r="N16" s="13" t="s">
        <v>21</v>
      </c>
    </row>
    <row r="17" spans="1:14" ht="60" customHeight="1" x14ac:dyDescent="0.35">
      <c r="A17" s="11" t="s">
        <v>90</v>
      </c>
      <c r="B17" s="1" t="s">
        <v>91</v>
      </c>
      <c r="C17" s="2" t="s">
        <v>16</v>
      </c>
      <c r="D17" s="3" t="s">
        <v>17</v>
      </c>
      <c r="E17" s="4" t="s">
        <v>18</v>
      </c>
      <c r="F17" s="4" t="s">
        <v>19</v>
      </c>
      <c r="G17" s="4" t="s">
        <v>20</v>
      </c>
      <c r="H17" s="4" t="s">
        <v>21</v>
      </c>
      <c r="I17" s="5" t="s">
        <v>21</v>
      </c>
      <c r="J17" s="1" t="s">
        <v>92</v>
      </c>
      <c r="K17" s="1" t="s">
        <v>93</v>
      </c>
      <c r="L17" s="1" t="s">
        <v>94</v>
      </c>
      <c r="M17" s="4" t="str">
        <f t="shared" si="0"/>
        <v>Outstanding</v>
      </c>
      <c r="N17" s="13" t="s">
        <v>21</v>
      </c>
    </row>
    <row r="18" spans="1:14" ht="60" customHeight="1" x14ac:dyDescent="0.35">
      <c r="A18" s="11" t="s">
        <v>95</v>
      </c>
      <c r="B18" s="1" t="s">
        <v>96</v>
      </c>
      <c r="C18" s="2" t="s">
        <v>16</v>
      </c>
      <c r="D18" s="3" t="s">
        <v>17</v>
      </c>
      <c r="E18" s="4" t="s">
        <v>18</v>
      </c>
      <c r="F18" s="4" t="s">
        <v>19</v>
      </c>
      <c r="G18" s="4" t="s">
        <v>20</v>
      </c>
      <c r="H18" s="4" t="s">
        <v>21</v>
      </c>
      <c r="I18" s="5" t="s">
        <v>21</v>
      </c>
      <c r="J18" s="1" t="s">
        <v>97</v>
      </c>
      <c r="K18" s="1" t="s">
        <v>98</v>
      </c>
      <c r="L18" s="1" t="s">
        <v>99</v>
      </c>
      <c r="M18" s="4" t="str">
        <f t="shared" si="0"/>
        <v>Outstanding</v>
      </c>
      <c r="N18" s="13" t="s">
        <v>21</v>
      </c>
    </row>
    <row r="19" spans="1:14" ht="60" customHeight="1" x14ac:dyDescent="0.35">
      <c r="A19" s="11" t="s">
        <v>100</v>
      </c>
      <c r="B19" s="1" t="s">
        <v>101</v>
      </c>
      <c r="C19" s="2" t="s">
        <v>16</v>
      </c>
      <c r="D19" s="3" t="s">
        <v>17</v>
      </c>
      <c r="E19" s="4" t="s">
        <v>18</v>
      </c>
      <c r="F19" s="4" t="s">
        <v>19</v>
      </c>
      <c r="G19" s="4" t="s">
        <v>20</v>
      </c>
      <c r="H19" s="4" t="s">
        <v>21</v>
      </c>
      <c r="I19" s="5" t="s">
        <v>21</v>
      </c>
      <c r="J19" s="1" t="s">
        <v>102</v>
      </c>
      <c r="K19" s="1" t="s">
        <v>103</v>
      </c>
      <c r="L19" s="1" t="s">
        <v>104</v>
      </c>
      <c r="M19" s="4" t="str">
        <f t="shared" si="0"/>
        <v>Outstanding</v>
      </c>
      <c r="N19" s="13" t="s">
        <v>21</v>
      </c>
    </row>
    <row r="20" spans="1:14" ht="60" customHeight="1" x14ac:dyDescent="0.35">
      <c r="A20" s="11" t="s">
        <v>105</v>
      </c>
      <c r="B20" s="1" t="s">
        <v>106</v>
      </c>
      <c r="C20" s="2" t="s">
        <v>16</v>
      </c>
      <c r="D20" s="3" t="s">
        <v>17</v>
      </c>
      <c r="E20" s="4" t="s">
        <v>18</v>
      </c>
      <c r="F20" s="4" t="s">
        <v>19</v>
      </c>
      <c r="G20" s="4" t="s">
        <v>20</v>
      </c>
      <c r="H20" s="4" t="s">
        <v>21</v>
      </c>
      <c r="I20" s="5" t="s">
        <v>21</v>
      </c>
      <c r="J20" s="1" t="s">
        <v>107</v>
      </c>
      <c r="K20" s="1" t="s">
        <v>108</v>
      </c>
      <c r="L20" s="1" t="s">
        <v>109</v>
      </c>
      <c r="M20" s="4" t="str">
        <f t="shared" si="0"/>
        <v>Outstanding</v>
      </c>
      <c r="N20" s="13" t="s">
        <v>21</v>
      </c>
    </row>
    <row r="21" spans="1:14" ht="60" customHeight="1" x14ac:dyDescent="0.35">
      <c r="A21" s="11" t="s">
        <v>110</v>
      </c>
      <c r="B21" s="1" t="s">
        <v>111</v>
      </c>
      <c r="C21" s="2" t="s">
        <v>16</v>
      </c>
      <c r="D21" s="3" t="s">
        <v>17</v>
      </c>
      <c r="E21" s="4" t="s">
        <v>18</v>
      </c>
      <c r="F21" s="4" t="s">
        <v>19</v>
      </c>
      <c r="G21" s="4" t="s">
        <v>20</v>
      </c>
      <c r="H21" s="4" t="s">
        <v>21</v>
      </c>
      <c r="I21" s="5" t="s">
        <v>21</v>
      </c>
      <c r="J21" s="1" t="s">
        <v>112</v>
      </c>
      <c r="K21" s="1" t="s">
        <v>113</v>
      </c>
      <c r="L21" s="1" t="s">
        <v>114</v>
      </c>
      <c r="M21" s="4" t="str">
        <f t="shared" si="0"/>
        <v>Outstanding</v>
      </c>
      <c r="N21" s="13" t="s">
        <v>21</v>
      </c>
    </row>
    <row r="22" spans="1:14" ht="60" customHeight="1" x14ac:dyDescent="0.35">
      <c r="A22" s="11" t="s">
        <v>115</v>
      </c>
      <c r="B22" s="1" t="s">
        <v>116</v>
      </c>
      <c r="C22" s="2" t="s">
        <v>16</v>
      </c>
      <c r="D22" s="3" t="s">
        <v>17</v>
      </c>
      <c r="E22" s="4" t="s">
        <v>18</v>
      </c>
      <c r="F22" s="4" t="s">
        <v>19</v>
      </c>
      <c r="G22" s="4" t="s">
        <v>20</v>
      </c>
      <c r="H22" s="4" t="s">
        <v>21</v>
      </c>
      <c r="I22" s="5" t="s">
        <v>21</v>
      </c>
      <c r="J22" s="1" t="s">
        <v>117</v>
      </c>
      <c r="K22" s="1" t="s">
        <v>118</v>
      </c>
      <c r="L22" s="1" t="s">
        <v>119</v>
      </c>
      <c r="M22" s="4" t="str">
        <f t="shared" si="0"/>
        <v>Outstanding</v>
      </c>
      <c r="N22" s="13" t="s">
        <v>21</v>
      </c>
    </row>
    <row r="23" spans="1:14" ht="60" customHeight="1" x14ac:dyDescent="0.35">
      <c r="A23" s="11" t="s">
        <v>120</v>
      </c>
      <c r="B23" s="1" t="s">
        <v>121</v>
      </c>
      <c r="C23" s="2" t="s">
        <v>47</v>
      </c>
      <c r="D23" s="3" t="s">
        <v>17</v>
      </c>
      <c r="E23" s="4" t="s">
        <v>18</v>
      </c>
      <c r="F23" s="4" t="s">
        <v>19</v>
      </c>
      <c r="G23" s="4" t="s">
        <v>20</v>
      </c>
      <c r="H23" s="4" t="s">
        <v>21</v>
      </c>
      <c r="I23" s="5" t="s">
        <v>21</v>
      </c>
      <c r="J23" s="1" t="s">
        <v>122</v>
      </c>
      <c r="K23" s="1" t="s">
        <v>123</v>
      </c>
      <c r="L23" s="1" t="s">
        <v>124</v>
      </c>
      <c r="M23" s="4" t="str">
        <f t="shared" si="0"/>
        <v>Outstanding</v>
      </c>
      <c r="N23" s="13" t="s">
        <v>21</v>
      </c>
    </row>
    <row r="24" spans="1:14" ht="60" customHeight="1" x14ac:dyDescent="0.35">
      <c r="A24" s="11" t="s">
        <v>125</v>
      </c>
      <c r="B24" s="1" t="s">
        <v>126</v>
      </c>
      <c r="C24" s="2" t="s">
        <v>16</v>
      </c>
      <c r="D24" s="3" t="s">
        <v>17</v>
      </c>
      <c r="E24" s="4" t="s">
        <v>18</v>
      </c>
      <c r="F24" s="4" t="s">
        <v>19</v>
      </c>
      <c r="G24" s="4" t="s">
        <v>20</v>
      </c>
      <c r="H24" s="4" t="s">
        <v>21</v>
      </c>
      <c r="I24" s="5" t="s">
        <v>21</v>
      </c>
      <c r="J24" s="1" t="s">
        <v>127</v>
      </c>
      <c r="K24" s="1" t="s">
        <v>128</v>
      </c>
      <c r="L24" s="1" t="s">
        <v>89</v>
      </c>
      <c r="M24" s="4" t="str">
        <f t="shared" si="0"/>
        <v>Outstanding</v>
      </c>
      <c r="N24" s="13" t="s">
        <v>21</v>
      </c>
    </row>
    <row r="25" spans="1:14" ht="60" customHeight="1" x14ac:dyDescent="0.35">
      <c r="A25" s="11" t="s">
        <v>129</v>
      </c>
      <c r="B25" s="1" t="s">
        <v>130</v>
      </c>
      <c r="C25" s="2" t="s">
        <v>47</v>
      </c>
      <c r="D25" s="3" t="s">
        <v>17</v>
      </c>
      <c r="E25" s="4" t="s">
        <v>18</v>
      </c>
      <c r="F25" s="4" t="s">
        <v>19</v>
      </c>
      <c r="G25" s="4" t="s">
        <v>20</v>
      </c>
      <c r="H25" s="4" t="s">
        <v>21</v>
      </c>
      <c r="I25" s="5" t="s">
        <v>21</v>
      </c>
      <c r="J25" s="1" t="s">
        <v>131</v>
      </c>
      <c r="K25" s="1" t="s">
        <v>132</v>
      </c>
      <c r="L25" s="1" t="s">
        <v>133</v>
      </c>
      <c r="M25" s="4" t="str">
        <f t="shared" si="0"/>
        <v>Outstanding</v>
      </c>
      <c r="N25" s="13" t="s">
        <v>21</v>
      </c>
    </row>
    <row r="26" spans="1:14" ht="60" customHeight="1" x14ac:dyDescent="0.35">
      <c r="A26" s="11" t="s">
        <v>134</v>
      </c>
      <c r="B26" s="1" t="s">
        <v>135</v>
      </c>
      <c r="C26" s="2" t="s">
        <v>16</v>
      </c>
      <c r="D26" s="3" t="s">
        <v>17</v>
      </c>
      <c r="E26" s="4" t="s">
        <v>18</v>
      </c>
      <c r="F26" s="4" t="s">
        <v>19</v>
      </c>
      <c r="G26" s="4" t="s">
        <v>20</v>
      </c>
      <c r="H26" s="4" t="s">
        <v>21</v>
      </c>
      <c r="I26" s="5" t="s">
        <v>21</v>
      </c>
      <c r="J26" s="1" t="s">
        <v>136</v>
      </c>
      <c r="K26" s="1" t="s">
        <v>137</v>
      </c>
      <c r="L26" s="1" t="s">
        <v>138</v>
      </c>
      <c r="M26" s="4" t="str">
        <f t="shared" si="0"/>
        <v>Outstanding</v>
      </c>
      <c r="N26" s="13" t="s">
        <v>21</v>
      </c>
    </row>
    <row r="27" spans="1:14" ht="60" customHeight="1" x14ac:dyDescent="0.35">
      <c r="A27" s="11" t="s">
        <v>139</v>
      </c>
      <c r="B27" s="1" t="s">
        <v>140</v>
      </c>
      <c r="C27" s="2" t="s">
        <v>16</v>
      </c>
      <c r="D27" s="3" t="s">
        <v>17</v>
      </c>
      <c r="E27" s="4" t="s">
        <v>18</v>
      </c>
      <c r="F27" s="4" t="s">
        <v>19</v>
      </c>
      <c r="G27" s="4" t="s">
        <v>20</v>
      </c>
      <c r="H27" s="4" t="s">
        <v>21</v>
      </c>
      <c r="I27" s="5" t="s">
        <v>21</v>
      </c>
      <c r="J27" s="1" t="s">
        <v>141</v>
      </c>
      <c r="K27" s="1" t="s">
        <v>142</v>
      </c>
      <c r="L27" s="1" t="s">
        <v>89</v>
      </c>
      <c r="M27" s="4" t="str">
        <f t="shared" si="0"/>
        <v>Outstanding</v>
      </c>
      <c r="N27" s="13" t="s">
        <v>21</v>
      </c>
    </row>
    <row r="28" spans="1:14" ht="60" customHeight="1" x14ac:dyDescent="0.35">
      <c r="A28" s="11" t="s">
        <v>143</v>
      </c>
      <c r="B28" s="1" t="s">
        <v>144</v>
      </c>
      <c r="C28" s="2" t="s">
        <v>16</v>
      </c>
      <c r="D28" s="3" t="s">
        <v>17</v>
      </c>
      <c r="E28" s="4" t="s">
        <v>18</v>
      </c>
      <c r="F28" s="4" t="s">
        <v>19</v>
      </c>
      <c r="G28" s="4" t="s">
        <v>20</v>
      </c>
      <c r="H28" s="4" t="s">
        <v>21</v>
      </c>
      <c r="I28" s="5" t="s">
        <v>21</v>
      </c>
      <c r="J28" s="1" t="s">
        <v>145</v>
      </c>
      <c r="K28" s="1" t="s">
        <v>146</v>
      </c>
      <c r="L28" s="1" t="s">
        <v>147</v>
      </c>
      <c r="M28" s="4" t="str">
        <f t="shared" si="0"/>
        <v>Outstanding</v>
      </c>
      <c r="N28" s="13" t="s">
        <v>21</v>
      </c>
    </row>
    <row r="29" spans="1:14" ht="60" customHeight="1" x14ac:dyDescent="0.35">
      <c r="A29" s="11" t="s">
        <v>148</v>
      </c>
      <c r="B29" s="1" t="s">
        <v>149</v>
      </c>
      <c r="C29" s="2" t="s">
        <v>16</v>
      </c>
      <c r="D29" s="3" t="s">
        <v>17</v>
      </c>
      <c r="E29" s="4" t="s">
        <v>18</v>
      </c>
      <c r="F29" s="4" t="s">
        <v>19</v>
      </c>
      <c r="G29" s="4" t="s">
        <v>20</v>
      </c>
      <c r="H29" s="4" t="s">
        <v>21</v>
      </c>
      <c r="I29" s="5" t="s">
        <v>21</v>
      </c>
      <c r="J29" s="1" t="s">
        <v>145</v>
      </c>
      <c r="K29" s="1" t="s">
        <v>150</v>
      </c>
      <c r="L29" s="1" t="s">
        <v>147</v>
      </c>
      <c r="M29" s="4" t="str">
        <f t="shared" si="0"/>
        <v>Outstanding</v>
      </c>
      <c r="N29" s="13" t="s">
        <v>21</v>
      </c>
    </row>
    <row r="30" spans="1:14" ht="60" customHeight="1" x14ac:dyDescent="0.35">
      <c r="A30" s="11" t="s">
        <v>151</v>
      </c>
      <c r="B30" s="1" t="s">
        <v>152</v>
      </c>
      <c r="C30" s="2" t="s">
        <v>16</v>
      </c>
      <c r="D30" s="3" t="s">
        <v>17</v>
      </c>
      <c r="E30" s="4" t="s">
        <v>18</v>
      </c>
      <c r="F30" s="4" t="s">
        <v>19</v>
      </c>
      <c r="G30" s="4" t="s">
        <v>20</v>
      </c>
      <c r="H30" s="4" t="s">
        <v>21</v>
      </c>
      <c r="I30" s="5" t="s">
        <v>21</v>
      </c>
      <c r="J30" s="1" t="s">
        <v>153</v>
      </c>
      <c r="K30" s="1" t="s">
        <v>154</v>
      </c>
      <c r="L30" s="1" t="s">
        <v>155</v>
      </c>
      <c r="M30" s="4" t="str">
        <f t="shared" si="0"/>
        <v>Outstanding</v>
      </c>
      <c r="N30" s="13" t="s">
        <v>21</v>
      </c>
    </row>
    <row r="31" spans="1:14" ht="60" customHeight="1" x14ac:dyDescent="0.35">
      <c r="A31" s="11" t="s">
        <v>156</v>
      </c>
      <c r="B31" s="1" t="s">
        <v>157</v>
      </c>
      <c r="C31" s="2" t="s">
        <v>16</v>
      </c>
      <c r="D31" s="3" t="s">
        <v>17</v>
      </c>
      <c r="E31" s="4" t="s">
        <v>18</v>
      </c>
      <c r="F31" s="4" t="s">
        <v>19</v>
      </c>
      <c r="G31" s="4" t="s">
        <v>20</v>
      </c>
      <c r="H31" s="4" t="s">
        <v>21</v>
      </c>
      <c r="I31" s="5" t="s">
        <v>21</v>
      </c>
      <c r="J31" s="1" t="s">
        <v>158</v>
      </c>
      <c r="K31" s="1" t="s">
        <v>159</v>
      </c>
      <c r="L31" s="1" t="s">
        <v>160</v>
      </c>
      <c r="M31" s="4" t="str">
        <f t="shared" si="0"/>
        <v>Outstanding</v>
      </c>
      <c r="N31" s="13" t="s">
        <v>21</v>
      </c>
    </row>
    <row r="32" spans="1:14" ht="60" customHeight="1" x14ac:dyDescent="0.35">
      <c r="A32" s="11" t="s">
        <v>161</v>
      </c>
      <c r="B32" s="1" t="s">
        <v>162</v>
      </c>
      <c r="C32" s="2" t="s">
        <v>163</v>
      </c>
      <c r="D32" s="3" t="s">
        <v>164</v>
      </c>
      <c r="E32" s="4" t="s">
        <v>18</v>
      </c>
      <c r="F32" s="4" t="s">
        <v>19</v>
      </c>
      <c r="G32" s="4" t="s">
        <v>20</v>
      </c>
      <c r="H32" s="4" t="s">
        <v>21</v>
      </c>
      <c r="I32" s="5" t="s">
        <v>21</v>
      </c>
      <c r="J32" s="1" t="s">
        <v>165</v>
      </c>
      <c r="K32" s="1" t="s">
        <v>166</v>
      </c>
      <c r="L32" s="1" t="s">
        <v>167</v>
      </c>
      <c r="M32" s="4" t="str">
        <f t="shared" si="0"/>
        <v>Outstanding</v>
      </c>
      <c r="N32" s="13" t="s">
        <v>21</v>
      </c>
    </row>
    <row r="33" spans="1:14" ht="60" customHeight="1" x14ac:dyDescent="0.35">
      <c r="A33" s="11" t="s">
        <v>168</v>
      </c>
      <c r="B33" s="1" t="s">
        <v>169</v>
      </c>
      <c r="C33" s="2" t="s">
        <v>163</v>
      </c>
      <c r="D33" s="3" t="s">
        <v>164</v>
      </c>
      <c r="E33" s="4" t="s">
        <v>18</v>
      </c>
      <c r="F33" s="4" t="s">
        <v>19</v>
      </c>
      <c r="G33" s="4" t="s">
        <v>20</v>
      </c>
      <c r="H33" s="4" t="s">
        <v>21</v>
      </c>
      <c r="I33" s="5" t="s">
        <v>21</v>
      </c>
      <c r="J33" s="1" t="s">
        <v>170</v>
      </c>
      <c r="K33" s="1" t="s">
        <v>171</v>
      </c>
      <c r="L33" s="1" t="s">
        <v>172</v>
      </c>
      <c r="M33" s="4" t="str">
        <f t="shared" si="0"/>
        <v>Outstanding</v>
      </c>
      <c r="N33" s="13" t="s">
        <v>21</v>
      </c>
    </row>
    <row r="34" spans="1:14" ht="60" customHeight="1" x14ac:dyDescent="0.35">
      <c r="A34" s="11" t="s">
        <v>173</v>
      </c>
      <c r="B34" s="1" t="s">
        <v>174</v>
      </c>
      <c r="C34" s="2" t="s">
        <v>163</v>
      </c>
      <c r="D34" s="3" t="s">
        <v>164</v>
      </c>
      <c r="E34" s="4" t="s">
        <v>18</v>
      </c>
      <c r="F34" s="4" t="s">
        <v>19</v>
      </c>
      <c r="G34" s="4" t="s">
        <v>20</v>
      </c>
      <c r="H34" s="4" t="s">
        <v>21</v>
      </c>
      <c r="I34" s="5" t="s">
        <v>21</v>
      </c>
      <c r="J34" s="1" t="s">
        <v>175</v>
      </c>
      <c r="K34" s="1" t="s">
        <v>176</v>
      </c>
      <c r="L34" s="1" t="s">
        <v>177</v>
      </c>
      <c r="M34" s="4" t="str">
        <f t="shared" si="0"/>
        <v>Outstanding</v>
      </c>
      <c r="N34" s="13" t="s">
        <v>21</v>
      </c>
    </row>
    <row r="35" spans="1:14" ht="60" customHeight="1" x14ac:dyDescent="0.35">
      <c r="A35" s="11" t="s">
        <v>178</v>
      </c>
      <c r="B35" s="1" t="s">
        <v>179</v>
      </c>
      <c r="C35" s="2" t="s">
        <v>16</v>
      </c>
      <c r="D35" s="3" t="s">
        <v>164</v>
      </c>
      <c r="E35" s="4" t="s">
        <v>18</v>
      </c>
      <c r="F35" s="4" t="s">
        <v>19</v>
      </c>
      <c r="G35" s="4" t="s">
        <v>20</v>
      </c>
      <c r="H35" s="4" t="s">
        <v>21</v>
      </c>
      <c r="I35" s="5" t="s">
        <v>21</v>
      </c>
      <c r="J35" s="1" t="s">
        <v>180</v>
      </c>
      <c r="K35" s="1" t="s">
        <v>181</v>
      </c>
      <c r="L35" s="1" t="s">
        <v>182</v>
      </c>
      <c r="M35" s="4" t="str">
        <f t="shared" si="0"/>
        <v>Outstanding</v>
      </c>
      <c r="N35" s="13" t="s">
        <v>21</v>
      </c>
    </row>
    <row r="36" spans="1:14" ht="60" customHeight="1" x14ac:dyDescent="0.35">
      <c r="A36" s="11" t="s">
        <v>183</v>
      </c>
      <c r="B36" s="1" t="s">
        <v>184</v>
      </c>
      <c r="C36" s="2" t="s">
        <v>163</v>
      </c>
      <c r="D36" s="3" t="s">
        <v>164</v>
      </c>
      <c r="E36" s="4" t="s">
        <v>18</v>
      </c>
      <c r="F36" s="4" t="s">
        <v>19</v>
      </c>
      <c r="G36" s="4" t="s">
        <v>20</v>
      </c>
      <c r="H36" s="4" t="s">
        <v>21</v>
      </c>
      <c r="I36" s="5" t="s">
        <v>21</v>
      </c>
      <c r="J36" s="1" t="s">
        <v>185</v>
      </c>
      <c r="K36" s="1" t="s">
        <v>186</v>
      </c>
      <c r="L36" s="1" t="s">
        <v>187</v>
      </c>
      <c r="M36" s="4" t="str">
        <f t="shared" si="0"/>
        <v>Outstanding</v>
      </c>
      <c r="N36" s="13" t="s">
        <v>21</v>
      </c>
    </row>
    <row r="37" spans="1:14" ht="60" customHeight="1" x14ac:dyDescent="0.35">
      <c r="A37" s="11" t="s">
        <v>188</v>
      </c>
      <c r="B37" s="1" t="s">
        <v>189</v>
      </c>
      <c r="C37" s="2" t="s">
        <v>47</v>
      </c>
      <c r="D37" s="3" t="s">
        <v>164</v>
      </c>
      <c r="E37" s="4" t="s">
        <v>18</v>
      </c>
      <c r="F37" s="4" t="s">
        <v>19</v>
      </c>
      <c r="G37" s="4" t="s">
        <v>20</v>
      </c>
      <c r="H37" s="4" t="s">
        <v>21</v>
      </c>
      <c r="I37" s="5" t="s">
        <v>21</v>
      </c>
      <c r="J37" s="1" t="s">
        <v>190</v>
      </c>
      <c r="K37" s="1" t="s">
        <v>191</v>
      </c>
      <c r="L37" s="1" t="s">
        <v>192</v>
      </c>
      <c r="M37" s="4" t="str">
        <f t="shared" si="0"/>
        <v>Outstanding</v>
      </c>
      <c r="N37" s="13" t="s">
        <v>21</v>
      </c>
    </row>
    <row r="38" spans="1:14" ht="60" customHeight="1" x14ac:dyDescent="0.35">
      <c r="A38" s="11" t="s">
        <v>193</v>
      </c>
      <c r="B38" s="1" t="s">
        <v>194</v>
      </c>
      <c r="C38" s="2" t="s">
        <v>16</v>
      </c>
      <c r="D38" s="3" t="s">
        <v>164</v>
      </c>
      <c r="E38" s="4" t="s">
        <v>18</v>
      </c>
      <c r="F38" s="4" t="s">
        <v>19</v>
      </c>
      <c r="G38" s="4" t="s">
        <v>20</v>
      </c>
      <c r="H38" s="4" t="s">
        <v>21</v>
      </c>
      <c r="I38" s="5" t="s">
        <v>21</v>
      </c>
      <c r="J38" s="1" t="s">
        <v>195</v>
      </c>
      <c r="K38" s="1" t="s">
        <v>196</v>
      </c>
      <c r="L38" s="1" t="s">
        <v>197</v>
      </c>
      <c r="M38" s="4" t="str">
        <f t="shared" si="0"/>
        <v>Outstanding</v>
      </c>
      <c r="N38" s="13" t="s">
        <v>21</v>
      </c>
    </row>
    <row r="39" spans="1:14" ht="60" customHeight="1" x14ac:dyDescent="0.35">
      <c r="A39" s="11" t="s">
        <v>198</v>
      </c>
      <c r="B39" s="1" t="s">
        <v>199</v>
      </c>
      <c r="C39" s="2" t="s">
        <v>16</v>
      </c>
      <c r="D39" s="3" t="s">
        <v>164</v>
      </c>
      <c r="E39" s="4" t="s">
        <v>18</v>
      </c>
      <c r="F39" s="4" t="s">
        <v>19</v>
      </c>
      <c r="G39" s="4" t="s">
        <v>20</v>
      </c>
      <c r="H39" s="4" t="s">
        <v>21</v>
      </c>
      <c r="I39" s="5" t="s">
        <v>21</v>
      </c>
      <c r="J39" s="1" t="s">
        <v>200</v>
      </c>
      <c r="K39" s="1" t="s">
        <v>201</v>
      </c>
      <c r="L39" s="1" t="s">
        <v>202</v>
      </c>
      <c r="M39" s="4" t="str">
        <f t="shared" si="0"/>
        <v>Outstanding</v>
      </c>
      <c r="N39" s="13" t="s">
        <v>21</v>
      </c>
    </row>
    <row r="40" spans="1:14" ht="60" customHeight="1" x14ac:dyDescent="0.35">
      <c r="A40" s="11" t="s">
        <v>203</v>
      </c>
      <c r="B40" s="1" t="s">
        <v>204</v>
      </c>
      <c r="C40" s="2" t="s">
        <v>16</v>
      </c>
      <c r="D40" s="3" t="s">
        <v>164</v>
      </c>
      <c r="E40" s="4" t="s">
        <v>18</v>
      </c>
      <c r="F40" s="4" t="s">
        <v>19</v>
      </c>
      <c r="G40" s="4" t="s">
        <v>20</v>
      </c>
      <c r="H40" s="4" t="s">
        <v>21</v>
      </c>
      <c r="I40" s="5" t="s">
        <v>21</v>
      </c>
      <c r="J40" s="1" t="s">
        <v>205</v>
      </c>
      <c r="K40" s="1" t="s">
        <v>206</v>
      </c>
      <c r="L40" s="1" t="s">
        <v>207</v>
      </c>
      <c r="M40" s="4" t="str">
        <f t="shared" si="0"/>
        <v>Outstanding</v>
      </c>
      <c r="N40" s="13" t="s">
        <v>21</v>
      </c>
    </row>
    <row r="41" spans="1:14" ht="60" customHeight="1" x14ac:dyDescent="0.35">
      <c r="A41" s="11" t="s">
        <v>208</v>
      </c>
      <c r="B41" s="1" t="s">
        <v>209</v>
      </c>
      <c r="C41" s="2" t="s">
        <v>16</v>
      </c>
      <c r="D41" s="3" t="s">
        <v>164</v>
      </c>
      <c r="E41" s="4" t="s">
        <v>18</v>
      </c>
      <c r="F41" s="4" t="s">
        <v>19</v>
      </c>
      <c r="G41" s="4" t="s">
        <v>20</v>
      </c>
      <c r="H41" s="4" t="s">
        <v>21</v>
      </c>
      <c r="I41" s="5" t="s">
        <v>21</v>
      </c>
      <c r="J41" s="1" t="s">
        <v>200</v>
      </c>
      <c r="K41" s="1" t="s">
        <v>210</v>
      </c>
      <c r="L41" s="1" t="s">
        <v>211</v>
      </c>
      <c r="M41" s="4" t="str">
        <f t="shared" si="0"/>
        <v>Outstanding</v>
      </c>
      <c r="N41" s="13" t="s">
        <v>21</v>
      </c>
    </row>
    <row r="42" spans="1:14" ht="60" customHeight="1" x14ac:dyDescent="0.35">
      <c r="A42" s="11" t="s">
        <v>212</v>
      </c>
      <c r="B42" s="1" t="s">
        <v>213</v>
      </c>
      <c r="C42" s="2" t="s">
        <v>16</v>
      </c>
      <c r="D42" s="3" t="s">
        <v>164</v>
      </c>
      <c r="E42" s="4" t="s">
        <v>18</v>
      </c>
      <c r="F42" s="4" t="s">
        <v>19</v>
      </c>
      <c r="G42" s="4" t="s">
        <v>20</v>
      </c>
      <c r="H42" s="4" t="s">
        <v>21</v>
      </c>
      <c r="I42" s="5" t="s">
        <v>21</v>
      </c>
      <c r="J42" s="1" t="s">
        <v>214</v>
      </c>
      <c r="K42" s="1" t="s">
        <v>210</v>
      </c>
      <c r="L42" s="1" t="s">
        <v>211</v>
      </c>
      <c r="M42" s="4" t="str">
        <f t="shared" si="0"/>
        <v>Outstanding</v>
      </c>
      <c r="N42" s="13" t="s">
        <v>21</v>
      </c>
    </row>
    <row r="43" spans="1:14" ht="60" customHeight="1" x14ac:dyDescent="0.35">
      <c r="A43" s="11" t="s">
        <v>215</v>
      </c>
      <c r="B43" s="1" t="s">
        <v>216</v>
      </c>
      <c r="C43" s="2" t="s">
        <v>16</v>
      </c>
      <c r="D43" s="3" t="s">
        <v>164</v>
      </c>
      <c r="E43" s="4" t="s">
        <v>18</v>
      </c>
      <c r="F43" s="4" t="s">
        <v>19</v>
      </c>
      <c r="G43" s="4" t="s">
        <v>20</v>
      </c>
      <c r="H43" s="4" t="s">
        <v>21</v>
      </c>
      <c r="I43" s="5" t="s">
        <v>21</v>
      </c>
      <c r="J43" s="1" t="s">
        <v>200</v>
      </c>
      <c r="K43" s="1" t="s">
        <v>210</v>
      </c>
      <c r="L43" s="1" t="s">
        <v>211</v>
      </c>
      <c r="M43" s="4" t="str">
        <f t="shared" si="0"/>
        <v>Outstanding</v>
      </c>
      <c r="N43" s="13" t="s">
        <v>21</v>
      </c>
    </row>
    <row r="44" spans="1:14" ht="60" customHeight="1" x14ac:dyDescent="0.35">
      <c r="A44" s="11" t="s">
        <v>217</v>
      </c>
      <c r="B44" s="1" t="s">
        <v>218</v>
      </c>
      <c r="C44" s="2" t="s">
        <v>47</v>
      </c>
      <c r="D44" s="3" t="s">
        <v>164</v>
      </c>
      <c r="E44" s="4" t="s">
        <v>18</v>
      </c>
      <c r="F44" s="4" t="s">
        <v>19</v>
      </c>
      <c r="G44" s="4" t="s">
        <v>20</v>
      </c>
      <c r="H44" s="4" t="s">
        <v>21</v>
      </c>
      <c r="I44" s="5" t="s">
        <v>21</v>
      </c>
      <c r="J44" s="1" t="s">
        <v>219</v>
      </c>
      <c r="K44" s="1" t="s">
        <v>220</v>
      </c>
      <c r="L44" s="1" t="s">
        <v>221</v>
      </c>
      <c r="M44" s="4" t="str">
        <f t="shared" si="0"/>
        <v>Outstanding</v>
      </c>
      <c r="N44" s="13" t="s">
        <v>21</v>
      </c>
    </row>
    <row r="45" spans="1:14" ht="60" customHeight="1" x14ac:dyDescent="0.35">
      <c r="A45" s="11" t="s">
        <v>222</v>
      </c>
      <c r="B45" s="1" t="s">
        <v>223</v>
      </c>
      <c r="C45" s="2" t="s">
        <v>47</v>
      </c>
      <c r="D45" s="3" t="s">
        <v>164</v>
      </c>
      <c r="E45" s="4" t="s">
        <v>18</v>
      </c>
      <c r="F45" s="4" t="s">
        <v>19</v>
      </c>
      <c r="G45" s="4" t="s">
        <v>20</v>
      </c>
      <c r="H45" s="4" t="s">
        <v>21</v>
      </c>
      <c r="I45" s="5" t="s">
        <v>21</v>
      </c>
      <c r="J45" s="1" t="s">
        <v>224</v>
      </c>
      <c r="K45" s="1" t="s">
        <v>225</v>
      </c>
      <c r="L45" s="1" t="s">
        <v>226</v>
      </c>
      <c r="M45" s="4" t="str">
        <f t="shared" si="0"/>
        <v>Outstanding</v>
      </c>
      <c r="N45" s="13" t="s">
        <v>21</v>
      </c>
    </row>
    <row r="46" spans="1:14" ht="60" customHeight="1" x14ac:dyDescent="0.35">
      <c r="A46" s="11" t="s">
        <v>227</v>
      </c>
      <c r="B46" s="1" t="s">
        <v>228</v>
      </c>
      <c r="C46" s="2" t="s">
        <v>16</v>
      </c>
      <c r="D46" s="3" t="s">
        <v>164</v>
      </c>
      <c r="E46" s="4" t="s">
        <v>18</v>
      </c>
      <c r="F46" s="4" t="s">
        <v>19</v>
      </c>
      <c r="G46" s="4" t="s">
        <v>20</v>
      </c>
      <c r="H46" s="4" t="s">
        <v>21</v>
      </c>
      <c r="I46" s="5" t="s">
        <v>21</v>
      </c>
      <c r="J46" s="1" t="s">
        <v>229</v>
      </c>
      <c r="K46" s="1" t="s">
        <v>230</v>
      </c>
      <c r="L46" s="1" t="s">
        <v>231</v>
      </c>
      <c r="M46" s="4" t="str">
        <f t="shared" si="0"/>
        <v>Outstanding</v>
      </c>
      <c r="N46" s="13" t="s">
        <v>21</v>
      </c>
    </row>
    <row r="47" spans="1:14" ht="60" customHeight="1" x14ac:dyDescent="0.35">
      <c r="A47" s="11" t="s">
        <v>232</v>
      </c>
      <c r="B47" s="1" t="s">
        <v>233</v>
      </c>
      <c r="C47" s="2" t="s">
        <v>16</v>
      </c>
      <c r="D47" s="3" t="s">
        <v>164</v>
      </c>
      <c r="E47" s="4" t="s">
        <v>18</v>
      </c>
      <c r="F47" s="4" t="s">
        <v>19</v>
      </c>
      <c r="G47" s="4" t="s">
        <v>20</v>
      </c>
      <c r="H47" s="4" t="s">
        <v>21</v>
      </c>
      <c r="I47" s="5" t="s">
        <v>21</v>
      </c>
      <c r="J47" s="1" t="s">
        <v>234</v>
      </c>
      <c r="K47" s="1" t="s">
        <v>235</v>
      </c>
      <c r="L47" s="1" t="s">
        <v>236</v>
      </c>
      <c r="M47" s="4" t="str">
        <f t="shared" si="0"/>
        <v>Outstanding</v>
      </c>
      <c r="N47" s="13" t="s">
        <v>21</v>
      </c>
    </row>
    <row r="48" spans="1:14" ht="60" customHeight="1" x14ac:dyDescent="0.35">
      <c r="A48" s="11" t="s">
        <v>237</v>
      </c>
      <c r="B48" s="1" t="s">
        <v>238</v>
      </c>
      <c r="C48" s="2" t="s">
        <v>16</v>
      </c>
      <c r="D48" s="3" t="s">
        <v>164</v>
      </c>
      <c r="E48" s="4" t="s">
        <v>18</v>
      </c>
      <c r="F48" s="4" t="s">
        <v>19</v>
      </c>
      <c r="G48" s="4" t="s">
        <v>20</v>
      </c>
      <c r="H48" s="4" t="s">
        <v>21</v>
      </c>
      <c r="I48" s="5" t="s">
        <v>21</v>
      </c>
      <c r="J48" s="1" t="s">
        <v>239</v>
      </c>
      <c r="K48" s="1" t="s">
        <v>240</v>
      </c>
      <c r="L48" s="1" t="s">
        <v>241</v>
      </c>
      <c r="M48" s="4" t="str">
        <f t="shared" si="0"/>
        <v>Outstanding</v>
      </c>
      <c r="N48" s="13" t="s">
        <v>21</v>
      </c>
    </row>
    <row r="49" spans="1:14" ht="60" customHeight="1" x14ac:dyDescent="0.35">
      <c r="A49" s="11" t="s">
        <v>242</v>
      </c>
      <c r="B49" s="1" t="s">
        <v>243</v>
      </c>
      <c r="C49" s="2" t="s">
        <v>16</v>
      </c>
      <c r="D49" s="3" t="s">
        <v>164</v>
      </c>
      <c r="E49" s="4" t="s">
        <v>18</v>
      </c>
      <c r="F49" s="4" t="s">
        <v>19</v>
      </c>
      <c r="G49" s="4" t="s">
        <v>20</v>
      </c>
      <c r="H49" s="4" t="s">
        <v>21</v>
      </c>
      <c r="I49" s="5" t="s">
        <v>21</v>
      </c>
      <c r="J49" s="1" t="s">
        <v>244</v>
      </c>
      <c r="K49" s="1" t="s">
        <v>245</v>
      </c>
      <c r="L49" s="1" t="s">
        <v>246</v>
      </c>
      <c r="M49" s="4" t="str">
        <f t="shared" si="0"/>
        <v>Outstanding</v>
      </c>
      <c r="N49" s="13" t="s">
        <v>21</v>
      </c>
    </row>
    <row r="50" spans="1:14" ht="60" customHeight="1" x14ac:dyDescent="0.35">
      <c r="A50" s="11" t="s">
        <v>247</v>
      </c>
      <c r="B50" s="1" t="s">
        <v>248</v>
      </c>
      <c r="C50" s="2" t="s">
        <v>47</v>
      </c>
      <c r="D50" s="3" t="s">
        <v>164</v>
      </c>
      <c r="E50" s="4" t="s">
        <v>18</v>
      </c>
      <c r="F50" s="4" t="s">
        <v>19</v>
      </c>
      <c r="G50" s="4" t="s">
        <v>20</v>
      </c>
      <c r="H50" s="4" t="s">
        <v>21</v>
      </c>
      <c r="I50" s="5" t="s">
        <v>21</v>
      </c>
      <c r="J50" s="1" t="s">
        <v>249</v>
      </c>
      <c r="K50" s="1" t="s">
        <v>250</v>
      </c>
      <c r="L50" s="1" t="s">
        <v>251</v>
      </c>
      <c r="M50" s="4" t="str">
        <f t="shared" si="0"/>
        <v>Outstanding</v>
      </c>
      <c r="N50" s="13" t="s">
        <v>21</v>
      </c>
    </row>
    <row r="51" spans="1:14" ht="60" customHeight="1" x14ac:dyDescent="0.35">
      <c r="A51" s="11" t="s">
        <v>252</v>
      </c>
      <c r="B51" s="1" t="s">
        <v>253</v>
      </c>
      <c r="C51" s="2" t="s">
        <v>47</v>
      </c>
      <c r="D51" s="3" t="s">
        <v>164</v>
      </c>
      <c r="E51" s="4" t="s">
        <v>18</v>
      </c>
      <c r="F51" s="4" t="s">
        <v>19</v>
      </c>
      <c r="G51" s="4" t="s">
        <v>20</v>
      </c>
      <c r="H51" s="4" t="s">
        <v>21</v>
      </c>
      <c r="I51" s="5" t="s">
        <v>21</v>
      </c>
      <c r="J51" s="1" t="s">
        <v>254</v>
      </c>
      <c r="K51" s="1" t="s">
        <v>250</v>
      </c>
      <c r="L51" s="1" t="s">
        <v>255</v>
      </c>
      <c r="M51" s="4" t="str">
        <f t="shared" si="0"/>
        <v>Outstanding</v>
      </c>
      <c r="N51" s="13" t="s">
        <v>21</v>
      </c>
    </row>
    <row r="52" spans="1:14" ht="60" customHeight="1" x14ac:dyDescent="0.35">
      <c r="A52" s="11" t="s">
        <v>256</v>
      </c>
      <c r="B52" s="1" t="s">
        <v>257</v>
      </c>
      <c r="C52" s="2" t="s">
        <v>47</v>
      </c>
      <c r="D52" s="3" t="s">
        <v>164</v>
      </c>
      <c r="E52" s="4" t="s">
        <v>18</v>
      </c>
      <c r="F52" s="4" t="s">
        <v>19</v>
      </c>
      <c r="G52" s="4" t="s">
        <v>20</v>
      </c>
      <c r="H52" s="4" t="s">
        <v>21</v>
      </c>
      <c r="I52" s="5" t="s">
        <v>21</v>
      </c>
      <c r="J52" s="1" t="s">
        <v>258</v>
      </c>
      <c r="K52" s="1" t="s">
        <v>259</v>
      </c>
      <c r="L52" s="1" t="s">
        <v>260</v>
      </c>
      <c r="M52" s="4" t="str">
        <f t="shared" si="0"/>
        <v>Outstanding</v>
      </c>
      <c r="N52" s="13" t="s">
        <v>21</v>
      </c>
    </row>
    <row r="53" spans="1:14" ht="60" customHeight="1" x14ac:dyDescent="0.35">
      <c r="A53" s="11" t="s">
        <v>261</v>
      </c>
      <c r="B53" s="1" t="s">
        <v>262</v>
      </c>
      <c r="C53" s="2" t="s">
        <v>16</v>
      </c>
      <c r="D53" s="3" t="s">
        <v>164</v>
      </c>
      <c r="E53" s="4" t="s">
        <v>18</v>
      </c>
      <c r="F53" s="4" t="s">
        <v>19</v>
      </c>
      <c r="G53" s="4" t="s">
        <v>20</v>
      </c>
      <c r="H53" s="4" t="s">
        <v>21</v>
      </c>
      <c r="I53" s="5" t="s">
        <v>21</v>
      </c>
      <c r="J53" s="1" t="s">
        <v>263</v>
      </c>
      <c r="K53" s="1" t="s">
        <v>264</v>
      </c>
      <c r="L53" s="1" t="s">
        <v>265</v>
      </c>
      <c r="M53" s="4" t="str">
        <f t="shared" si="0"/>
        <v>Outstanding</v>
      </c>
      <c r="N53" s="13" t="s">
        <v>21</v>
      </c>
    </row>
    <row r="54" spans="1:14" ht="60" customHeight="1" x14ac:dyDescent="0.35">
      <c r="A54" s="11" t="s">
        <v>266</v>
      </c>
      <c r="B54" s="1" t="s">
        <v>267</v>
      </c>
      <c r="C54" s="2" t="s">
        <v>163</v>
      </c>
      <c r="D54" s="3" t="s">
        <v>164</v>
      </c>
      <c r="E54" s="4" t="s">
        <v>18</v>
      </c>
      <c r="F54" s="4" t="s">
        <v>19</v>
      </c>
      <c r="G54" s="4" t="s">
        <v>20</v>
      </c>
      <c r="H54" s="4" t="s">
        <v>21</v>
      </c>
      <c r="I54" s="5" t="s">
        <v>21</v>
      </c>
      <c r="J54" s="1" t="s">
        <v>268</v>
      </c>
      <c r="K54" s="1" t="s">
        <v>269</v>
      </c>
      <c r="L54" s="1" t="s">
        <v>270</v>
      </c>
      <c r="M54" s="4" t="str">
        <f t="shared" si="0"/>
        <v>Outstanding</v>
      </c>
      <c r="N54" s="13" t="s">
        <v>21</v>
      </c>
    </row>
    <row r="55" spans="1:14" ht="60" customHeight="1" x14ac:dyDescent="0.35">
      <c r="A55" s="11" t="s">
        <v>271</v>
      </c>
      <c r="B55" s="1" t="s">
        <v>272</v>
      </c>
      <c r="C55" s="2" t="s">
        <v>47</v>
      </c>
      <c r="D55" s="3" t="s">
        <v>164</v>
      </c>
      <c r="E55" s="4" t="s">
        <v>18</v>
      </c>
      <c r="F55" s="4" t="s">
        <v>19</v>
      </c>
      <c r="G55" s="4" t="s">
        <v>20</v>
      </c>
      <c r="H55" s="4" t="s">
        <v>21</v>
      </c>
      <c r="I55" s="5" t="s">
        <v>21</v>
      </c>
      <c r="J55" s="1" t="s">
        <v>273</v>
      </c>
      <c r="K55" s="1" t="s">
        <v>274</v>
      </c>
      <c r="L55" s="1" t="s">
        <v>275</v>
      </c>
      <c r="M55" s="4" t="str">
        <f t="shared" si="0"/>
        <v>Outstanding</v>
      </c>
      <c r="N55" s="13" t="s">
        <v>21</v>
      </c>
    </row>
    <row r="56" spans="1:14" ht="60" customHeight="1" x14ac:dyDescent="0.35">
      <c r="A56" s="11" t="s">
        <v>276</v>
      </c>
      <c r="B56" s="1" t="s">
        <v>277</v>
      </c>
      <c r="C56" s="2" t="s">
        <v>16</v>
      </c>
      <c r="D56" s="3" t="s">
        <v>164</v>
      </c>
      <c r="E56" s="4" t="s">
        <v>18</v>
      </c>
      <c r="F56" s="4" t="s">
        <v>19</v>
      </c>
      <c r="G56" s="4" t="s">
        <v>20</v>
      </c>
      <c r="H56" s="4" t="s">
        <v>21</v>
      </c>
      <c r="I56" s="5" t="s">
        <v>21</v>
      </c>
      <c r="J56" s="1" t="s">
        <v>278</v>
      </c>
      <c r="K56" s="1" t="s">
        <v>279</v>
      </c>
      <c r="L56" s="1" t="s">
        <v>280</v>
      </c>
      <c r="M56" s="4" t="str">
        <f t="shared" si="0"/>
        <v>Outstanding</v>
      </c>
      <c r="N56" s="13" t="s">
        <v>21</v>
      </c>
    </row>
    <row r="57" spans="1:14" ht="60" customHeight="1" x14ac:dyDescent="0.35">
      <c r="A57" s="11" t="s">
        <v>281</v>
      </c>
      <c r="B57" s="1" t="s">
        <v>282</v>
      </c>
      <c r="C57" s="2" t="s">
        <v>16</v>
      </c>
      <c r="D57" s="3" t="s">
        <v>164</v>
      </c>
      <c r="E57" s="4" t="s">
        <v>18</v>
      </c>
      <c r="F57" s="4" t="s">
        <v>19</v>
      </c>
      <c r="G57" s="4" t="s">
        <v>20</v>
      </c>
      <c r="H57" s="4" t="s">
        <v>21</v>
      </c>
      <c r="I57" s="5" t="s">
        <v>21</v>
      </c>
      <c r="J57" s="1" t="s">
        <v>278</v>
      </c>
      <c r="K57" s="1" t="s">
        <v>283</v>
      </c>
      <c r="L57" s="1" t="s">
        <v>284</v>
      </c>
      <c r="M57" s="4" t="str">
        <f t="shared" si="0"/>
        <v>Outstanding</v>
      </c>
      <c r="N57" s="13" t="s">
        <v>21</v>
      </c>
    </row>
    <row r="58" spans="1:14" ht="60" customHeight="1" x14ac:dyDescent="0.35">
      <c r="A58" s="11" t="s">
        <v>285</v>
      </c>
      <c r="B58" s="1" t="s">
        <v>286</v>
      </c>
      <c r="C58" s="2" t="s">
        <v>16</v>
      </c>
      <c r="D58" s="3" t="s">
        <v>164</v>
      </c>
      <c r="E58" s="4" t="s">
        <v>18</v>
      </c>
      <c r="F58" s="4" t="s">
        <v>19</v>
      </c>
      <c r="G58" s="4" t="s">
        <v>20</v>
      </c>
      <c r="H58" s="4" t="s">
        <v>21</v>
      </c>
      <c r="I58" s="5" t="s">
        <v>21</v>
      </c>
      <c r="J58" s="1" t="s">
        <v>287</v>
      </c>
      <c r="K58" s="1" t="s">
        <v>288</v>
      </c>
      <c r="L58" s="1" t="s">
        <v>289</v>
      </c>
      <c r="M58" s="4" t="str">
        <f t="shared" si="0"/>
        <v>Outstanding</v>
      </c>
      <c r="N58" s="13" t="s">
        <v>21</v>
      </c>
    </row>
    <row r="59" spans="1:14" ht="60" customHeight="1" x14ac:dyDescent="0.35">
      <c r="A59" s="11" t="s">
        <v>290</v>
      </c>
      <c r="B59" s="1" t="s">
        <v>291</v>
      </c>
      <c r="C59" s="2" t="s">
        <v>16</v>
      </c>
      <c r="D59" s="3" t="s">
        <v>164</v>
      </c>
      <c r="E59" s="4" t="s">
        <v>18</v>
      </c>
      <c r="F59" s="4" t="s">
        <v>19</v>
      </c>
      <c r="G59" s="4" t="s">
        <v>20</v>
      </c>
      <c r="H59" s="4" t="s">
        <v>21</v>
      </c>
      <c r="I59" s="5" t="s">
        <v>21</v>
      </c>
      <c r="J59" s="1" t="s">
        <v>292</v>
      </c>
      <c r="K59" s="1" t="s">
        <v>293</v>
      </c>
      <c r="L59" s="1" t="s">
        <v>294</v>
      </c>
      <c r="M59" s="4" t="str">
        <f t="shared" si="0"/>
        <v>Outstanding</v>
      </c>
      <c r="N59" s="13" t="s">
        <v>21</v>
      </c>
    </row>
    <row r="60" spans="1:14" ht="60" customHeight="1" x14ac:dyDescent="0.35">
      <c r="A60" s="11" t="s">
        <v>295</v>
      </c>
      <c r="B60" s="1" t="s">
        <v>296</v>
      </c>
      <c r="C60" s="2" t="s">
        <v>47</v>
      </c>
      <c r="D60" s="3" t="s">
        <v>164</v>
      </c>
      <c r="E60" s="4" t="s">
        <v>18</v>
      </c>
      <c r="F60" s="4" t="s">
        <v>19</v>
      </c>
      <c r="G60" s="4" t="s">
        <v>20</v>
      </c>
      <c r="H60" s="4" t="s">
        <v>21</v>
      </c>
      <c r="I60" s="5" t="s">
        <v>21</v>
      </c>
      <c r="J60" s="1" t="s">
        <v>297</v>
      </c>
      <c r="K60" s="1" t="s">
        <v>298</v>
      </c>
      <c r="L60" s="1" t="s">
        <v>299</v>
      </c>
      <c r="M60" s="4" t="str">
        <f t="shared" si="0"/>
        <v>Outstanding</v>
      </c>
      <c r="N60" s="13" t="s">
        <v>21</v>
      </c>
    </row>
    <row r="61" spans="1:14" ht="60" customHeight="1" x14ac:dyDescent="0.35">
      <c r="A61" s="12" t="s">
        <v>300</v>
      </c>
      <c r="B61" s="6" t="s">
        <v>301</v>
      </c>
      <c r="C61" s="7" t="s">
        <v>16</v>
      </c>
      <c r="D61" s="8" t="s">
        <v>164</v>
      </c>
      <c r="E61" s="9" t="s">
        <v>18</v>
      </c>
      <c r="F61" s="9" t="s">
        <v>19</v>
      </c>
      <c r="G61" s="9" t="s">
        <v>20</v>
      </c>
      <c r="H61" s="9" t="s">
        <v>21</v>
      </c>
      <c r="I61" s="10" t="s">
        <v>21</v>
      </c>
      <c r="J61" s="6" t="s">
        <v>302</v>
      </c>
      <c r="K61" s="6" t="s">
        <v>303</v>
      </c>
      <c r="L61" s="6" t="s">
        <v>304</v>
      </c>
      <c r="M61" s="9" t="str">
        <f t="shared" si="0"/>
        <v>Outstanding</v>
      </c>
      <c r="N61" s="14" t="s">
        <v>21</v>
      </c>
    </row>
    <row r="65" spans="1:4" ht="32" customHeight="1" x14ac:dyDescent="0.35">
      <c r="A65" s="81" t="s">
        <v>305</v>
      </c>
      <c r="B65" s="81"/>
      <c r="C65" s="81"/>
      <c r="D65" s="81"/>
    </row>
  </sheetData>
  <mergeCells count="1">
    <mergeCell ref="A65:D65"/>
  </mergeCells>
  <conditionalFormatting sqref="C2:C61">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6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6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6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61" xr:uid="{00000000-0002-0000-0200-000000000000}">
      <formula1>"Must,Should,Could,Won't,Unassigned"</formula1>
    </dataValidation>
    <dataValidation type="list" showErrorMessage="1" errorTitle="Invalid Value" error="Please select a value from the list: Low, Medium, High, Unassessed." sqref="F2:F61" xr:uid="{00000000-0002-0000-0200-000001000000}">
      <formula1>"Low,Medium,High,Unassessed"</formula1>
    </dataValidation>
    <dataValidation type="list" showErrorMessage="1" errorTitle="Invalid Value" error="Please select a value from the list: Phase1, Phase2, Phase3, Phase4, Phase5, Pending." sqref="G2:G6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61" xr:uid="{00000000-0002-0000-0200-000003000000}">
      <formula1>"Implemented,Testing,Failed,Compensated,Risk Accepted,N/A"</formula1>
    </dataValidation>
  </dataValidations>
  <hyperlinks>
    <hyperlink ref="A6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433</v>
      </c>
      <c r="C2" s="98" t="s">
        <v>433</v>
      </c>
      <c r="D2" s="98" t="s">
        <v>433</v>
      </c>
      <c r="E2" s="98" t="s">
        <v>433</v>
      </c>
      <c r="F2" s="98" t="s">
        <v>433</v>
      </c>
      <c r="G2" s="98" t="s">
        <v>433</v>
      </c>
      <c r="H2" s="102" t="s">
        <v>434</v>
      </c>
      <c r="I2" s="102" t="s">
        <v>434</v>
      </c>
      <c r="J2" s="102" t="s">
        <v>434</v>
      </c>
      <c r="K2" s="102" t="s">
        <v>434</v>
      </c>
      <c r="L2" s="102" t="s">
        <v>434</v>
      </c>
      <c r="M2" s="101" t="s">
        <v>435</v>
      </c>
      <c r="N2" s="101" t="s">
        <v>435</v>
      </c>
      <c r="O2" s="103" t="s">
        <v>436</v>
      </c>
      <c r="P2" s="103" t="s">
        <v>436</v>
      </c>
      <c r="Q2" s="99" t="s">
        <v>12</v>
      </c>
      <c r="R2" s="99" t="s">
        <v>12</v>
      </c>
      <c r="S2" s="99" t="s">
        <v>12</v>
      </c>
      <c r="T2" s="100" t="s">
        <v>437</v>
      </c>
    </row>
    <row r="3" spans="2:20" ht="35" customHeight="1" x14ac:dyDescent="0.35">
      <c r="B3" s="71" t="s">
        <v>438</v>
      </c>
      <c r="C3" s="71" t="s">
        <v>439</v>
      </c>
      <c r="D3" s="71" t="s">
        <v>440</v>
      </c>
      <c r="E3" s="71" t="s">
        <v>441</v>
      </c>
      <c r="F3" s="71" t="s">
        <v>442</v>
      </c>
      <c r="G3" s="71" t="s">
        <v>10</v>
      </c>
      <c r="H3" s="72" t="s">
        <v>443</v>
      </c>
      <c r="I3" s="72" t="s">
        <v>444</v>
      </c>
      <c r="J3" s="72" t="s">
        <v>445</v>
      </c>
      <c r="K3" s="72" t="s">
        <v>446</v>
      </c>
      <c r="L3" s="72" t="s">
        <v>377</v>
      </c>
      <c r="M3" s="73" t="s">
        <v>447</v>
      </c>
      <c r="N3" s="73" t="s">
        <v>448</v>
      </c>
      <c r="O3" s="74" t="s">
        <v>449</v>
      </c>
      <c r="P3" s="74" t="s">
        <v>450</v>
      </c>
      <c r="Q3" s="75" t="s">
        <v>12</v>
      </c>
      <c r="R3" s="75" t="s">
        <v>451</v>
      </c>
      <c r="S3" s="75" t="s">
        <v>452</v>
      </c>
      <c r="T3" s="76" t="s">
        <v>453</v>
      </c>
    </row>
    <row r="4" spans="2:20" ht="60" customHeight="1" x14ac:dyDescent="0.35">
      <c r="B4" s="77" t="s">
        <v>454</v>
      </c>
      <c r="C4" s="77" t="s">
        <v>455</v>
      </c>
      <c r="D4" s="77" t="s">
        <v>456</v>
      </c>
      <c r="E4" s="77" t="s">
        <v>457</v>
      </c>
      <c r="F4" s="77" t="s">
        <v>458</v>
      </c>
      <c r="G4" s="77" t="s">
        <v>459</v>
      </c>
      <c r="H4" s="77" t="s">
        <v>460</v>
      </c>
      <c r="I4" s="77" t="s">
        <v>461</v>
      </c>
      <c r="J4" s="77" t="s">
        <v>462</v>
      </c>
      <c r="K4" s="77" t="s">
        <v>463</v>
      </c>
      <c r="L4" s="77" t="s">
        <v>464</v>
      </c>
      <c r="M4" s="77" t="s">
        <v>465</v>
      </c>
      <c r="N4" s="77" t="s">
        <v>466</v>
      </c>
      <c r="O4" s="77" t="s">
        <v>467</v>
      </c>
      <c r="P4" s="77" t="s">
        <v>468</v>
      </c>
      <c r="Q4" s="77" t="s">
        <v>469</v>
      </c>
      <c r="R4" s="77" t="s">
        <v>470</v>
      </c>
      <c r="S4" s="77" t="s">
        <v>471</v>
      </c>
      <c r="T4" s="77" t="s">
        <v>472</v>
      </c>
    </row>
    <row r="5" spans="2:20" ht="60" customHeight="1" x14ac:dyDescent="0.35">
      <c r="B5" s="39" t="s">
        <v>473</v>
      </c>
      <c r="C5" s="78"/>
      <c r="D5" s="79"/>
      <c r="E5" s="79" t="s">
        <v>21</v>
      </c>
      <c r="F5" s="79" t="str">
        <f>IF(E5&lt;&gt;"", IFERROR(VLOOKUP(E5, Dashboard!$B44:$F49, 5, FALSE), ""), "")</f>
        <v/>
      </c>
      <c r="G5" s="80"/>
      <c r="H5" s="67"/>
      <c r="I5" s="67"/>
      <c r="J5" s="80"/>
      <c r="K5" s="80"/>
      <c r="L5" s="41"/>
      <c r="M5" s="41"/>
      <c r="N5" s="80"/>
      <c r="O5" s="80"/>
      <c r="P5" s="41"/>
      <c r="Q5" s="41" t="s">
        <v>21</v>
      </c>
      <c r="R5" s="80"/>
      <c r="S5" s="67"/>
      <c r="T5" s="80"/>
    </row>
    <row r="6" spans="2:20" ht="60" customHeight="1" x14ac:dyDescent="0.35">
      <c r="B6" s="39" t="s">
        <v>474</v>
      </c>
      <c r="C6" s="78"/>
      <c r="D6" s="79"/>
      <c r="E6" s="79" t="s">
        <v>21</v>
      </c>
      <c r="F6" s="79" t="str">
        <f>IF(E6&lt;&gt;"", IFERROR(VLOOKUP(E6, Dashboard!$B44:$F49, 5, FALSE), ""), "")</f>
        <v/>
      </c>
      <c r="G6" s="80"/>
      <c r="H6" s="67"/>
      <c r="I6" s="67"/>
      <c r="J6" s="80"/>
      <c r="K6" s="80"/>
      <c r="L6" s="41"/>
      <c r="M6" s="41"/>
      <c r="N6" s="80"/>
      <c r="O6" s="80"/>
      <c r="P6" s="41"/>
      <c r="Q6" s="41" t="s">
        <v>21</v>
      </c>
      <c r="R6" s="80"/>
      <c r="S6" s="67"/>
      <c r="T6" s="80"/>
    </row>
    <row r="7" spans="2:20" ht="60" customHeight="1" x14ac:dyDescent="0.35">
      <c r="B7" s="39" t="s">
        <v>475</v>
      </c>
      <c r="C7" s="78"/>
      <c r="D7" s="79"/>
      <c r="E7" s="79" t="s">
        <v>21</v>
      </c>
      <c r="F7" s="79" t="str">
        <f>IF(E7&lt;&gt;"", IFERROR(VLOOKUP(E7, Dashboard!$B44:$F49, 5, FALSE), ""), "")</f>
        <v/>
      </c>
      <c r="G7" s="80"/>
      <c r="H7" s="67"/>
      <c r="I7" s="67"/>
      <c r="J7" s="80"/>
      <c r="K7" s="80"/>
      <c r="L7" s="41"/>
      <c r="M7" s="41"/>
      <c r="N7" s="80"/>
      <c r="O7" s="80"/>
      <c r="P7" s="41"/>
      <c r="Q7" s="41" t="s">
        <v>21</v>
      </c>
      <c r="R7" s="80"/>
      <c r="S7" s="67"/>
      <c r="T7" s="80"/>
    </row>
    <row r="8" spans="2:20" ht="60" customHeight="1" x14ac:dyDescent="0.35">
      <c r="B8" s="39" t="s">
        <v>476</v>
      </c>
      <c r="C8" s="78"/>
      <c r="D8" s="79"/>
      <c r="E8" s="79" t="s">
        <v>21</v>
      </c>
      <c r="F8" s="79" t="str">
        <f>IF(E8&lt;&gt;"", IFERROR(VLOOKUP(E8, Dashboard!$B44:$F49, 5, FALSE), ""), "")</f>
        <v/>
      </c>
      <c r="G8" s="80"/>
      <c r="H8" s="67"/>
      <c r="I8" s="67"/>
      <c r="J8" s="80"/>
      <c r="K8" s="80"/>
      <c r="L8" s="41"/>
      <c r="M8" s="41"/>
      <c r="N8" s="80"/>
      <c r="O8" s="80"/>
      <c r="P8" s="41"/>
      <c r="Q8" s="41" t="s">
        <v>21</v>
      </c>
      <c r="R8" s="80"/>
      <c r="S8" s="67"/>
      <c r="T8" s="80"/>
    </row>
    <row r="9" spans="2:20" ht="60" customHeight="1" x14ac:dyDescent="0.35">
      <c r="B9" s="39" t="s">
        <v>477</v>
      </c>
      <c r="C9" s="78"/>
      <c r="D9" s="79"/>
      <c r="E9" s="79" t="s">
        <v>21</v>
      </c>
      <c r="F9" s="79" t="str">
        <f>IF(E9&lt;&gt;"", IFERROR(VLOOKUP(E9, Dashboard!$B44:$F49, 5, FALSE), ""), "")</f>
        <v/>
      </c>
      <c r="G9" s="80"/>
      <c r="H9" s="67"/>
      <c r="I9" s="67"/>
      <c r="J9" s="80"/>
      <c r="K9" s="80"/>
      <c r="L9" s="41"/>
      <c r="M9" s="41"/>
      <c r="N9" s="80"/>
      <c r="O9" s="80"/>
      <c r="P9" s="41"/>
      <c r="Q9" s="41" t="s">
        <v>21</v>
      </c>
      <c r="R9" s="80"/>
      <c r="S9" s="67"/>
      <c r="T9" s="80"/>
    </row>
    <row r="10" spans="2:20" ht="60" customHeight="1" x14ac:dyDescent="0.35">
      <c r="B10" s="39" t="s">
        <v>478</v>
      </c>
      <c r="C10" s="78"/>
      <c r="D10" s="79"/>
      <c r="E10" s="79" t="s">
        <v>21</v>
      </c>
      <c r="F10" s="79" t="str">
        <f>IF(E10&lt;&gt;"", IFERROR(VLOOKUP(E10, Dashboard!$B44:$F49, 5, FALSE), ""), "")</f>
        <v/>
      </c>
      <c r="G10" s="80"/>
      <c r="H10" s="67"/>
      <c r="I10" s="67"/>
      <c r="J10" s="80"/>
      <c r="K10" s="80"/>
      <c r="L10" s="41"/>
      <c r="M10" s="41"/>
      <c r="N10" s="80"/>
      <c r="O10" s="80"/>
      <c r="P10" s="41"/>
      <c r="Q10" s="41" t="s">
        <v>21</v>
      </c>
      <c r="R10" s="80"/>
      <c r="S10" s="67"/>
      <c r="T10" s="80"/>
    </row>
    <row r="11" spans="2:20" ht="60" customHeight="1" x14ac:dyDescent="0.35">
      <c r="B11" s="39" t="s">
        <v>479</v>
      </c>
      <c r="C11" s="78"/>
      <c r="D11" s="79"/>
      <c r="E11" s="79" t="s">
        <v>21</v>
      </c>
      <c r="F11" s="79" t="str">
        <f>IF(E11&lt;&gt;"", IFERROR(VLOOKUP(E11, Dashboard!$B44:$F49, 5, FALSE), ""), "")</f>
        <v/>
      </c>
      <c r="G11" s="80"/>
      <c r="H11" s="67"/>
      <c r="I11" s="67"/>
      <c r="J11" s="80"/>
      <c r="K11" s="80"/>
      <c r="L11" s="41"/>
      <c r="M11" s="41"/>
      <c r="N11" s="80"/>
      <c r="O11" s="80"/>
      <c r="P11" s="41"/>
      <c r="Q11" s="41" t="s">
        <v>21</v>
      </c>
      <c r="R11" s="80"/>
      <c r="S11" s="67"/>
      <c r="T11" s="80"/>
    </row>
    <row r="12" spans="2:20" ht="60" customHeight="1" x14ac:dyDescent="0.35">
      <c r="B12" s="39" t="s">
        <v>480</v>
      </c>
      <c r="C12" s="78"/>
      <c r="D12" s="79"/>
      <c r="E12" s="79" t="s">
        <v>21</v>
      </c>
      <c r="F12" s="79" t="str">
        <f>IF(E12&lt;&gt;"", IFERROR(VLOOKUP(E12, Dashboard!$B44:$F49, 5, FALSE), ""), "")</f>
        <v/>
      </c>
      <c r="G12" s="80"/>
      <c r="H12" s="67"/>
      <c r="I12" s="67"/>
      <c r="J12" s="80"/>
      <c r="K12" s="80"/>
      <c r="L12" s="41"/>
      <c r="M12" s="41"/>
      <c r="N12" s="80"/>
      <c r="O12" s="80"/>
      <c r="P12" s="41"/>
      <c r="Q12" s="41" t="s">
        <v>21</v>
      </c>
      <c r="R12" s="80"/>
      <c r="S12" s="67"/>
      <c r="T12" s="80"/>
    </row>
    <row r="13" spans="2:20" ht="60" customHeight="1" x14ac:dyDescent="0.35">
      <c r="B13" s="39" t="s">
        <v>481</v>
      </c>
      <c r="C13" s="78"/>
      <c r="D13" s="79"/>
      <c r="E13" s="79" t="s">
        <v>21</v>
      </c>
      <c r="F13" s="79" t="str">
        <f>IF(E13&lt;&gt;"", IFERROR(VLOOKUP(E13, Dashboard!$B44:$F49, 5, FALSE), ""), "")</f>
        <v/>
      </c>
      <c r="G13" s="80"/>
      <c r="H13" s="67"/>
      <c r="I13" s="67"/>
      <c r="J13" s="80"/>
      <c r="K13" s="80"/>
      <c r="L13" s="41"/>
      <c r="M13" s="41"/>
      <c r="N13" s="80"/>
      <c r="O13" s="80"/>
      <c r="P13" s="41"/>
      <c r="Q13" s="41" t="s">
        <v>21</v>
      </c>
      <c r="R13" s="80"/>
      <c r="S13" s="67"/>
      <c r="T13" s="80"/>
    </row>
    <row r="14" spans="2:20" ht="60" customHeight="1" x14ac:dyDescent="0.35">
      <c r="B14" s="39" t="s">
        <v>482</v>
      </c>
      <c r="C14" s="78"/>
      <c r="D14" s="79"/>
      <c r="E14" s="79" t="s">
        <v>21</v>
      </c>
      <c r="F14" s="79" t="str">
        <f>IF(E14&lt;&gt;"", IFERROR(VLOOKUP(E14, Dashboard!$B44:$F49, 5, FALSE), ""), "")</f>
        <v/>
      </c>
      <c r="G14" s="80"/>
      <c r="H14" s="67"/>
      <c r="I14" s="67"/>
      <c r="J14" s="80"/>
      <c r="K14" s="80"/>
      <c r="L14" s="41"/>
      <c r="M14" s="41"/>
      <c r="N14" s="80"/>
      <c r="O14" s="80"/>
      <c r="P14" s="41"/>
      <c r="Q14" s="41" t="s">
        <v>21</v>
      </c>
      <c r="R14" s="80"/>
      <c r="S14" s="67"/>
      <c r="T14" s="80"/>
    </row>
    <row r="15" spans="2:20" ht="60" customHeight="1" x14ac:dyDescent="0.35">
      <c r="B15" s="39" t="s">
        <v>483</v>
      </c>
      <c r="C15" s="78"/>
      <c r="D15" s="79"/>
      <c r="E15" s="79" t="s">
        <v>21</v>
      </c>
      <c r="F15" s="79" t="str">
        <f>IF(E15&lt;&gt;"", IFERROR(VLOOKUP(E15, Dashboard!$B44:$F49, 5, FALSE), ""), "")</f>
        <v/>
      </c>
      <c r="G15" s="80"/>
      <c r="H15" s="67"/>
      <c r="I15" s="67"/>
      <c r="J15" s="80"/>
      <c r="K15" s="80"/>
      <c r="L15" s="41"/>
      <c r="M15" s="41"/>
      <c r="N15" s="80"/>
      <c r="O15" s="80"/>
      <c r="P15" s="41"/>
      <c r="Q15" s="41" t="s">
        <v>21</v>
      </c>
      <c r="R15" s="80"/>
      <c r="S15" s="67"/>
      <c r="T15" s="80"/>
    </row>
    <row r="16" spans="2:20" ht="60" customHeight="1" x14ac:dyDescent="0.35">
      <c r="B16" s="39" t="s">
        <v>484</v>
      </c>
      <c r="C16" s="78"/>
      <c r="D16" s="79"/>
      <c r="E16" s="79" t="s">
        <v>21</v>
      </c>
      <c r="F16" s="79" t="str">
        <f>IF(E16&lt;&gt;"", IFERROR(VLOOKUP(E16, Dashboard!$B44:$F49, 5, FALSE), ""), "")</f>
        <v/>
      </c>
      <c r="G16" s="80"/>
      <c r="H16" s="67"/>
      <c r="I16" s="67"/>
      <c r="J16" s="80"/>
      <c r="K16" s="80"/>
      <c r="L16" s="41"/>
      <c r="M16" s="41"/>
      <c r="N16" s="80"/>
      <c r="O16" s="80"/>
      <c r="P16" s="41"/>
      <c r="Q16" s="41" t="s">
        <v>21</v>
      </c>
      <c r="R16" s="80"/>
      <c r="S16" s="67"/>
      <c r="T16" s="80"/>
    </row>
    <row r="17" spans="2:20" ht="60" customHeight="1" x14ac:dyDescent="0.35">
      <c r="B17" s="39" t="s">
        <v>485</v>
      </c>
      <c r="C17" s="78"/>
      <c r="D17" s="79"/>
      <c r="E17" s="79" t="s">
        <v>21</v>
      </c>
      <c r="F17" s="79" t="str">
        <f>IF(E17&lt;&gt;"", IFERROR(VLOOKUP(E17, Dashboard!$B44:$F49, 5, FALSE), ""), "")</f>
        <v/>
      </c>
      <c r="G17" s="80"/>
      <c r="H17" s="67"/>
      <c r="I17" s="67"/>
      <c r="J17" s="80"/>
      <c r="K17" s="80"/>
      <c r="L17" s="41"/>
      <c r="M17" s="41"/>
      <c r="N17" s="80"/>
      <c r="O17" s="80"/>
      <c r="P17" s="41"/>
      <c r="Q17" s="41" t="s">
        <v>21</v>
      </c>
      <c r="R17" s="80"/>
      <c r="S17" s="67"/>
      <c r="T17" s="80"/>
    </row>
    <row r="18" spans="2:20" ht="60" customHeight="1" x14ac:dyDescent="0.35">
      <c r="B18" s="39" t="s">
        <v>486</v>
      </c>
      <c r="C18" s="78"/>
      <c r="D18" s="79"/>
      <c r="E18" s="79" t="s">
        <v>21</v>
      </c>
      <c r="F18" s="79" t="str">
        <f>IF(E18&lt;&gt;"", IFERROR(VLOOKUP(E18, Dashboard!$B44:$F49, 5, FALSE), ""), "")</f>
        <v/>
      </c>
      <c r="G18" s="80"/>
      <c r="H18" s="67"/>
      <c r="I18" s="67"/>
      <c r="J18" s="80"/>
      <c r="K18" s="80"/>
      <c r="L18" s="41"/>
      <c r="M18" s="41"/>
      <c r="N18" s="80"/>
      <c r="O18" s="80"/>
      <c r="P18" s="41"/>
      <c r="Q18" s="41" t="s">
        <v>21</v>
      </c>
      <c r="R18" s="80"/>
      <c r="S18" s="67"/>
      <c r="T18" s="80"/>
    </row>
    <row r="19" spans="2:20" ht="60" customHeight="1" x14ac:dyDescent="0.35">
      <c r="B19" s="39" t="s">
        <v>487</v>
      </c>
      <c r="C19" s="78"/>
      <c r="D19" s="79"/>
      <c r="E19" s="79" t="s">
        <v>21</v>
      </c>
      <c r="F19" s="79" t="str">
        <f>IF(E19&lt;&gt;"", IFERROR(VLOOKUP(E19, Dashboard!$B44:$F49, 5, FALSE), ""), "")</f>
        <v/>
      </c>
      <c r="G19" s="80"/>
      <c r="H19" s="67"/>
      <c r="I19" s="67"/>
      <c r="J19" s="80"/>
      <c r="K19" s="80"/>
      <c r="L19" s="41"/>
      <c r="M19" s="41"/>
      <c r="N19" s="80"/>
      <c r="O19" s="80"/>
      <c r="P19" s="41"/>
      <c r="Q19" s="41" t="s">
        <v>21</v>
      </c>
      <c r="R19" s="80"/>
      <c r="S19" s="67"/>
      <c r="T19" s="80"/>
    </row>
    <row r="20" spans="2:20" ht="60" customHeight="1" x14ac:dyDescent="0.35">
      <c r="B20" s="39" t="s">
        <v>488</v>
      </c>
      <c r="C20" s="78"/>
      <c r="D20" s="79"/>
      <c r="E20" s="79" t="s">
        <v>21</v>
      </c>
      <c r="F20" s="79" t="str">
        <f>IF(E20&lt;&gt;"", IFERROR(VLOOKUP(E20, Dashboard!$B44:$F49, 5, FALSE), ""), "")</f>
        <v/>
      </c>
      <c r="G20" s="80"/>
      <c r="H20" s="67"/>
      <c r="I20" s="67"/>
      <c r="J20" s="80"/>
      <c r="K20" s="80"/>
      <c r="L20" s="41"/>
      <c r="M20" s="41"/>
      <c r="N20" s="80"/>
      <c r="O20" s="80"/>
      <c r="P20" s="41"/>
      <c r="Q20" s="41" t="s">
        <v>21</v>
      </c>
      <c r="R20" s="80"/>
      <c r="S20" s="67"/>
      <c r="T20" s="80"/>
    </row>
    <row r="21" spans="2:20" ht="60" customHeight="1" x14ac:dyDescent="0.35">
      <c r="B21" s="39" t="s">
        <v>489</v>
      </c>
      <c r="C21" s="78"/>
      <c r="D21" s="79"/>
      <c r="E21" s="79" t="s">
        <v>21</v>
      </c>
      <c r="F21" s="79" t="str">
        <f>IF(E21&lt;&gt;"", IFERROR(VLOOKUP(E21, Dashboard!$B44:$F49, 5, FALSE), ""), "")</f>
        <v/>
      </c>
      <c r="G21" s="80"/>
      <c r="H21" s="67"/>
      <c r="I21" s="67"/>
      <c r="J21" s="80"/>
      <c r="K21" s="80"/>
      <c r="L21" s="41"/>
      <c r="M21" s="41"/>
      <c r="N21" s="80"/>
      <c r="O21" s="80"/>
      <c r="P21" s="41"/>
      <c r="Q21" s="41" t="s">
        <v>21</v>
      </c>
      <c r="R21" s="80"/>
      <c r="S21" s="67"/>
      <c r="T21" s="80"/>
    </row>
    <row r="22" spans="2:20" ht="60" customHeight="1" x14ac:dyDescent="0.35">
      <c r="B22" s="39" t="s">
        <v>490</v>
      </c>
      <c r="C22" s="78"/>
      <c r="D22" s="79"/>
      <c r="E22" s="79" t="s">
        <v>21</v>
      </c>
      <c r="F22" s="79" t="str">
        <f>IF(E22&lt;&gt;"", IFERROR(VLOOKUP(E22, Dashboard!$B44:$F49, 5, FALSE), ""), "")</f>
        <v/>
      </c>
      <c r="G22" s="80"/>
      <c r="H22" s="67"/>
      <c r="I22" s="67"/>
      <c r="J22" s="80"/>
      <c r="K22" s="80"/>
      <c r="L22" s="41"/>
      <c r="M22" s="41"/>
      <c r="N22" s="80"/>
      <c r="O22" s="80"/>
      <c r="P22" s="41"/>
      <c r="Q22" s="41" t="s">
        <v>21</v>
      </c>
      <c r="R22" s="80"/>
      <c r="S22" s="67"/>
      <c r="T22" s="80"/>
    </row>
    <row r="23" spans="2:20" ht="60" customHeight="1" x14ac:dyDescent="0.35">
      <c r="B23" s="39" t="s">
        <v>491</v>
      </c>
      <c r="C23" s="78"/>
      <c r="D23" s="79"/>
      <c r="E23" s="79" t="s">
        <v>21</v>
      </c>
      <c r="F23" s="79" t="str">
        <f>IF(E23&lt;&gt;"", IFERROR(VLOOKUP(E23, Dashboard!$B44:$F49, 5, FALSE), ""), "")</f>
        <v/>
      </c>
      <c r="G23" s="80"/>
      <c r="H23" s="67"/>
      <c r="I23" s="67"/>
      <c r="J23" s="80"/>
      <c r="K23" s="80"/>
      <c r="L23" s="41"/>
      <c r="M23" s="41"/>
      <c r="N23" s="80"/>
      <c r="O23" s="80"/>
      <c r="P23" s="41"/>
      <c r="Q23" s="41" t="s">
        <v>21</v>
      </c>
      <c r="R23" s="80"/>
      <c r="S23" s="67"/>
      <c r="T23" s="80"/>
    </row>
    <row r="24" spans="2:20" ht="60" customHeight="1" x14ac:dyDescent="0.35">
      <c r="B24" s="39" t="s">
        <v>492</v>
      </c>
      <c r="C24" s="78"/>
      <c r="D24" s="79"/>
      <c r="E24" s="79" t="s">
        <v>21</v>
      </c>
      <c r="F24" s="79" t="str">
        <f>IF(E24&lt;&gt;"", IFERROR(VLOOKUP(E24, Dashboard!$B44:$F49, 5, FALSE), ""), "")</f>
        <v/>
      </c>
      <c r="G24" s="80"/>
      <c r="H24" s="67"/>
      <c r="I24" s="67"/>
      <c r="J24" s="80"/>
      <c r="K24" s="80"/>
      <c r="L24" s="41"/>
      <c r="M24" s="41"/>
      <c r="N24" s="80"/>
      <c r="O24" s="80"/>
      <c r="P24" s="41"/>
      <c r="Q24" s="41" t="s">
        <v>21</v>
      </c>
      <c r="R24" s="80"/>
      <c r="S24" s="67"/>
      <c r="T24" s="80"/>
    </row>
    <row r="25" spans="2:20" ht="60" customHeight="1" x14ac:dyDescent="0.35">
      <c r="B25" s="39" t="s">
        <v>493</v>
      </c>
      <c r="C25" s="78"/>
      <c r="D25" s="79"/>
      <c r="E25" s="79" t="s">
        <v>21</v>
      </c>
      <c r="F25" s="79" t="str">
        <f>IF(E25&lt;&gt;"", IFERROR(VLOOKUP(E25, Dashboard!$B44:$F49, 5, FALSE), ""), "")</f>
        <v/>
      </c>
      <c r="G25" s="80"/>
      <c r="H25" s="67"/>
      <c r="I25" s="67"/>
      <c r="J25" s="80"/>
      <c r="K25" s="80"/>
      <c r="L25" s="41"/>
      <c r="M25" s="41"/>
      <c r="N25" s="80"/>
      <c r="O25" s="80"/>
      <c r="P25" s="41"/>
      <c r="Q25" s="41" t="s">
        <v>21</v>
      </c>
      <c r="R25" s="80"/>
      <c r="S25" s="67"/>
      <c r="T25" s="80"/>
    </row>
    <row r="26" spans="2:20" ht="60" customHeight="1" x14ac:dyDescent="0.35">
      <c r="B26" s="39" t="s">
        <v>494</v>
      </c>
      <c r="C26" s="78"/>
      <c r="D26" s="79"/>
      <c r="E26" s="79" t="s">
        <v>21</v>
      </c>
      <c r="F26" s="79" t="str">
        <f>IF(E26&lt;&gt;"", IFERROR(VLOOKUP(E26, Dashboard!$B44:$F49, 5, FALSE), ""), "")</f>
        <v/>
      </c>
      <c r="G26" s="80"/>
      <c r="H26" s="67"/>
      <c r="I26" s="67"/>
      <c r="J26" s="80"/>
      <c r="K26" s="80"/>
      <c r="L26" s="41"/>
      <c r="M26" s="41"/>
      <c r="N26" s="80"/>
      <c r="O26" s="80"/>
      <c r="P26" s="41"/>
      <c r="Q26" s="41" t="s">
        <v>21</v>
      </c>
      <c r="R26" s="80"/>
      <c r="S26" s="67"/>
      <c r="T26" s="80"/>
    </row>
    <row r="27" spans="2:20" ht="60" customHeight="1" x14ac:dyDescent="0.35">
      <c r="B27" s="39" t="s">
        <v>495</v>
      </c>
      <c r="C27" s="78"/>
      <c r="D27" s="79"/>
      <c r="E27" s="79" t="s">
        <v>21</v>
      </c>
      <c r="F27" s="79" t="str">
        <f>IF(E27&lt;&gt;"", IFERROR(VLOOKUP(E27, Dashboard!$B44:$F49, 5, FALSE), ""), "")</f>
        <v/>
      </c>
      <c r="G27" s="80"/>
      <c r="H27" s="67"/>
      <c r="I27" s="67"/>
      <c r="J27" s="80"/>
      <c r="K27" s="80"/>
      <c r="L27" s="41"/>
      <c r="M27" s="41"/>
      <c r="N27" s="80"/>
      <c r="O27" s="80"/>
      <c r="P27" s="41"/>
      <c r="Q27" s="41" t="s">
        <v>21</v>
      </c>
      <c r="R27" s="80"/>
      <c r="S27" s="67"/>
      <c r="T27" s="80"/>
    </row>
    <row r="28" spans="2:20" ht="60" customHeight="1" x14ac:dyDescent="0.35">
      <c r="B28" s="39" t="s">
        <v>496</v>
      </c>
      <c r="C28" s="78"/>
      <c r="D28" s="79"/>
      <c r="E28" s="79" t="s">
        <v>21</v>
      </c>
      <c r="F28" s="79" t="str">
        <f>IF(E28&lt;&gt;"", IFERROR(VLOOKUP(E28, Dashboard!$B44:$F49, 5, FALSE), ""), "")</f>
        <v/>
      </c>
      <c r="G28" s="80"/>
      <c r="H28" s="67"/>
      <c r="I28" s="67"/>
      <c r="J28" s="80"/>
      <c r="K28" s="80"/>
      <c r="L28" s="41"/>
      <c r="M28" s="41"/>
      <c r="N28" s="80"/>
      <c r="O28" s="80"/>
      <c r="P28" s="41"/>
      <c r="Q28" s="41" t="s">
        <v>21</v>
      </c>
      <c r="R28" s="80"/>
      <c r="S28" s="67"/>
      <c r="T28" s="80"/>
    </row>
    <row r="29" spans="2:20" ht="60" customHeight="1" x14ac:dyDescent="0.35">
      <c r="B29" s="39" t="s">
        <v>497</v>
      </c>
      <c r="C29" s="78"/>
      <c r="D29" s="79"/>
      <c r="E29" s="79" t="s">
        <v>21</v>
      </c>
      <c r="F29" s="79" t="str">
        <f>IF(E29&lt;&gt;"", IFERROR(VLOOKUP(E29, Dashboard!$B44:$F49, 5, FALSE), ""), "")</f>
        <v/>
      </c>
      <c r="G29" s="80"/>
      <c r="H29" s="67"/>
      <c r="I29" s="67"/>
      <c r="J29" s="80"/>
      <c r="K29" s="80"/>
      <c r="L29" s="41"/>
      <c r="M29" s="41"/>
      <c r="N29" s="80"/>
      <c r="O29" s="80"/>
      <c r="P29" s="41"/>
      <c r="Q29" s="41" t="s">
        <v>21</v>
      </c>
      <c r="R29" s="80"/>
      <c r="S29" s="67"/>
      <c r="T29" s="80"/>
    </row>
    <row r="30" spans="2:20" ht="60" customHeight="1" x14ac:dyDescent="0.35">
      <c r="B30" s="39" t="s">
        <v>498</v>
      </c>
      <c r="C30" s="78"/>
      <c r="D30" s="79"/>
      <c r="E30" s="79" t="s">
        <v>21</v>
      </c>
      <c r="F30" s="79" t="str">
        <f>IF(E30&lt;&gt;"", IFERROR(VLOOKUP(E30, Dashboard!$B44:$F49, 5, FALSE), ""), "")</f>
        <v/>
      </c>
      <c r="G30" s="80"/>
      <c r="H30" s="67"/>
      <c r="I30" s="67"/>
      <c r="J30" s="80"/>
      <c r="K30" s="80"/>
      <c r="L30" s="41"/>
      <c r="M30" s="41"/>
      <c r="N30" s="80"/>
      <c r="O30" s="80"/>
      <c r="P30" s="41"/>
      <c r="Q30" s="41" t="s">
        <v>21</v>
      </c>
      <c r="R30" s="80"/>
      <c r="S30" s="67"/>
      <c r="T30" s="80"/>
    </row>
    <row r="31" spans="2:20" ht="60" customHeight="1" x14ac:dyDescent="0.35">
      <c r="B31" s="39" t="s">
        <v>499</v>
      </c>
      <c r="C31" s="78"/>
      <c r="D31" s="79"/>
      <c r="E31" s="79" t="s">
        <v>21</v>
      </c>
      <c r="F31" s="79" t="str">
        <f>IF(E31&lt;&gt;"", IFERROR(VLOOKUP(E31, Dashboard!$B44:$F49, 5, FALSE), ""), "")</f>
        <v/>
      </c>
      <c r="G31" s="80"/>
      <c r="H31" s="67"/>
      <c r="I31" s="67"/>
      <c r="J31" s="80"/>
      <c r="K31" s="80"/>
      <c r="L31" s="41"/>
      <c r="M31" s="41"/>
      <c r="N31" s="80"/>
      <c r="O31" s="80"/>
      <c r="P31" s="41"/>
      <c r="Q31" s="41" t="s">
        <v>21</v>
      </c>
      <c r="R31" s="80"/>
      <c r="S31" s="67"/>
      <c r="T31" s="80"/>
    </row>
    <row r="32" spans="2:20" ht="60" customHeight="1" x14ac:dyDescent="0.35">
      <c r="B32" s="39" t="s">
        <v>500</v>
      </c>
      <c r="C32" s="78"/>
      <c r="D32" s="79"/>
      <c r="E32" s="79" t="s">
        <v>21</v>
      </c>
      <c r="F32" s="79" t="str">
        <f>IF(E32&lt;&gt;"", IFERROR(VLOOKUP(E32, Dashboard!$B44:$F49, 5, FALSE), ""), "")</f>
        <v/>
      </c>
      <c r="G32" s="80"/>
      <c r="H32" s="67"/>
      <c r="I32" s="67"/>
      <c r="J32" s="80"/>
      <c r="K32" s="80"/>
      <c r="L32" s="41"/>
      <c r="M32" s="41"/>
      <c r="N32" s="80"/>
      <c r="O32" s="80"/>
      <c r="P32" s="41"/>
      <c r="Q32" s="41" t="s">
        <v>21</v>
      </c>
      <c r="R32" s="80"/>
      <c r="S32" s="67"/>
      <c r="T32" s="80"/>
    </row>
    <row r="33" spans="2:20" ht="60" customHeight="1" x14ac:dyDescent="0.35">
      <c r="B33" s="39" t="s">
        <v>501</v>
      </c>
      <c r="C33" s="78"/>
      <c r="D33" s="79"/>
      <c r="E33" s="79" t="s">
        <v>21</v>
      </c>
      <c r="F33" s="79" t="str">
        <f>IF(E33&lt;&gt;"", IFERROR(VLOOKUP(E33, Dashboard!$B44:$F49, 5, FALSE), ""), "")</f>
        <v/>
      </c>
      <c r="G33" s="80"/>
      <c r="H33" s="67"/>
      <c r="I33" s="67"/>
      <c r="J33" s="80"/>
      <c r="K33" s="80"/>
      <c r="L33" s="41"/>
      <c r="M33" s="41"/>
      <c r="N33" s="80"/>
      <c r="O33" s="80"/>
      <c r="P33" s="41"/>
      <c r="Q33" s="41" t="s">
        <v>21</v>
      </c>
      <c r="R33" s="80"/>
      <c r="S33" s="67"/>
      <c r="T33" s="80"/>
    </row>
    <row r="34" spans="2:20" ht="60" customHeight="1" x14ac:dyDescent="0.35">
      <c r="B34" s="39" t="s">
        <v>502</v>
      </c>
      <c r="C34" s="78"/>
      <c r="D34" s="79"/>
      <c r="E34" s="79" t="s">
        <v>21</v>
      </c>
      <c r="F34" s="79" t="str">
        <f>IF(E34&lt;&gt;"", IFERROR(VLOOKUP(E34, Dashboard!$B44:$F49, 5, FALSE), ""), "")</f>
        <v/>
      </c>
      <c r="G34" s="80"/>
      <c r="H34" s="67"/>
      <c r="I34" s="67"/>
      <c r="J34" s="80"/>
      <c r="K34" s="80"/>
      <c r="L34" s="41"/>
      <c r="M34" s="41"/>
      <c r="N34" s="80"/>
      <c r="O34" s="80"/>
      <c r="P34" s="41"/>
      <c r="Q34" s="41" t="s">
        <v>21</v>
      </c>
      <c r="R34" s="80"/>
      <c r="S34" s="67"/>
      <c r="T34" s="80"/>
    </row>
    <row r="35" spans="2:20" ht="60" customHeight="1" x14ac:dyDescent="0.35">
      <c r="B35" s="39" t="s">
        <v>503</v>
      </c>
      <c r="C35" s="78"/>
      <c r="D35" s="79"/>
      <c r="E35" s="79" t="s">
        <v>21</v>
      </c>
      <c r="F35" s="79" t="str">
        <f>IF(E35&lt;&gt;"", IFERROR(VLOOKUP(E35, Dashboard!$B44:$F49, 5, FALSE), ""), "")</f>
        <v/>
      </c>
      <c r="G35" s="80"/>
      <c r="H35" s="67"/>
      <c r="I35" s="67"/>
      <c r="J35" s="80"/>
      <c r="K35" s="80"/>
      <c r="L35" s="41"/>
      <c r="M35" s="41"/>
      <c r="N35" s="80"/>
      <c r="O35" s="80"/>
      <c r="P35" s="41"/>
      <c r="Q35" s="41" t="s">
        <v>21</v>
      </c>
      <c r="R35" s="80"/>
      <c r="S35" s="67"/>
      <c r="T35" s="80"/>
    </row>
    <row r="36" spans="2:20" ht="60" customHeight="1" x14ac:dyDescent="0.35">
      <c r="B36" s="39" t="s">
        <v>504</v>
      </c>
      <c r="C36" s="78"/>
      <c r="D36" s="79"/>
      <c r="E36" s="79" t="s">
        <v>21</v>
      </c>
      <c r="F36" s="79" t="str">
        <f>IF(E36&lt;&gt;"", IFERROR(VLOOKUP(E36, Dashboard!$B44:$F49, 5, FALSE), ""), "")</f>
        <v/>
      </c>
      <c r="G36" s="80"/>
      <c r="H36" s="67"/>
      <c r="I36" s="67"/>
      <c r="J36" s="80"/>
      <c r="K36" s="80"/>
      <c r="L36" s="41"/>
      <c r="M36" s="41"/>
      <c r="N36" s="80"/>
      <c r="O36" s="80"/>
      <c r="P36" s="41"/>
      <c r="Q36" s="41" t="s">
        <v>21</v>
      </c>
      <c r="R36" s="80"/>
      <c r="S36" s="67"/>
      <c r="T36" s="80"/>
    </row>
    <row r="37" spans="2:20" ht="60" customHeight="1" x14ac:dyDescent="0.35">
      <c r="B37" s="39" t="s">
        <v>505</v>
      </c>
      <c r="C37" s="78"/>
      <c r="D37" s="79"/>
      <c r="E37" s="79" t="s">
        <v>21</v>
      </c>
      <c r="F37" s="79" t="str">
        <f>IF(E37&lt;&gt;"", IFERROR(VLOOKUP(E37, Dashboard!$B44:$F49, 5, FALSE), ""), "")</f>
        <v/>
      </c>
      <c r="G37" s="80"/>
      <c r="H37" s="67"/>
      <c r="I37" s="67"/>
      <c r="J37" s="80"/>
      <c r="K37" s="80"/>
      <c r="L37" s="41"/>
      <c r="M37" s="41"/>
      <c r="N37" s="80"/>
      <c r="O37" s="80"/>
      <c r="P37" s="41"/>
      <c r="Q37" s="41" t="s">
        <v>21</v>
      </c>
      <c r="R37" s="80"/>
      <c r="S37" s="67"/>
      <c r="T37" s="80"/>
    </row>
    <row r="38" spans="2:20" ht="60" customHeight="1" x14ac:dyDescent="0.35">
      <c r="B38" s="39" t="s">
        <v>506</v>
      </c>
      <c r="C38" s="78"/>
      <c r="D38" s="79"/>
      <c r="E38" s="79" t="s">
        <v>21</v>
      </c>
      <c r="F38" s="79" t="str">
        <f>IF(E38&lt;&gt;"", IFERROR(VLOOKUP(E38, Dashboard!$B44:$F49, 5, FALSE), ""), "")</f>
        <v/>
      </c>
      <c r="G38" s="80"/>
      <c r="H38" s="67"/>
      <c r="I38" s="67"/>
      <c r="J38" s="80"/>
      <c r="K38" s="80"/>
      <c r="L38" s="41"/>
      <c r="M38" s="41"/>
      <c r="N38" s="80"/>
      <c r="O38" s="80"/>
      <c r="P38" s="41"/>
      <c r="Q38" s="41" t="s">
        <v>21</v>
      </c>
      <c r="R38" s="80"/>
      <c r="S38" s="67"/>
      <c r="T38" s="80"/>
    </row>
    <row r="39" spans="2:20" ht="60" customHeight="1" x14ac:dyDescent="0.35">
      <c r="B39" s="39" t="s">
        <v>507</v>
      </c>
      <c r="C39" s="78"/>
      <c r="D39" s="79"/>
      <c r="E39" s="79" t="s">
        <v>21</v>
      </c>
      <c r="F39" s="79" t="str">
        <f>IF(E39&lt;&gt;"", IFERROR(VLOOKUP(E39, Dashboard!$B44:$F49, 5, FALSE), ""), "")</f>
        <v/>
      </c>
      <c r="G39" s="80"/>
      <c r="H39" s="67"/>
      <c r="I39" s="67"/>
      <c r="J39" s="80"/>
      <c r="K39" s="80"/>
      <c r="L39" s="41"/>
      <c r="M39" s="41"/>
      <c r="N39" s="80"/>
      <c r="O39" s="80"/>
      <c r="P39" s="41"/>
      <c r="Q39" s="41" t="s">
        <v>21</v>
      </c>
      <c r="R39" s="80"/>
      <c r="S39" s="67"/>
      <c r="T39" s="80"/>
    </row>
    <row r="40" spans="2:20" ht="60" customHeight="1" x14ac:dyDescent="0.35">
      <c r="B40" s="39" t="s">
        <v>508</v>
      </c>
      <c r="C40" s="78"/>
      <c r="D40" s="79"/>
      <c r="E40" s="79" t="s">
        <v>21</v>
      </c>
      <c r="F40" s="79" t="str">
        <f>IF(E40&lt;&gt;"", IFERROR(VLOOKUP(E40, Dashboard!$B44:$F49, 5, FALSE), ""), "")</f>
        <v/>
      </c>
      <c r="G40" s="80"/>
      <c r="H40" s="67"/>
      <c r="I40" s="67"/>
      <c r="J40" s="80"/>
      <c r="K40" s="80"/>
      <c r="L40" s="41"/>
      <c r="M40" s="41"/>
      <c r="N40" s="80"/>
      <c r="O40" s="80"/>
      <c r="P40" s="41"/>
      <c r="Q40" s="41" t="s">
        <v>21</v>
      </c>
      <c r="R40" s="80"/>
      <c r="S40" s="67"/>
      <c r="T40" s="80"/>
    </row>
    <row r="41" spans="2:20" ht="60" customHeight="1" x14ac:dyDescent="0.35">
      <c r="B41" s="39" t="s">
        <v>509</v>
      </c>
      <c r="C41" s="78"/>
      <c r="D41" s="79"/>
      <c r="E41" s="79" t="s">
        <v>21</v>
      </c>
      <c r="F41" s="79" t="str">
        <f>IF(E41&lt;&gt;"", IFERROR(VLOOKUP(E41, Dashboard!$B44:$F49, 5, FALSE), ""), "")</f>
        <v/>
      </c>
      <c r="G41" s="80"/>
      <c r="H41" s="67"/>
      <c r="I41" s="67"/>
      <c r="J41" s="80"/>
      <c r="K41" s="80"/>
      <c r="L41" s="41"/>
      <c r="M41" s="41"/>
      <c r="N41" s="80"/>
      <c r="O41" s="80"/>
      <c r="P41" s="41"/>
      <c r="Q41" s="41" t="s">
        <v>21</v>
      </c>
      <c r="R41" s="80"/>
      <c r="S41" s="67"/>
      <c r="T41" s="80"/>
    </row>
    <row r="42" spans="2:20" ht="60" customHeight="1" x14ac:dyDescent="0.35">
      <c r="B42" s="39" t="s">
        <v>510</v>
      </c>
      <c r="C42" s="78"/>
      <c r="D42" s="79"/>
      <c r="E42" s="79" t="s">
        <v>21</v>
      </c>
      <c r="F42" s="79" t="str">
        <f>IF(E42&lt;&gt;"", IFERROR(VLOOKUP(E42, Dashboard!$B44:$F49, 5, FALSE), ""), "")</f>
        <v/>
      </c>
      <c r="G42" s="80"/>
      <c r="H42" s="67"/>
      <c r="I42" s="67"/>
      <c r="J42" s="80"/>
      <c r="K42" s="80"/>
      <c r="L42" s="41"/>
      <c r="M42" s="41"/>
      <c r="N42" s="80"/>
      <c r="O42" s="80"/>
      <c r="P42" s="41"/>
      <c r="Q42" s="41" t="s">
        <v>21</v>
      </c>
      <c r="R42" s="80"/>
      <c r="S42" s="67"/>
      <c r="T42" s="80"/>
    </row>
    <row r="43" spans="2:20" ht="60" customHeight="1" x14ac:dyDescent="0.35">
      <c r="B43" s="39" t="s">
        <v>511</v>
      </c>
      <c r="C43" s="78"/>
      <c r="D43" s="79"/>
      <c r="E43" s="79" t="s">
        <v>21</v>
      </c>
      <c r="F43" s="79" t="str">
        <f>IF(E43&lt;&gt;"", IFERROR(VLOOKUP(E43, Dashboard!$B44:$F49, 5, FALSE), ""), "")</f>
        <v/>
      </c>
      <c r="G43" s="80"/>
      <c r="H43" s="67"/>
      <c r="I43" s="67"/>
      <c r="J43" s="80"/>
      <c r="K43" s="80"/>
      <c r="L43" s="41"/>
      <c r="M43" s="41"/>
      <c r="N43" s="80"/>
      <c r="O43" s="80"/>
      <c r="P43" s="41"/>
      <c r="Q43" s="41" t="s">
        <v>21</v>
      </c>
      <c r="R43" s="80"/>
      <c r="S43" s="67"/>
      <c r="T43" s="80"/>
    </row>
    <row r="44" spans="2:20" ht="60" customHeight="1" x14ac:dyDescent="0.35">
      <c r="B44" s="39" t="s">
        <v>512</v>
      </c>
      <c r="C44" s="78"/>
      <c r="D44" s="79"/>
      <c r="E44" s="79" t="s">
        <v>21</v>
      </c>
      <c r="F44" s="79" t="str">
        <f>IF(E44&lt;&gt;"", IFERROR(VLOOKUP(E44, Dashboard!$B44:$F49, 5, FALSE), ""), "")</f>
        <v/>
      </c>
      <c r="G44" s="80"/>
      <c r="H44" s="67"/>
      <c r="I44" s="67"/>
      <c r="J44" s="80"/>
      <c r="K44" s="80"/>
      <c r="L44" s="41"/>
      <c r="M44" s="41"/>
      <c r="N44" s="80"/>
      <c r="O44" s="80"/>
      <c r="P44" s="41"/>
      <c r="Q44" s="41" t="s">
        <v>21</v>
      </c>
      <c r="R44" s="80"/>
      <c r="S44" s="67"/>
      <c r="T44" s="80"/>
    </row>
    <row r="45" spans="2:20" ht="60" customHeight="1" x14ac:dyDescent="0.35">
      <c r="B45" s="39" t="s">
        <v>513</v>
      </c>
      <c r="C45" s="78"/>
      <c r="D45" s="79"/>
      <c r="E45" s="79" t="s">
        <v>21</v>
      </c>
      <c r="F45" s="79" t="str">
        <f>IF(E45&lt;&gt;"", IFERROR(VLOOKUP(E45, Dashboard!$B44:$F49, 5, FALSE), ""), "")</f>
        <v/>
      </c>
      <c r="G45" s="80"/>
      <c r="H45" s="67"/>
      <c r="I45" s="67"/>
      <c r="J45" s="80"/>
      <c r="K45" s="80"/>
      <c r="L45" s="41"/>
      <c r="M45" s="41"/>
      <c r="N45" s="80"/>
      <c r="O45" s="80"/>
      <c r="P45" s="41"/>
      <c r="Q45" s="41" t="s">
        <v>21</v>
      </c>
      <c r="R45" s="80"/>
      <c r="S45" s="67"/>
      <c r="T45" s="80"/>
    </row>
    <row r="46" spans="2:20" ht="60" customHeight="1" x14ac:dyDescent="0.35">
      <c r="B46" s="39" t="s">
        <v>514</v>
      </c>
      <c r="C46" s="78"/>
      <c r="D46" s="79"/>
      <c r="E46" s="79" t="s">
        <v>21</v>
      </c>
      <c r="F46" s="79" t="str">
        <f>IF(E46&lt;&gt;"", IFERROR(VLOOKUP(E46, Dashboard!$B44:$F49, 5, FALSE), ""), "")</f>
        <v/>
      </c>
      <c r="G46" s="80"/>
      <c r="H46" s="67"/>
      <c r="I46" s="67"/>
      <c r="J46" s="80"/>
      <c r="K46" s="80"/>
      <c r="L46" s="41"/>
      <c r="M46" s="41"/>
      <c r="N46" s="80"/>
      <c r="O46" s="80"/>
      <c r="P46" s="41"/>
      <c r="Q46" s="41" t="s">
        <v>21</v>
      </c>
      <c r="R46" s="80"/>
      <c r="S46" s="67"/>
      <c r="T46" s="80"/>
    </row>
    <row r="47" spans="2:20" ht="60" customHeight="1" x14ac:dyDescent="0.35">
      <c r="B47" s="39" t="s">
        <v>515</v>
      </c>
      <c r="C47" s="78"/>
      <c r="D47" s="79"/>
      <c r="E47" s="79" t="s">
        <v>21</v>
      </c>
      <c r="F47" s="79" t="str">
        <f>IF(E47&lt;&gt;"", IFERROR(VLOOKUP(E47, Dashboard!$B44:$F49, 5, FALSE), ""), "")</f>
        <v/>
      </c>
      <c r="G47" s="80"/>
      <c r="H47" s="67"/>
      <c r="I47" s="67"/>
      <c r="J47" s="80"/>
      <c r="K47" s="80"/>
      <c r="L47" s="41"/>
      <c r="M47" s="41"/>
      <c r="N47" s="80"/>
      <c r="O47" s="80"/>
      <c r="P47" s="41"/>
      <c r="Q47" s="41" t="s">
        <v>21</v>
      </c>
      <c r="R47" s="80"/>
      <c r="S47" s="67"/>
      <c r="T47" s="80"/>
    </row>
    <row r="48" spans="2:20" ht="60" customHeight="1" x14ac:dyDescent="0.35">
      <c r="B48" s="39" t="s">
        <v>516</v>
      </c>
      <c r="C48" s="78"/>
      <c r="D48" s="79"/>
      <c r="E48" s="79" t="s">
        <v>21</v>
      </c>
      <c r="F48" s="79" t="str">
        <f>IF(E48&lt;&gt;"", IFERROR(VLOOKUP(E48, Dashboard!$B44:$F49, 5, FALSE), ""), "")</f>
        <v/>
      </c>
      <c r="G48" s="80"/>
      <c r="H48" s="67"/>
      <c r="I48" s="67"/>
      <c r="J48" s="80"/>
      <c r="K48" s="80"/>
      <c r="L48" s="41"/>
      <c r="M48" s="41"/>
      <c r="N48" s="80"/>
      <c r="O48" s="80"/>
      <c r="P48" s="41"/>
      <c r="Q48" s="41" t="s">
        <v>21</v>
      </c>
      <c r="R48" s="80"/>
      <c r="S48" s="67"/>
      <c r="T48" s="80"/>
    </row>
    <row r="49" spans="2:20" ht="60" customHeight="1" x14ac:dyDescent="0.35">
      <c r="B49" s="39" t="s">
        <v>517</v>
      </c>
      <c r="C49" s="78"/>
      <c r="D49" s="79"/>
      <c r="E49" s="79" t="s">
        <v>21</v>
      </c>
      <c r="F49" s="79" t="str">
        <f>IF(E49&lt;&gt;"", IFERROR(VLOOKUP(E49, Dashboard!$B44:$F49, 5, FALSE), ""), "")</f>
        <v/>
      </c>
      <c r="G49" s="80"/>
      <c r="H49" s="67"/>
      <c r="I49" s="67"/>
      <c r="J49" s="80"/>
      <c r="K49" s="80"/>
      <c r="L49" s="41"/>
      <c r="M49" s="41"/>
      <c r="N49" s="80"/>
      <c r="O49" s="80"/>
      <c r="P49" s="41"/>
      <c r="Q49" s="41" t="s">
        <v>21</v>
      </c>
      <c r="R49" s="80"/>
      <c r="S49" s="67"/>
      <c r="T49" s="80"/>
    </row>
    <row r="50" spans="2:20" ht="60" customHeight="1" x14ac:dyDescent="0.35">
      <c r="B50" s="39" t="s">
        <v>518</v>
      </c>
      <c r="C50" s="78"/>
      <c r="D50" s="79"/>
      <c r="E50" s="79" t="s">
        <v>21</v>
      </c>
      <c r="F50" s="79" t="str">
        <f>IF(E50&lt;&gt;"", IFERROR(VLOOKUP(E50, Dashboard!$B44:$F49, 5, FALSE), ""), "")</f>
        <v/>
      </c>
      <c r="G50" s="80"/>
      <c r="H50" s="67"/>
      <c r="I50" s="67"/>
      <c r="J50" s="80"/>
      <c r="K50" s="80"/>
      <c r="L50" s="41"/>
      <c r="M50" s="41"/>
      <c r="N50" s="80"/>
      <c r="O50" s="80"/>
      <c r="P50" s="41"/>
      <c r="Q50" s="41" t="s">
        <v>21</v>
      </c>
      <c r="R50" s="80"/>
      <c r="S50" s="67"/>
      <c r="T50" s="80"/>
    </row>
    <row r="51" spans="2:20" ht="60" customHeight="1" x14ac:dyDescent="0.35">
      <c r="B51" s="39" t="s">
        <v>519</v>
      </c>
      <c r="C51" s="78"/>
      <c r="D51" s="79"/>
      <c r="E51" s="79" t="s">
        <v>21</v>
      </c>
      <c r="F51" s="79" t="str">
        <f>IF(E51&lt;&gt;"", IFERROR(VLOOKUP(E51, Dashboard!$B44:$F49, 5, FALSE), ""), "")</f>
        <v/>
      </c>
      <c r="G51" s="80"/>
      <c r="H51" s="67"/>
      <c r="I51" s="67"/>
      <c r="J51" s="80"/>
      <c r="K51" s="80"/>
      <c r="L51" s="41"/>
      <c r="M51" s="41"/>
      <c r="N51" s="80"/>
      <c r="O51" s="80"/>
      <c r="P51" s="41"/>
      <c r="Q51" s="41" t="s">
        <v>21</v>
      </c>
      <c r="R51" s="80"/>
      <c r="S51" s="67"/>
      <c r="T51" s="80"/>
    </row>
    <row r="52" spans="2:20" ht="60" customHeight="1" x14ac:dyDescent="0.35">
      <c r="B52" s="39" t="s">
        <v>520</v>
      </c>
      <c r="C52" s="78"/>
      <c r="D52" s="79"/>
      <c r="E52" s="79" t="s">
        <v>21</v>
      </c>
      <c r="F52" s="79" t="str">
        <f>IF(E52&lt;&gt;"", IFERROR(VLOOKUP(E52, Dashboard!$B44:$F49, 5, FALSE), ""), "")</f>
        <v/>
      </c>
      <c r="G52" s="80"/>
      <c r="H52" s="67"/>
      <c r="I52" s="67"/>
      <c r="J52" s="80"/>
      <c r="K52" s="80"/>
      <c r="L52" s="41"/>
      <c r="M52" s="41"/>
      <c r="N52" s="80"/>
      <c r="O52" s="80"/>
      <c r="P52" s="41"/>
      <c r="Q52" s="41" t="s">
        <v>21</v>
      </c>
      <c r="R52" s="80"/>
      <c r="S52" s="67"/>
      <c r="T52" s="80"/>
    </row>
    <row r="53" spans="2:20" ht="60" customHeight="1" x14ac:dyDescent="0.35">
      <c r="B53" s="39" t="s">
        <v>521</v>
      </c>
      <c r="C53" s="78"/>
      <c r="D53" s="79"/>
      <c r="E53" s="79" t="s">
        <v>21</v>
      </c>
      <c r="F53" s="79" t="str">
        <f>IF(E53&lt;&gt;"", IFERROR(VLOOKUP(E53, Dashboard!$B44:$F49, 5, FALSE), ""), "")</f>
        <v/>
      </c>
      <c r="G53" s="80"/>
      <c r="H53" s="67"/>
      <c r="I53" s="67"/>
      <c r="J53" s="80"/>
      <c r="K53" s="80"/>
      <c r="L53" s="41"/>
      <c r="M53" s="41"/>
      <c r="N53" s="80"/>
      <c r="O53" s="80"/>
      <c r="P53" s="41"/>
      <c r="Q53" s="41" t="s">
        <v>21</v>
      </c>
      <c r="R53" s="80"/>
      <c r="S53" s="67"/>
      <c r="T53" s="80"/>
    </row>
    <row r="54" spans="2:20" ht="60" customHeight="1" x14ac:dyDescent="0.35">
      <c r="B54" s="39" t="s">
        <v>522</v>
      </c>
      <c r="C54" s="78"/>
      <c r="D54" s="79"/>
      <c r="E54" s="79" t="s">
        <v>21</v>
      </c>
      <c r="F54" s="79" t="str">
        <f>IF(E54&lt;&gt;"", IFERROR(VLOOKUP(E54, Dashboard!$B44:$F49,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305</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Trend Micro TippingPoint Security Technical Implementation Guide - SHGIR</dc:title>
  <dc:subject>Generated on: 2026-06-08 15:04:10</dc:subject>
  <dc:creator>Anicet Fopa Tchoffo</dc:creator>
  <cp:keywords>Baseline;Hardening;DISA;STIG</cp:keywords>
  <dc:description>Baseline Developed By: Trend Micro and Defense Information Systems Agency (DISA) for the US DoD</dc:description>
  <cp:lastModifiedBy>Anicet Fopa Tchoffo</cp:lastModifiedBy>
  <dcterms:modified xsi:type="dcterms:W3CDTF">2026-06-08T14:04:17Z</dcterms:modified>
  <cp:category>DISA-STIG</cp:category>
  <cp:contentStatus>Draft</cp:contentStatus>
</cp:coreProperties>
</file>