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A770ECF0CC7D4D2BD939B3BFE1E67DEDA2EB765D" xr6:coauthVersionLast="47" xr6:coauthVersionMax="47" xr10:uidLastSave="{CD247C42-B7B9-4B25-BCBB-282DE683E3B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 i="1"/>
  <c r="M26" i="1"/>
  <c r="M25" i="1"/>
  <c r="M24" i="1"/>
  <c r="M23" i="1"/>
  <c r="M22" i="1"/>
  <c r="M21" i="1"/>
  <c r="M20" i="1"/>
  <c r="M19" i="1"/>
  <c r="M18" i="1"/>
  <c r="M17" i="1"/>
  <c r="M16" i="1"/>
  <c r="M15" i="1"/>
  <c r="M14" i="1"/>
  <c r="M13" i="1"/>
  <c r="M12" i="1"/>
  <c r="F125" i="3" s="1"/>
  <c r="M11" i="1"/>
  <c r="M10" i="1"/>
  <c r="M9" i="1"/>
  <c r="M8" i="1"/>
  <c r="M7" i="1"/>
  <c r="M6" i="1"/>
  <c r="M5" i="1"/>
  <c r="M4" i="1"/>
  <c r="M3" i="1"/>
  <c r="M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C8" i="3"/>
  <c r="D8" i="3" s="1"/>
  <c r="C7" i="3"/>
  <c r="D7" i="3" s="1"/>
  <c r="E113" i="3" l="1"/>
  <c r="D113" i="3"/>
  <c r="C113" i="3"/>
  <c r="E35" i="3"/>
  <c r="D35" i="3"/>
  <c r="C35" i="3"/>
  <c r="E94" i="3"/>
  <c r="D94" i="3"/>
  <c r="C94" i="3"/>
  <c r="E54" i="3"/>
  <c r="D54" i="3"/>
  <c r="C54" i="3"/>
  <c r="E53" i="3"/>
  <c r="C53" i="3"/>
  <c r="D53" i="3"/>
  <c r="E73" i="3"/>
  <c r="C73" i="3"/>
  <c r="D73" i="3"/>
  <c r="E110" i="3"/>
  <c r="D110" i="3"/>
  <c r="C110" i="3"/>
  <c r="E56" i="3"/>
  <c r="C56" i="3"/>
  <c r="D56" i="3"/>
  <c r="C72" i="3"/>
  <c r="E72" i="3"/>
  <c r="D72" i="3"/>
  <c r="G125" i="3"/>
  <c r="E34" i="3"/>
  <c r="D34" i="3"/>
  <c r="C34" i="3"/>
  <c r="C58" i="3"/>
  <c r="E58" i="3"/>
  <c r="D58" i="3"/>
  <c r="C55" i="3"/>
  <c r="E55" i="3"/>
  <c r="D55" i="3"/>
  <c r="C111" i="3"/>
  <c r="E111" i="3"/>
  <c r="D111" i="3"/>
  <c r="E112" i="3"/>
  <c r="D112" i="3"/>
  <c r="C112" i="3"/>
  <c r="F16" i="3"/>
  <c r="T138" i="3"/>
  <c r="T143" i="3"/>
  <c r="T148" i="3"/>
  <c r="T153" i="3"/>
  <c r="T158" i="3"/>
  <c r="T163" i="3"/>
  <c r="T168" i="3"/>
  <c r="V138" i="3"/>
  <c r="V143" i="3"/>
  <c r="V148" i="3"/>
  <c r="V153" i="3"/>
  <c r="V158" i="3"/>
  <c r="V163" i="3"/>
  <c r="V168" i="3"/>
  <c r="C57" i="3"/>
  <c r="C90" i="3"/>
  <c r="T139" i="3"/>
  <c r="T144" i="3"/>
  <c r="T149" i="3"/>
  <c r="T154" i="3"/>
  <c r="T159" i="3"/>
  <c r="T164"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T142" i="3"/>
  <c r="T147" i="3"/>
  <c r="T152" i="3"/>
  <c r="T157" i="3"/>
  <c r="T162" i="3"/>
  <c r="V142" i="3"/>
  <c r="V147" i="3"/>
  <c r="V152" i="3"/>
  <c r="V157" i="3"/>
  <c r="V162" i="3"/>
  <c r="R167" i="3" l="1"/>
  <c r="R162" i="3"/>
  <c r="R157" i="3"/>
  <c r="R152" i="3"/>
  <c r="R147" i="3"/>
  <c r="R142" i="3"/>
  <c r="D20" i="3"/>
  <c r="R166" i="3"/>
  <c r="R161" i="3"/>
  <c r="R156" i="3"/>
  <c r="R151" i="3"/>
  <c r="R146" i="3"/>
  <c r="R141" i="3"/>
  <c r="R165" i="3"/>
  <c r="R160" i="3"/>
  <c r="R155" i="3"/>
  <c r="R150" i="3"/>
  <c r="R145" i="3"/>
  <c r="R140" i="3"/>
  <c r="C20" i="3"/>
  <c r="E20" i="3"/>
  <c r="R164" i="3"/>
  <c r="R159" i="3"/>
  <c r="R154" i="3"/>
  <c r="R149" i="3"/>
  <c r="R144" i="3"/>
  <c r="R139" i="3"/>
  <c r="R168" i="3"/>
  <c r="R163" i="3"/>
  <c r="R158" i="3"/>
  <c r="R153" i="3"/>
  <c r="R148" i="3"/>
  <c r="R143" i="3"/>
  <c r="R138" i="3"/>
  <c r="X167" i="3"/>
  <c r="X162" i="3"/>
  <c r="X157" i="3"/>
  <c r="X152" i="3"/>
  <c r="X147" i="3"/>
  <c r="X142" i="3"/>
  <c r="X166" i="3"/>
  <c r="X161" i="3"/>
  <c r="X156" i="3"/>
  <c r="X151" i="3"/>
  <c r="X146" i="3"/>
  <c r="X141" i="3"/>
  <c r="D92" i="3"/>
  <c r="X165" i="3"/>
  <c r="X160" i="3"/>
  <c r="X155" i="3"/>
  <c r="X150" i="3"/>
  <c r="X145" i="3"/>
  <c r="X140" i="3"/>
  <c r="C92" i="3"/>
  <c r="X164" i="3"/>
  <c r="X159" i="3"/>
  <c r="X154" i="3"/>
  <c r="X149" i="3"/>
  <c r="X144" i="3"/>
  <c r="X139" i="3"/>
  <c r="E92" i="3"/>
  <c r="X168" i="3"/>
  <c r="X163" i="3"/>
  <c r="X158" i="3"/>
  <c r="X153" i="3"/>
  <c r="X148" i="3"/>
  <c r="X143" i="3"/>
  <c r="X138" i="3"/>
</calcChain>
</file>

<file path=xl/sharedStrings.xml><?xml version="1.0" encoding="utf-8"?>
<sst xmlns="http://schemas.openxmlformats.org/spreadsheetml/2006/main" count="855" uniqueCount="366">
  <si>
    <t>Id</t>
  </si>
  <si>
    <t>Title</t>
  </si>
  <si>
    <t>Severity</t>
  </si>
  <si>
    <t>Component</t>
  </si>
  <si>
    <t>MoSCoW</t>
  </si>
  <si>
    <t>OpsImpact</t>
  </si>
  <si>
    <t>Phase</t>
  </si>
  <si>
    <t>ImplStatus</t>
  </si>
  <si>
    <t>Notes</t>
  </si>
  <si>
    <t>Remediation</t>
  </si>
  <si>
    <t>Description</t>
  </si>
  <si>
    <t>Audit</t>
  </si>
  <si>
    <t>Status</t>
  </si>
  <si>
    <t>LogID</t>
  </si>
  <si>
    <t>V-92263</t>
  </si>
  <si>
    <r>
      <rPr>
        <sz val="11"/>
        <rFont val="Calibri"/>
      </rPr>
      <t>The SEL-2740S must uniquely identify all network-connected endpoint devices before establishing any connection.</t>
    </r>
  </si>
  <si>
    <t>CAT I (High)</t>
  </si>
  <si>
    <t>L2S</t>
  </si>
  <si>
    <t>Unassigned</t>
  </si>
  <si>
    <t>Unassessed</t>
  </si>
  <si>
    <t>Pending</t>
  </si>
  <si>
    <t/>
  </si>
  <si>
    <r>
      <rPr>
        <sz val="11"/>
        <color rgb="FF000000"/>
        <rFont val="Calibri"/>
      </rPr>
      <t>For adding an SEL-2740S Flow Rule to forward traffic, do the following:</t>
    </r>
    <r>
      <rPr>
        <sz val="11"/>
        <color rgb="FF000000"/>
        <rFont val="Calibri"/>
      </rPr>
      <t xml:space="preserve">
</t>
    </r>
    <r>
      <rPr>
        <sz val="11"/>
        <color rgb="FF000000"/>
        <rFont val="Calibri"/>
      </rPr>
      <t>1. Log in to OTSDN Controller using Permission Level 3.</t>
    </r>
    <r>
      <rPr>
        <sz val="11"/>
        <color rgb="FF000000"/>
        <rFont val="Calibri"/>
      </rPr>
      <t xml:space="preserve">
</t>
    </r>
    <r>
      <rPr>
        <sz val="11"/>
        <color rgb="FF000000"/>
        <rFont val="Calibri"/>
      </rPr>
      <t>2. Click "Flow Entries" in Navigation Menu.</t>
    </r>
    <r>
      <rPr>
        <sz val="11"/>
        <color rgb="FF000000"/>
        <rFont val="Calibri"/>
      </rPr>
      <t xml:space="preserve">
</t>
    </r>
    <r>
      <rPr>
        <sz val="11"/>
        <color rgb="FF000000"/>
        <rFont val="Calibri"/>
      </rPr>
      <t>3. Click "Add Flow" button.</t>
    </r>
    <r>
      <rPr>
        <sz val="11"/>
        <color rgb="FF000000"/>
        <rFont val="Calibri"/>
      </rPr>
      <t xml:space="preserve">
</t>
    </r>
    <r>
      <rPr>
        <sz val="11"/>
        <color rgb="FF000000"/>
        <rFont val="Calibri"/>
      </rPr>
      <t>4. Enter General Setting values for "Switch", "Enable".  Optional: Enter General Settings for "Table ID", "Priority", "Idle Timeout", and "Hard Timeout".</t>
    </r>
    <r>
      <rPr>
        <sz val="11"/>
        <color rgb="FF000000"/>
        <rFont val="Calibri"/>
      </rPr>
      <t xml:space="preserve">
</t>
    </r>
    <r>
      <rPr>
        <sz val="11"/>
        <color rgb="FF000000"/>
        <rFont val="Calibri"/>
      </rPr>
      <t>5. Depending on communication protocol behavior, enter appropriate Match Field values for "ARP Opcode" ("Request" or "Reply"), "ARP Source", "ARP Target", "Communication Service Type (CST) Match", "Ethernet Destination", "Ethernet Source", "Ethernet Type", "InPort", "IP Proto", "IPv4 Destination", "IPv4 Source", "TCP Destination", "TCP Source", "UDP Destination", "UDP Source", "VLAN Priority", and/or "VLAN Virtually ID".</t>
    </r>
    <r>
      <rPr>
        <sz val="11"/>
        <color rgb="FF000000"/>
        <rFont val="Calibri"/>
      </rPr>
      <t xml:space="preserve">
</t>
    </r>
    <r>
      <rPr>
        <sz val="11"/>
        <color rgb="FF000000"/>
        <rFont val="Calibri"/>
      </rPr>
      <t>6. Enter appropriate Write-Actions for "Pop VLAN ID", "Push VLAN ID", "Set VLAN ID", "Set VLAN Priority", "Set Queue", "Group by Alias or Value", and/or "Output by Alias or Value".</t>
    </r>
    <r>
      <rPr>
        <sz val="11"/>
        <color rgb="FF000000"/>
        <rFont val="Calibri"/>
      </rPr>
      <t xml:space="preserve">
</t>
    </r>
    <r>
      <rPr>
        <sz val="11"/>
        <color rgb="FF000000"/>
        <rFont val="Calibri"/>
      </rPr>
      <t>7. Click "Submit".</t>
    </r>
    <r>
      <rPr>
        <sz val="11"/>
        <color rgb="FF000000"/>
        <rFont val="Calibri"/>
      </rPr>
      <t xml:space="preserve">
</t>
    </r>
    <r>
      <rPr>
        <sz val="11"/>
        <color rgb="FF000000"/>
        <rFont val="Calibri"/>
      </rPr>
      <t>8. Repeat for every switch necessary.</t>
    </r>
  </si>
  <si>
    <r>
      <rPr>
        <sz val="11"/>
        <color rgb="FF000000"/>
        <rFont val="Calibri"/>
      </rPr>
      <t>Controlling LAN access via identification of connecting hosts can assist in preventing a malicious user from connecting an unauthorized PC to a switch port to inject or receive data from the network without detection.</t>
    </r>
  </si>
  <si>
    <r>
      <rPr>
        <sz val="11"/>
        <color rgb="FF000000"/>
        <rFont val="Calibri"/>
      </rPr>
      <t xml:space="preserve">Review SEL-2740S flow rules to ensure they contain the proper match criteria (MAC, IP, Port, SRC, DST, etc.) for the connected hosts restricting all other access to the network. </t>
    </r>
    <r>
      <rPr>
        <sz val="11"/>
        <color rgb="FF000000"/>
        <rFont val="Calibri"/>
      </rPr>
      <t xml:space="preserve">
</t>
    </r>
    <r>
      <rPr>
        <sz val="11"/>
        <color rgb="FF000000"/>
        <rFont val="Calibri"/>
      </rPr>
      <t>If the SEL-2740S is configured with flows with wildcard or unnecessary packet forwarding rules, this is a finding.</t>
    </r>
  </si>
  <si>
    <t>V-92277</t>
  </si>
  <si>
    <r>
      <rPr>
        <sz val="11"/>
        <rFont val="Calibri"/>
      </rPr>
      <t>The SEL-2740S must be configured to mitigate the risk of ARP cache poisoning attacks.</t>
    </r>
  </si>
  <si>
    <t>CAT II (Medium)</t>
  </si>
  <si>
    <r>
      <rPr>
        <sz val="11"/>
        <color rgb="FF000000"/>
        <rFont val="Calibri"/>
      </rPr>
      <t>Configure point-to-point ARP flow rules between every device that must communicate.</t>
    </r>
    <r>
      <rPr>
        <sz val="11"/>
        <color rgb="FF000000"/>
        <rFont val="Calibri"/>
      </rPr>
      <t xml:space="preserve">
</t>
    </r>
    <r>
      <rPr>
        <sz val="11"/>
        <color rgb="FF000000"/>
        <rFont val="Calibri"/>
      </rPr>
      <t>To add ARP flow rules on all packet forwarding,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Click "Flow Entries" in Navigation Menu.</t>
    </r>
    <r>
      <rPr>
        <sz val="11"/>
        <color rgb="FF000000"/>
        <rFont val="Calibri"/>
      </rPr>
      <t xml:space="preserve">
</t>
    </r>
    <r>
      <rPr>
        <sz val="11"/>
        <color rgb="FF000000"/>
        <rFont val="Calibri"/>
      </rPr>
      <t>3. Click "Add Flow" button.</t>
    </r>
    <r>
      <rPr>
        <sz val="11"/>
        <color rgb="FF000000"/>
        <rFont val="Calibri"/>
      </rPr>
      <t xml:space="preserve">
</t>
    </r>
    <r>
      <rPr>
        <sz val="11"/>
        <color rgb="FF000000"/>
        <rFont val="Calibri"/>
      </rPr>
      <t>4. Enter General setting values for "Switch", "Enable".  Optional: Enter General Settings for "Table ID", "Priority", "Idle Timeout", and "Hard Timeout".</t>
    </r>
    <r>
      <rPr>
        <sz val="11"/>
        <color rgb="FF000000"/>
        <rFont val="Calibri"/>
      </rPr>
      <t xml:space="preserve">
</t>
    </r>
    <r>
      <rPr>
        <sz val="11"/>
        <color rgb="FF000000"/>
        <rFont val="Calibri"/>
      </rPr>
      <t>5. Depending on communication protocol behavior, enter appropriate Match Field values for "ARP Opcode" ("Request" or "Reply"), "ARP Source", "ARP Target", "Communication Service Type (CST) Match", "Ethernet Destination", "Ethernet Source", "Ethernet Type", "InPort", "IP Proto", "IPv4 Destination", "IPv4 Source", "TCP Destination", "TCP Source", "UDP Destination", "UDP Source", "VLAN Priority", and/or "VLAN Virtually ID".</t>
    </r>
    <r>
      <rPr>
        <sz val="11"/>
        <color rgb="FF000000"/>
        <rFont val="Calibri"/>
      </rPr>
      <t xml:space="preserve">
</t>
    </r>
    <r>
      <rPr>
        <sz val="11"/>
        <color rgb="FF000000"/>
        <rFont val="Calibri"/>
      </rPr>
      <t>6. Enter appropriate Write-Actions for "Pop VLAN ID", "Push VLAN ID", "Set VLAN ID", "Set VLAN Priority", "Set Queue", "Group by Alias or Value", and/or "Output by Alias or Value".</t>
    </r>
    <r>
      <rPr>
        <sz val="11"/>
        <color rgb="FF000000"/>
        <rFont val="Calibri"/>
      </rPr>
      <t xml:space="preserve">
</t>
    </r>
    <r>
      <rPr>
        <sz val="11"/>
        <color rgb="FF000000"/>
        <rFont val="Calibri"/>
      </rPr>
      <t>7. Click "Submit".</t>
    </r>
  </si>
  <si>
    <r>
      <rPr>
        <sz val="11"/>
        <color rgb="FF000000"/>
        <rFont val="Calibri"/>
      </rPr>
      <t>The SEL-2740S must deter ARP cache poisoning attacks and configure the specific ARP flows that are only necessary to the control system network.</t>
    </r>
  </si>
  <si>
    <r>
      <rPr>
        <sz val="11"/>
        <color rgb="FF000000"/>
        <rFont val="Calibri"/>
      </rPr>
      <t>Review SEL-2740S ARP flow rules between hosts and ensure they are necessary for the additional flow rules that exist for communications between hosts.</t>
    </r>
    <r>
      <rPr>
        <sz val="11"/>
        <color rgb="FF000000"/>
        <rFont val="Calibri"/>
      </rPr>
      <t xml:space="preserve">
</t>
    </r>
    <r>
      <rPr>
        <sz val="11"/>
        <color rgb="FF000000"/>
        <rFont val="Calibri"/>
      </rPr>
      <t>Note: Necessary flows are all ARPs between valid and authorized hosts that should be allowed to talk to each other and the physical path those circuits are allowed to talk.</t>
    </r>
    <r>
      <rPr>
        <sz val="11"/>
        <color rgb="FF000000"/>
        <rFont val="Calibri"/>
      </rPr>
      <t xml:space="preserve">
</t>
    </r>
    <r>
      <rPr>
        <sz val="11"/>
        <color rgb="FF000000"/>
        <rFont val="Calibri"/>
      </rPr>
      <t>If the SEL-2740S is configured with wildcard packet forwarding flows that are not for Security Information and Event Manager (SIEM) or unnecessary rules, this is a finding.</t>
    </r>
  </si>
  <si>
    <t>V-92279</t>
  </si>
  <si>
    <r>
      <rPr>
        <sz val="11"/>
        <rFont val="Calibri"/>
      </rPr>
      <t>The SEL-2740S must be configured to capture all packets without flow rule match criteria.</t>
    </r>
  </si>
  <si>
    <r>
      <rPr>
        <sz val="11"/>
        <color rgb="FF000000"/>
        <rFont val="Calibri"/>
      </rPr>
      <t>To configure to capture all packets without flow rule match criteria,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Click "Flow Entries" in Navigation Menu.</t>
    </r>
    <r>
      <rPr>
        <sz val="11"/>
        <color rgb="FF000000"/>
        <rFont val="Calibri"/>
      </rPr>
      <t xml:space="preserve">
</t>
    </r>
    <r>
      <rPr>
        <sz val="11"/>
        <color rgb="FF000000"/>
        <rFont val="Calibri"/>
      </rPr>
      <t>3. Click "Add Flow" button.</t>
    </r>
    <r>
      <rPr>
        <sz val="11"/>
        <color rgb="FF000000"/>
        <rFont val="Calibri"/>
      </rPr>
      <t xml:space="preserve">
</t>
    </r>
    <r>
      <rPr>
        <sz val="11"/>
        <color rgb="FF000000"/>
        <rFont val="Calibri"/>
      </rPr>
      <t>4. Enter a "no match" flow rule for given ports.</t>
    </r>
    <r>
      <rPr>
        <sz val="11"/>
        <color rgb="FF000000"/>
        <rFont val="Calibri"/>
      </rPr>
      <t xml:space="preserve">
</t>
    </r>
    <r>
      <rPr>
        <sz val="11"/>
        <color rgb="FF000000"/>
        <rFont val="Calibri"/>
      </rPr>
      <t>5. Click "Submit".</t>
    </r>
  </si>
  <si>
    <r>
      <rPr>
        <sz val="11"/>
        <color rgb="FF000000"/>
        <rFont val="Calibri"/>
      </rPr>
      <t>The OTSDN switch must be capable of capturing frames that are not engineered to be in the network and send them to a Security Information and Event Manager (SIEM) or midpoint sensor for analysis.</t>
    </r>
  </si>
  <si>
    <r>
      <rPr>
        <sz val="11"/>
        <color rgb="FF000000"/>
        <rFont val="Calibri"/>
      </rPr>
      <t xml:space="preserve">Review the SEL-2740S to ensure that the "no match criteria" rule is set to capture the packet for analysis as a possible injection or intrusion. </t>
    </r>
    <r>
      <rPr>
        <sz val="11"/>
        <color rgb="FF000000"/>
        <rFont val="Calibri"/>
      </rPr>
      <t xml:space="preserve">
</t>
    </r>
    <r>
      <rPr>
        <sz val="11"/>
        <color rgb="FF000000"/>
        <rFont val="Calibri"/>
      </rPr>
      <t>If the SEL-2740S is not configured to with the "no match criteria" rules for the Security Information and Event Manager (SIEM), this is a finding.</t>
    </r>
  </si>
  <si>
    <t>V-92281</t>
  </si>
  <si>
    <r>
      <rPr>
        <sz val="11"/>
        <rFont val="Calibri"/>
      </rPr>
      <t>The SEL-2740S must be configured with backup flows for all host and switch flows to ensure proper failover scheme is in place for the network.</t>
    </r>
  </si>
  <si>
    <r>
      <rPr>
        <sz val="11"/>
        <color rgb="FF000000"/>
        <rFont val="Calibri"/>
      </rPr>
      <t>To configure a Fast Failover Group for a given flow,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Under Group Entry General settings, select "Group ID" and "Group Type" as "Fast Failover".</t>
    </r>
    <r>
      <rPr>
        <sz val="11"/>
        <color rgb="FF000000"/>
        <rFont val="Calibri"/>
      </rPr>
      <t xml:space="preserve">
</t>
    </r>
    <r>
      <rPr>
        <sz val="11"/>
        <color rgb="FF000000"/>
        <rFont val="Calibri"/>
      </rPr>
      <t>3. Select appropriate number of Action Buckets dependent upon use case.</t>
    </r>
    <r>
      <rPr>
        <sz val="11"/>
        <color rgb="FF000000"/>
        <rFont val="Calibri"/>
      </rPr>
      <t xml:space="preserve">
</t>
    </r>
    <r>
      <rPr>
        <sz val="11"/>
        <color rgb="FF000000"/>
        <rFont val="Calibri"/>
      </rPr>
      <t>4. Determine valid watch port or group, and select supported actions.</t>
    </r>
    <r>
      <rPr>
        <sz val="11"/>
        <color rgb="FF000000"/>
        <rFont val="Calibri"/>
      </rPr>
      <t xml:space="preserve">
</t>
    </r>
    <r>
      <rPr>
        <sz val="11"/>
        <color rgb="FF000000"/>
        <rFont val="Calibri"/>
      </rPr>
      <t>5. Click "Submit".</t>
    </r>
  </si>
  <si>
    <r>
      <rPr>
        <sz val="11"/>
        <color rgb="FF000000"/>
        <rFont val="Calibri"/>
      </rPr>
      <t>The SEL-2740S must be capable of multiple fast failover, backup and in cases isolation of the traffic from a detected threat in the system.</t>
    </r>
  </si>
  <si>
    <r>
      <rPr>
        <sz val="11"/>
        <color rgb="FF000000"/>
        <rFont val="Calibri"/>
      </rPr>
      <t>Review the SEL-2740S flow rules to ensure each flow has a Fast Failover Group configured.</t>
    </r>
    <r>
      <rPr>
        <sz val="11"/>
        <color rgb="FF000000"/>
        <rFont val="Calibri"/>
      </rPr>
      <t xml:space="preserve">
</t>
    </r>
    <r>
      <rPr>
        <sz val="11"/>
        <color rgb="FF000000"/>
        <rFont val="Calibri"/>
      </rPr>
      <t>If the switch is not configured to provide backup flows, this is a finding.</t>
    </r>
  </si>
  <si>
    <t>V-92283</t>
  </si>
  <si>
    <r>
      <rPr>
        <sz val="11"/>
        <rFont val="Calibri"/>
      </rPr>
      <t>The SEL-2740S must be configured to forward only frames from allowed network-connected endpoint devices.</t>
    </r>
  </si>
  <si>
    <r>
      <rPr>
        <sz val="11"/>
        <color rgb="FF000000"/>
        <rFont val="Calibri"/>
      </rPr>
      <t>Ensure only authentic allowed traffic by creating flow rules to restrict protocol, source, and destination of information.</t>
    </r>
    <r>
      <rPr>
        <sz val="11"/>
        <color rgb="FF000000"/>
        <rFont val="Calibri"/>
      </rPr>
      <t xml:space="preserve">
</t>
    </r>
    <r>
      <rPr>
        <sz val="11"/>
        <color rgb="FF000000"/>
        <rFont val="Calibri"/>
      </rPr>
      <t>For adding an SEL-2740S Flow Rule to forward traffic,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Click "Flow Entries" in Navigation Menu.</t>
    </r>
    <r>
      <rPr>
        <sz val="11"/>
        <color rgb="FF000000"/>
        <rFont val="Calibri"/>
      </rPr>
      <t xml:space="preserve">
</t>
    </r>
    <r>
      <rPr>
        <sz val="11"/>
        <color rgb="FF000000"/>
        <rFont val="Calibri"/>
      </rPr>
      <t>3. Click "Add Flow" button.</t>
    </r>
    <r>
      <rPr>
        <sz val="11"/>
        <color rgb="FF000000"/>
        <rFont val="Calibri"/>
      </rPr>
      <t xml:space="preserve">
</t>
    </r>
    <r>
      <rPr>
        <sz val="11"/>
        <color rgb="FF000000"/>
        <rFont val="Calibri"/>
      </rPr>
      <t>4. Enter General settings values for "Switch", "Enable".  Optional: Enter General Settings for "Table ID", "Priority", "Idle Timeout", and "Hard Timeout".</t>
    </r>
    <r>
      <rPr>
        <sz val="11"/>
        <color rgb="FF000000"/>
        <rFont val="Calibri"/>
      </rPr>
      <t xml:space="preserve">
</t>
    </r>
    <r>
      <rPr>
        <sz val="11"/>
        <color rgb="FF000000"/>
        <rFont val="Calibri"/>
      </rPr>
      <t>5. Depending on communication protocol behavior, enter appropriate Match Field values for "ARP Opcode" ("Request" or "Reply"), "ARP Source", "ARP Target", "Communication Service Type (CST) Match", "Ethernet Destination", "Ethernet Source", "Ethernet Type", "InPort", "IP Proto", "IPv4 Destination", "IPv4 Source", "TCP Destination", "TCP Source", "UDP Destination", "UDP Source", "VLAN Priority", and/or "VLAN Virtually ID".</t>
    </r>
    <r>
      <rPr>
        <sz val="11"/>
        <color rgb="FF000000"/>
        <rFont val="Calibri"/>
      </rPr>
      <t xml:space="preserve">
</t>
    </r>
    <r>
      <rPr>
        <sz val="11"/>
        <color rgb="FF000000"/>
        <rFont val="Calibri"/>
      </rPr>
      <t>6. Enter appropriate Write-Actions for "Pop VLAN ID", "Push VLAN ID", "Set VLAN ID", "Set VLAN Priority", "Set Queue", "Group by Alias or Value", and/or "Output by Alias or Value".</t>
    </r>
    <r>
      <rPr>
        <sz val="11"/>
        <color rgb="FF000000"/>
        <rFont val="Calibri"/>
      </rPr>
      <t xml:space="preserve">
</t>
    </r>
    <r>
      <rPr>
        <sz val="11"/>
        <color rgb="FF000000"/>
        <rFont val="Calibri"/>
      </rPr>
      <t>7. Click "Submit".</t>
    </r>
  </si>
  <si>
    <r>
      <rPr>
        <sz val="11"/>
        <color rgb="FF000000"/>
        <rFont val="Calibri"/>
      </rPr>
      <t>By only allowing frames to be forwarded from known end-points mitigates risks associated with broadcast, unknown unicast, and multicast traffic storms.</t>
    </r>
  </si>
  <si>
    <r>
      <rPr>
        <sz val="11"/>
        <color rgb="FF000000"/>
        <rFont val="Calibri"/>
      </rPr>
      <t>To ensure only allowed traffic is being forwarded through the device, check the flow rules for source and destination information on each connected device and port.</t>
    </r>
    <r>
      <rPr>
        <sz val="11"/>
        <color rgb="FF000000"/>
        <rFont val="Calibri"/>
      </rPr>
      <t xml:space="preserve">
</t>
    </r>
    <r>
      <rPr>
        <sz val="11"/>
        <color rgb="FF000000"/>
        <rFont val="Calibri"/>
      </rPr>
      <t>If there are any flow rules that are not restrictive, this is a finding.</t>
    </r>
  </si>
  <si>
    <t>V-92291</t>
  </si>
  <si>
    <r>
      <rPr>
        <sz val="11"/>
        <rFont val="Calibri"/>
      </rPr>
      <t>The SEL-2740S must be configured to create log records for DoD-defined events.</t>
    </r>
  </si>
  <si>
    <t>NDM</t>
  </si>
  <si>
    <r>
      <rPr>
        <sz val="11"/>
        <color rgb="FF000000"/>
        <rFont val="Calibri"/>
      </rPr>
      <t>To configure the SEL-2740S to send logs to Syslog servers do the following:</t>
    </r>
    <r>
      <rPr>
        <sz val="11"/>
        <color rgb="FF000000"/>
        <rFont val="Calibri"/>
      </rPr>
      <t xml:space="preserve">
</t>
    </r>
    <r>
      <rPr>
        <sz val="11"/>
        <color rgb="FF000000"/>
        <rFont val="Calibri"/>
      </rPr>
      <t>1. Log in with Permission Level 3 right into parent OTSDN Controller.</t>
    </r>
    <r>
      <rPr>
        <sz val="11"/>
        <color rgb="FF000000"/>
        <rFont val="Calibri"/>
      </rPr>
      <t xml:space="preserve">
</t>
    </r>
    <r>
      <rPr>
        <sz val="11"/>
        <color rgb="FF000000"/>
        <rFont val="Calibri"/>
      </rPr>
      <t>2. Go to the "Configuration Objects" settings page and select the desired switch for SEL-2740S node.</t>
    </r>
    <r>
      <rPr>
        <sz val="11"/>
        <color rgb="FF000000"/>
        <rFont val="Calibri"/>
      </rPr>
      <t xml:space="preserve">
</t>
    </r>
    <r>
      <rPr>
        <sz val="11"/>
        <color rgb="FF000000"/>
        <rFont val="Calibri"/>
      </rPr>
      <t>3. Insert the Syslog log service and configure the settings with the desired Server IP addresses into the Syslog settings fields.</t>
    </r>
    <r>
      <rPr>
        <sz val="11"/>
        <color rgb="FF000000"/>
        <rFont val="Calibri"/>
      </rPr>
      <t xml:space="preserve">
</t>
    </r>
    <r>
      <rPr>
        <sz val="11"/>
        <color rgb="FF000000"/>
        <rFont val="Calibri"/>
      </rPr>
      <t>4. Create the flow rules necessary for Syslog.</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</si>
  <si>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process, module). Certain specific device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device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</si>
  <si>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Ensure SEL-2740S Syslog servers are configured by doing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Go to the "Configuration Objects" page and select the switch.</t>
    </r>
    <r>
      <rPr>
        <sz val="11"/>
        <color rgb="FF000000"/>
        <rFont val="Calibri"/>
      </rPr>
      <t xml:space="preserve">
</t>
    </r>
    <r>
      <rPr>
        <sz val="11"/>
        <color rgb="FF000000"/>
        <rFont val="Calibri"/>
      </rPr>
      <t>3. Check Syslog Server IP addresses are in the settings fields configured for the log services.</t>
    </r>
    <r>
      <rPr>
        <sz val="11"/>
        <color rgb="FF000000"/>
        <rFont val="Calibri"/>
      </rPr>
      <t xml:space="preserve">
</t>
    </r>
    <r>
      <rPr>
        <sz val="11"/>
        <color rgb="FF000000"/>
        <rFont val="Calibri"/>
      </rPr>
      <t>4. Check Syslog flows exist and are accurate for the SEL-2740S DUT and additional neighbor devices' flows exist and are correct.</t>
    </r>
    <r>
      <rPr>
        <sz val="11"/>
        <color rgb="FF000000"/>
        <rFont val="Calibri"/>
      </rPr>
      <t xml:space="preserve">
</t>
    </r>
    <r>
      <rPr>
        <sz val="11"/>
        <color rgb="FF000000"/>
        <rFont val="Calibri"/>
      </rPr>
      <t>If the SEL-2740S is not configured with Syslog server entries to ensure auditability, this is a finding.</t>
    </r>
  </si>
  <si>
    <t>V-92293</t>
  </si>
  <si>
    <r>
      <rPr>
        <sz val="11"/>
        <rFont val="Calibri"/>
      </rPr>
      <t>The SEL-2740S must alert the ISSO and SA (at a minimum) in the event of an audit processing failure.</t>
    </r>
  </si>
  <si>
    <r>
      <rPr>
        <sz val="11"/>
        <color rgb="FF000000"/>
        <rFont val="Calibri"/>
      </rPr>
      <t>On commissioning the SEL-2740S, enter the IP address, subnet mask, flow controller IP address, default gateway, and host name. Select the severity level desired for the alarm contact in the log services for the configuration node.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</si>
  <si>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</si>
  <si>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 xml:space="preserve">Review the configuration node of the SEL-2740S in the flow controller and verify the alarm contact behavior is configured as a log service under All Categories in the configuration object for the desired switch.  </t>
    </r>
    <r>
      <rPr>
        <sz val="11"/>
        <color rgb="FF000000"/>
        <rFont val="Calibri"/>
      </rPr>
      <t xml:space="preserve">
</t>
    </r>
    <r>
      <rPr>
        <sz val="11"/>
        <color rgb="FF000000"/>
        <rFont val="Calibri"/>
      </rPr>
      <t>If the switch is not configured to alert the ISSO and SA in the event of an audit processing failure, this is a finding.</t>
    </r>
  </si>
  <si>
    <t>V-92295</t>
  </si>
  <si>
    <r>
      <rPr>
        <sz val="11"/>
        <rFont val="Calibri"/>
      </rPr>
      <t>The SEL-2740S must be configured to send log data to a Syslog server or collected by another parent OTSDN Controller.</t>
    </r>
  </si>
  <si>
    <r>
      <rPr>
        <sz val="11"/>
        <color rgb="FF000000"/>
        <rFont val="Calibri"/>
      </rPr>
      <t>To collect logs using the OTSDN controller, do the following:</t>
    </r>
    <r>
      <rPr>
        <sz val="11"/>
        <color rgb="FF000000"/>
        <rFont val="Calibri"/>
      </rPr>
      <t xml:space="preserve">
</t>
    </r>
    <r>
      <rPr>
        <sz val="11"/>
        <color rgb="FF000000"/>
        <rFont val="Calibri"/>
      </rPr>
      <t>1. Go to the "Log Settings" page.</t>
    </r>
    <r>
      <rPr>
        <sz val="11"/>
        <color rgb="FF000000"/>
        <rFont val="Calibri"/>
      </rPr>
      <t xml:space="preserve">
</t>
    </r>
    <r>
      <rPr>
        <sz val="11"/>
        <color rgb="FF000000"/>
        <rFont val="Calibri"/>
      </rPr>
      <t>2. Select the Primary entry in the Logging table.</t>
    </r>
    <r>
      <rPr>
        <sz val="11"/>
        <color rgb="FF000000"/>
        <rFont val="Calibri"/>
      </rPr>
      <t xml:space="preserve">
</t>
    </r>
    <r>
      <rPr>
        <sz val="11"/>
        <color rgb="FF000000"/>
        <rFont val="Calibri"/>
      </rPr>
      <t>3. Click the "Add" icon (A) in the "Log Services" pane.</t>
    </r>
    <r>
      <rPr>
        <sz val="11"/>
        <color rgb="FF000000"/>
        <rFont val="Calibri"/>
      </rPr>
      <t xml:space="preserve">
</t>
    </r>
    <r>
      <rPr>
        <sz val="11"/>
        <color rgb="FF000000"/>
        <rFont val="Calibri"/>
      </rPr>
      <t>4. Select Syslog Server (B) from the menu to display a new Syslog Server Log Service box.</t>
    </r>
    <r>
      <rPr>
        <sz val="11"/>
        <color rgb="FF000000"/>
        <rFont val="Calibri"/>
      </rPr>
      <t xml:space="preserve">
</t>
    </r>
    <r>
      <rPr>
        <sz val="11"/>
        <color rgb="FF000000"/>
        <rFont val="Calibri"/>
      </rPr>
      <t>5. Click the "Syslog Server" box to display a blue border around the box.</t>
    </r>
    <r>
      <rPr>
        <sz val="11"/>
        <color rgb="FF000000"/>
        <rFont val="Calibri"/>
      </rPr>
      <t xml:space="preserve">
</t>
    </r>
    <r>
      <rPr>
        <sz val="11"/>
        <color rgb="FF000000"/>
        <rFont val="Calibri"/>
      </rPr>
      <t>6. Enter Settings (1) through (4) in the appropriate boxes.</t>
    </r>
    <r>
      <rPr>
        <sz val="11"/>
        <color rgb="FF000000"/>
        <rFont val="Calibri"/>
      </rPr>
      <t xml:space="preserve">
</t>
    </r>
    <r>
      <rPr>
        <sz val="11"/>
        <color rgb="FF000000"/>
        <rFont val="Calibri"/>
      </rPr>
      <t>7. Click "Submit".</t>
    </r>
    <r>
      <rPr>
        <sz val="11"/>
        <color rgb="FF000000"/>
        <rFont val="Calibri"/>
      </rPr>
      <t xml:space="preserve">
</t>
    </r>
    <r>
      <rPr>
        <sz val="11"/>
        <color rgb="FF000000"/>
        <rFont val="Calibri"/>
      </rPr>
      <t>Use the OTSDN Controller to Syslog the events to a central Security Information and Event Manager (SIEM).</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To configure the SEL-2740S to send logs to a syslog server:</t>
    </r>
    <r>
      <rPr>
        <sz val="11"/>
        <color rgb="FF000000"/>
        <rFont val="Calibri"/>
      </rPr>
      <t xml:space="preserve">
</t>
    </r>
    <r>
      <rPr>
        <sz val="11"/>
        <color rgb="FF000000"/>
        <rFont val="Calibri"/>
      </rPr>
      <t>1. Go to the configuration object setting page.</t>
    </r>
    <r>
      <rPr>
        <sz val="11"/>
        <color rgb="FF000000"/>
        <rFont val="Calibri"/>
      </rPr>
      <t xml:space="preserve">
</t>
    </r>
    <r>
      <rPr>
        <sz val="11"/>
        <color rgb="FF000000"/>
        <rFont val="Calibri"/>
      </rPr>
      <t>2. Select syslog under the log services for the desired switch.</t>
    </r>
    <r>
      <rPr>
        <sz val="11"/>
        <color rgb="FF000000"/>
        <rFont val="Calibri"/>
      </rPr>
      <t xml:space="preserve">
</t>
    </r>
    <r>
      <rPr>
        <sz val="11"/>
        <color rgb="FF000000"/>
        <rFont val="Calibri"/>
      </rPr>
      <t>3. Enter the settings desired for the syslog server IP address and severity level to send to this destination.</t>
    </r>
    <r>
      <rPr>
        <sz val="11"/>
        <color rgb="FF000000"/>
        <rFont val="Calibri"/>
      </rPr>
      <t xml:space="preserve">
</t>
    </r>
    <r>
      <rPr>
        <sz val="11"/>
        <color rgb="FF000000"/>
        <rFont val="Calibri"/>
      </rPr>
      <t>4. Repeat for amount of desired log servers as the SEL-2740S supports up to three destinations.</t>
    </r>
    <r>
      <rPr>
        <sz val="11"/>
        <color rgb="FF000000"/>
        <rFont val="Calibri"/>
      </rPr>
      <t xml:space="preserve">
</t>
    </r>
    <r>
      <rPr>
        <sz val="11"/>
        <color rgb="FF000000"/>
        <rFont val="Calibri"/>
      </rPr>
      <t>To create the flow rule(s) for Syslog traffic:</t>
    </r>
    <r>
      <rPr>
        <sz val="11"/>
        <color rgb="FF000000"/>
        <rFont val="Calibri"/>
      </rPr>
      <t xml:space="preserve">
</t>
    </r>
    <r>
      <rPr>
        <sz val="11"/>
        <color rgb="FF000000"/>
        <rFont val="Calibri"/>
      </rPr>
      <t>1. Log in to OTSDN Controller with Permission Level 3.</t>
    </r>
    <r>
      <rPr>
        <sz val="11"/>
        <color rgb="FF000000"/>
        <rFont val="Calibri"/>
      </rPr>
      <t xml:space="preserve">
</t>
    </r>
    <r>
      <rPr>
        <sz val="11"/>
        <color rgb="FF000000"/>
        <rFont val="Calibri"/>
      </rPr>
      <t>2. Identify or create the Configuration Port to use for the path to Syslog Server.</t>
    </r>
    <r>
      <rPr>
        <sz val="11"/>
        <color rgb="FF000000"/>
        <rFont val="Calibri"/>
      </rPr>
      <t xml:space="preserve">
</t>
    </r>
    <r>
      <rPr>
        <sz val="11"/>
        <color rgb="FF000000"/>
        <rFont val="Calibri"/>
      </rPr>
      <t>3. Identify or create the Configuration Link to use for the path to Syslog Server.</t>
    </r>
    <r>
      <rPr>
        <sz val="11"/>
        <color rgb="FF000000"/>
        <rFont val="Calibri"/>
      </rPr>
      <t xml:space="preserve">
</t>
    </r>
    <r>
      <rPr>
        <sz val="11"/>
        <color rgb="FF000000"/>
        <rFont val="Calibri"/>
      </rPr>
      <t>Create the Flow Rule for the SEL-2740S' Syslog traffic:</t>
    </r>
    <r>
      <rPr>
        <sz val="11"/>
        <color rgb="FF000000"/>
        <rFont val="Calibri"/>
      </rPr>
      <t xml:space="preserve">
</t>
    </r>
    <r>
      <rPr>
        <sz val="11"/>
        <color rgb="FF000000"/>
        <rFont val="Calibri"/>
      </rPr>
      <t>1. Click "Flow Entries" in Navigation Menu.</t>
    </r>
    <r>
      <rPr>
        <sz val="11"/>
        <color rgb="FF000000"/>
        <rFont val="Calibri"/>
      </rPr>
      <t xml:space="preserve">
</t>
    </r>
    <r>
      <rPr>
        <sz val="11"/>
        <color rgb="FF000000"/>
        <rFont val="Calibri"/>
      </rPr>
      <t>2. Click "Add Flow" button.</t>
    </r>
    <r>
      <rPr>
        <sz val="11"/>
        <color rgb="FF000000"/>
        <rFont val="Calibri"/>
      </rPr>
      <t xml:space="preserve">
</t>
    </r>
    <r>
      <rPr>
        <sz val="11"/>
        <color rgb="FF000000"/>
        <rFont val="Calibri"/>
      </rPr>
      <t>3. Enter General setting values for "Switch" Enable.  Optional enter General settings for "Table ID", "Priority", "Idle Timeout", and "Hard Timeout".</t>
    </r>
    <r>
      <rPr>
        <sz val="11"/>
        <color rgb="FF000000"/>
        <rFont val="Calibri"/>
      </rPr>
      <t xml:space="preserve">
</t>
    </r>
    <r>
      <rPr>
        <sz val="11"/>
        <color rgb="FF000000"/>
        <rFont val="Calibri"/>
      </rPr>
      <t>4. For Syslog traffic, enter appropriate "Match Field" values for "ARP Opcode" (Request or Reply), "ARP Source", "ARP Target", "Communication Service Type (CST) Match", "Ethernet Destination", "Ethernet Source", "Ethernet Type", "InPort", "IP Proto", "IPv4 Destination", "IPv4 Source", "TCP Destination", "TCP Source", "UDP Destination", "UDP Source", "VLAN Priority", and/or "VLAN Virtually ID".</t>
    </r>
    <r>
      <rPr>
        <sz val="11"/>
        <color rgb="FF000000"/>
        <rFont val="Calibri"/>
      </rPr>
      <t xml:space="preserve">
</t>
    </r>
    <r>
      <rPr>
        <sz val="11"/>
        <color rgb="FF000000"/>
        <rFont val="Calibri"/>
      </rPr>
      <t>5. Enter appropriate Write-Actions for "Pop VLAN ID", "Push VLAN ID", "Set VLAN ID", "Set VLAN Priority", "Set Queue", "Group by Alias or Value", and/or "Output by Alias or "Value".</t>
    </r>
    <r>
      <rPr>
        <sz val="11"/>
        <color rgb="FF000000"/>
        <rFont val="Calibri"/>
      </rPr>
      <t xml:space="preserve">
</t>
    </r>
    <r>
      <rPr>
        <sz val="11"/>
        <color rgb="FF000000"/>
        <rFont val="Calibri"/>
      </rPr>
      <t>6. Click "Submit".</t>
    </r>
  </si>
  <si>
    <r>
      <rPr>
        <sz val="11"/>
        <color rgb="FF000000"/>
        <rFont val="Calibri"/>
      </rPr>
      <t>Protection of log data includes assuring log data is not accidentally lost or deleted. Regularly backing up audit records to a different system or onto separate media than the system being audited helps to assure, in the event of a catastrophic system failure, the audit records will be retained.</t>
    </r>
  </si>
  <si>
    <r>
      <rPr>
        <sz val="11"/>
        <color rgb="FF000000"/>
        <rFont val="Calibri"/>
      </rPr>
      <t>Ensure SEL-2740S Syslog servers are configured by doing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Go to the "Configuration Objects" page.</t>
    </r>
    <r>
      <rPr>
        <sz val="11"/>
        <color rgb="FF000000"/>
        <rFont val="Calibri"/>
      </rPr>
      <t xml:space="preserve">
</t>
    </r>
    <r>
      <rPr>
        <sz val="11"/>
        <color rgb="FF000000"/>
        <rFont val="Calibri"/>
      </rPr>
      <t>3. Check Syslog Server IP addresses are in the settings fields for the switch node in log services.</t>
    </r>
    <r>
      <rPr>
        <sz val="11"/>
        <color rgb="FF000000"/>
        <rFont val="Calibri"/>
      </rPr>
      <t xml:space="preserve">
</t>
    </r>
    <r>
      <rPr>
        <sz val="11"/>
        <color rgb="FF000000"/>
        <rFont val="Calibri"/>
      </rPr>
      <t>4. Check Syslog flows exist and are accurate for the SEL-2740S DUT and additional neighbor devices' flows exist and are correct.</t>
    </r>
    <r>
      <rPr>
        <sz val="11"/>
        <color rgb="FF000000"/>
        <rFont val="Calibri"/>
      </rPr>
      <t xml:space="preserve">
</t>
    </r>
    <r>
      <rPr>
        <sz val="11"/>
        <color rgb="FF000000"/>
        <rFont val="Calibri"/>
      </rPr>
      <t>If the SEL-2740S is not configured with Syslog server entries to ensure auditability, this is a finding.</t>
    </r>
  </si>
  <si>
    <t>V-92297</t>
  </si>
  <si>
    <r>
      <rPr>
        <sz val="11"/>
        <rFont val="Calibri"/>
      </rPr>
      <t>The SEL-2740S must be configured to compare internal information system clocks at least every 24 hours with an authoritative time server.</t>
    </r>
  </si>
  <si>
    <r>
      <rPr>
        <sz val="11"/>
        <color rgb="FF000000"/>
        <rFont val="Calibri"/>
      </rPr>
      <t>Configure NTP Servers during node adoption with the following steps:</t>
    </r>
    <r>
      <rPr>
        <sz val="11"/>
        <color rgb="FF000000"/>
        <rFont val="Calibri"/>
      </rPr>
      <t xml:space="preserve">
</t>
    </r>
    <r>
      <rPr>
        <sz val="11"/>
        <color rgb="FF000000"/>
        <rFont val="Calibri"/>
      </rPr>
      <t>1. Go to the "configuration object" page.</t>
    </r>
    <r>
      <rPr>
        <sz val="11"/>
        <color rgb="FF000000"/>
        <rFont val="Calibri"/>
      </rPr>
      <t xml:space="preserve">
</t>
    </r>
    <r>
      <rPr>
        <sz val="11"/>
        <color rgb="FF000000"/>
        <rFont val="Calibri"/>
      </rPr>
      <t>2. Enter the NTP Server IP addresses in appropriate settings fields.  The SEL-2740S support primary and backup NTP servers so enter the IP address of the backup if desired so there are both primary and backup displayed.</t>
    </r>
    <r>
      <rPr>
        <sz val="11"/>
        <color rgb="FF000000"/>
        <rFont val="Calibri"/>
      </rPr>
      <t xml:space="preserve">
</t>
    </r>
    <r>
      <rPr>
        <sz val="11"/>
        <color rgb="FF000000"/>
        <rFont val="Calibri"/>
      </rPr>
      <t>3. Click "Submit".</t>
    </r>
    <r>
      <rPr>
        <sz val="11"/>
        <color rgb="FF000000"/>
        <rFont val="Calibri"/>
      </rPr>
      <t xml:space="preserve">
</t>
    </r>
    <r>
      <rPr>
        <sz val="11"/>
        <color rgb="FF000000"/>
        <rFont val="Calibri"/>
      </rPr>
      <t>4. Create NTP Flows to/from NTP server to/from node.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</si>
  <si>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Synchronizing internal information system clocks provides uniformity of time stamps for information systems with multiple system clocks and systems connected over a network.</t>
    </r>
  </si>
  <si>
    <r>
      <rPr>
        <sz val="11"/>
        <color rgb="FF000000"/>
        <rFont val="Calibri"/>
      </rPr>
      <t>To ensure SEL-2740S NTP servers are configured do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Go to the "configuration object" settings page.</t>
    </r>
    <r>
      <rPr>
        <sz val="11"/>
        <color rgb="FF000000"/>
        <rFont val="Calibri"/>
      </rPr>
      <t xml:space="preserve">
</t>
    </r>
    <r>
      <rPr>
        <sz val="11"/>
        <color rgb="FF000000"/>
        <rFont val="Calibri"/>
      </rPr>
      <t>3. Check NTP Server IP addresses in the settings fields.  The SEL-2740S support primary and backup NTP servers so enter the IP address of the backup if desired so there are both primary and backup displayed.</t>
    </r>
    <r>
      <rPr>
        <sz val="11"/>
        <color rgb="FF000000"/>
        <rFont val="Calibri"/>
      </rPr>
      <t xml:space="preserve">
</t>
    </r>
    <r>
      <rPr>
        <sz val="11"/>
        <color rgb="FF000000"/>
        <rFont val="Calibri"/>
      </rPr>
      <t>4. Check NTP flows for the SEL-2740S DUT and additional neighbor devices exist and are correct.</t>
    </r>
    <r>
      <rPr>
        <sz val="11"/>
        <color rgb="FF000000"/>
        <rFont val="Calibri"/>
      </rPr>
      <t xml:space="preserve">
</t>
    </r>
    <r>
      <rPr>
        <sz val="11"/>
        <color rgb="FF000000"/>
        <rFont val="Calibri"/>
      </rPr>
      <t>If the SEL-2740S is not configured to maintain internal system clocks with an authoritative time server, this is a finding.</t>
    </r>
  </si>
  <si>
    <t>V-92299</t>
  </si>
  <si>
    <r>
      <rPr>
        <sz val="11"/>
        <rFont val="Calibri"/>
      </rPr>
      <t>The SEL-2740S must be configured to synchronize internal system clocks with an authoritative time source.</t>
    </r>
  </si>
  <si>
    <r>
      <rPr>
        <sz val="11"/>
        <color rgb="FF000000"/>
        <rFont val="Calibri"/>
      </rPr>
      <t>Configure NTP Servers during node adoption with the following steps:</t>
    </r>
    <r>
      <rPr>
        <sz val="11"/>
        <color rgb="FF000000"/>
        <rFont val="Calibri"/>
      </rPr>
      <t xml:space="preserve">
</t>
    </r>
    <r>
      <rPr>
        <sz val="11"/>
        <color rgb="FF000000"/>
        <rFont val="Calibri"/>
      </rPr>
      <t>1. Go to the "configuration object" page and select desired switch.</t>
    </r>
    <r>
      <rPr>
        <sz val="11"/>
        <color rgb="FF000000"/>
        <rFont val="Calibri"/>
      </rPr>
      <t xml:space="preserve">
</t>
    </r>
    <r>
      <rPr>
        <sz val="11"/>
        <color rgb="FF000000"/>
        <rFont val="Calibri"/>
      </rPr>
      <t>2. Enter the NTP Server IP addresses in appropriate settings fields for primary and backup NTP server(s).</t>
    </r>
    <r>
      <rPr>
        <sz val="11"/>
        <color rgb="FF000000"/>
        <rFont val="Calibri"/>
      </rPr>
      <t xml:space="preserve">
</t>
    </r>
    <r>
      <rPr>
        <sz val="11"/>
        <color rgb="FF000000"/>
        <rFont val="Calibri"/>
      </rPr>
      <t>3. Click "Submit".</t>
    </r>
    <r>
      <rPr>
        <sz val="11"/>
        <color rgb="FF000000"/>
        <rFont val="Calibri"/>
      </rPr>
      <t xml:space="preserve">
</t>
    </r>
    <r>
      <rPr>
        <sz val="11"/>
        <color rgb="FF000000"/>
        <rFont val="Calibri"/>
      </rPr>
      <t>4. Create NTP Flows to/from NTP server to/from node.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</si>
  <si>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Organizations should also consider endpoints that may not have regular access to the authoritative time server (e.g., mobile, teleworking, and tactical endpoints). This requirement is related to the comparison done every 24 hours in CCI-001891 because a comparison must be done in order to determine the time difference.</t>
    </r>
    <r>
      <rPr>
        <sz val="11"/>
        <color rgb="FF000000"/>
        <rFont val="Calibri"/>
      </rPr>
      <t xml:space="preserve">
</t>
    </r>
    <r>
      <rPr>
        <sz val="11"/>
        <color rgb="FF000000"/>
        <rFont val="Calibri"/>
      </rPr>
      <t>The organization-defined time period will depend on multiple factors, most notably the granularity of time stamps in audit logs. For example, if time stamps only show to the nearest second, there is no need to have accuracy of a tenth of a second in clocks.</t>
    </r>
  </si>
  <si>
    <r>
      <rPr>
        <sz val="11"/>
        <color rgb="FF000000"/>
        <rFont val="Calibri"/>
      </rPr>
      <t>To ensure SEL-2740S NTP servers are configured do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Go to the "configuration object" page.</t>
    </r>
    <r>
      <rPr>
        <sz val="11"/>
        <color rgb="FF000000"/>
        <rFont val="Calibri"/>
      </rPr>
      <t xml:space="preserve">
</t>
    </r>
    <r>
      <rPr>
        <sz val="11"/>
        <color rgb="FF000000"/>
        <rFont val="Calibri"/>
      </rPr>
      <t>3. Check NTP Server IP addresses in the settings fields.</t>
    </r>
    <r>
      <rPr>
        <sz val="11"/>
        <color rgb="FF000000"/>
        <rFont val="Calibri"/>
      </rPr>
      <t xml:space="preserve">
</t>
    </r>
    <r>
      <rPr>
        <sz val="11"/>
        <color rgb="FF000000"/>
        <rFont val="Calibri"/>
      </rPr>
      <t>4. Check NTP flows for the SEL-2740S DUT and additional neighbor devices exist and are correct.</t>
    </r>
    <r>
      <rPr>
        <sz val="11"/>
        <color rgb="FF000000"/>
        <rFont val="Calibri"/>
      </rPr>
      <t xml:space="preserve">
</t>
    </r>
    <r>
      <rPr>
        <sz val="11"/>
        <color rgb="FF000000"/>
        <rFont val="Calibri"/>
      </rPr>
      <t>If the SEL-2740S is not configured to maintain internal system clocks with an authoritative time server, this is a finding.</t>
    </r>
  </si>
  <si>
    <t>V-92301</t>
  </si>
  <si>
    <r>
      <rPr>
        <sz val="11"/>
        <rFont val="Calibri"/>
      </rPr>
      <t>The SEL-2740S must be configured to maintain internal system clocks with a backup authoritative time server.</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</si>
  <si>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</si>
  <si>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To ensure SEL-2740S NTP servers are configured do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Go to the "configuration object" page and select the desired switch.</t>
    </r>
    <r>
      <rPr>
        <sz val="11"/>
        <color rgb="FF000000"/>
        <rFont val="Calibri"/>
      </rPr>
      <t xml:space="preserve">
</t>
    </r>
    <r>
      <rPr>
        <sz val="11"/>
        <color rgb="FF000000"/>
        <rFont val="Calibri"/>
      </rPr>
      <t>3. Check NTP Server IP addresses in the settings fields that both a primary and backup NTP server is configured.</t>
    </r>
    <r>
      <rPr>
        <sz val="11"/>
        <color rgb="FF000000"/>
        <rFont val="Calibri"/>
      </rPr>
      <t xml:space="preserve">
</t>
    </r>
    <r>
      <rPr>
        <sz val="11"/>
        <color rgb="FF000000"/>
        <rFont val="Calibri"/>
      </rPr>
      <t>4. Check NTP flows for the SEL-2740S DUT and additional neighbor devices exist and are correct.</t>
    </r>
    <r>
      <rPr>
        <sz val="11"/>
        <color rgb="FF000000"/>
        <rFont val="Calibri"/>
      </rPr>
      <t xml:space="preserve">
</t>
    </r>
    <r>
      <rPr>
        <sz val="11"/>
        <color rgb="FF000000"/>
        <rFont val="Calibri"/>
      </rPr>
      <t>If the SEL-2740S is not configured to maintain internal system clocks with a backup authoritative time server, this is a finding.</t>
    </r>
  </si>
  <si>
    <t>V-92303</t>
  </si>
  <si>
    <r>
      <rPr>
        <sz val="11"/>
        <rFont val="Calibri"/>
      </rPr>
      <t>The SEL-2740S must be adopted by OTSDN Controllers for secure communication identifiers and initial trust for configuration of remote maintenance and diagnostic communications.</t>
    </r>
  </si>
  <si>
    <r>
      <rPr>
        <sz val="11"/>
        <color rgb="FF000000"/>
        <rFont val="Calibri"/>
      </rPr>
      <t>To configure the SEL-2740S X.509 certificate for TLS communications, the device needs to be simply adopted by OTSDN controller.</t>
    </r>
    <r>
      <rPr>
        <sz val="11"/>
        <color rgb="FF000000"/>
        <rFont val="Calibri"/>
      </rPr>
      <t xml:space="preserve">
</t>
    </r>
    <r>
      <rPr>
        <sz val="11"/>
        <color rgb="FF000000"/>
        <rFont val="Calibri"/>
      </rPr>
      <t xml:space="preserve">Before adopting, create an SEL-2740S configuration node object. </t>
    </r>
    <r>
      <rPr>
        <sz val="11"/>
        <color rgb="FF000000"/>
        <rFont val="Calibri"/>
      </rPr>
      <t xml:space="preserve">
</t>
    </r>
    <r>
      <rPr>
        <sz val="11"/>
        <color rgb="FF000000"/>
        <rFont val="Calibri"/>
      </rPr>
      <t>To adopt an SEL-2740S do the following:</t>
    </r>
    <r>
      <rPr>
        <sz val="11"/>
        <color rgb="FF000000"/>
        <rFont val="Calibri"/>
      </rPr>
      <t xml:space="preserve">
</t>
    </r>
    <r>
      <rPr>
        <sz val="11"/>
        <color rgb="FF000000"/>
        <rFont val="Calibri"/>
      </rPr>
      <t>1. Go to the "Topology" page.</t>
    </r>
    <r>
      <rPr>
        <sz val="11"/>
        <color rgb="FF000000"/>
        <rFont val="Calibri"/>
      </rPr>
      <t xml:space="preserve">
</t>
    </r>
    <r>
      <rPr>
        <sz val="11"/>
        <color rgb="FF000000"/>
        <rFont val="Calibri"/>
      </rPr>
      <t>2. Select the SEL-2740S you want to adopt. The Option window shows the SEL-2740S Node Options pane.</t>
    </r>
    <r>
      <rPr>
        <sz val="11"/>
        <color rgb="FF000000"/>
        <rFont val="Calibri"/>
      </rPr>
      <t xml:space="preserve">
</t>
    </r>
    <r>
      <rPr>
        <sz val="11"/>
        <color rgb="FF000000"/>
        <rFont val="Calibri"/>
      </rPr>
      <t>3. Select the SEL-2740S configuration node from the "Configuration" setting. The "Adopt Configuration" button is enabled.</t>
    </r>
    <r>
      <rPr>
        <sz val="11"/>
        <color rgb="FF000000"/>
        <rFont val="Calibri"/>
      </rPr>
      <t xml:space="preserve">
</t>
    </r>
    <r>
      <rPr>
        <sz val="11"/>
        <color rgb="FF000000"/>
        <rFont val="Calibri"/>
      </rPr>
      <t>4. Click the "Adopt Configuration" button. The Feedback bar displays "Success" to indicate successful application of the configuration node. The adoption process starts.</t>
    </r>
    <r>
      <rPr>
        <sz val="11"/>
        <color rgb="FF000000"/>
        <rFont val="Calibri"/>
      </rPr>
      <t xml:space="preserve">
</t>
    </r>
    <r>
      <rPr>
        <sz val="11"/>
        <color rgb="FF000000"/>
        <rFont val="Calibri"/>
      </rPr>
      <t>5. Wait until the alarm contact pulses (about 30 to 60 seconds). After clicking the Adopt button, the process may take a minute or longer to complete depending on the speed of the SEL-5056 host machine. When complete, the selected object becomes adopted, the appropriate ports appear, and the Adoption State is "Adopted".</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</si>
  <si>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</si>
  <si>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To ensure SEL-2740's credentials and identifiers are accurate, do the following:</t>
    </r>
    <r>
      <rPr>
        <sz val="11"/>
        <color rgb="FF000000"/>
        <rFont val="Calibri"/>
      </rPr>
      <t xml:space="preserve">
</t>
    </r>
    <r>
      <rPr>
        <sz val="11"/>
        <color rgb="FF000000"/>
        <rFont val="Calibri"/>
      </rPr>
      <t>1. Log in with Admin rights into parent OTSDN Controller.</t>
    </r>
    <r>
      <rPr>
        <sz val="11"/>
        <color rgb="FF000000"/>
        <rFont val="Calibri"/>
      </rPr>
      <t xml:space="preserve">
</t>
    </r>
    <r>
      <rPr>
        <sz val="11"/>
        <color rgb="FF000000"/>
        <rFont val="Calibri"/>
      </rPr>
      <t>2. Download the latest settings for the SEL-2740S device under test (DUT).</t>
    </r>
    <r>
      <rPr>
        <sz val="11"/>
        <color rgb="FF000000"/>
        <rFont val="Calibri"/>
      </rPr>
      <t xml:space="preserve">
</t>
    </r>
    <r>
      <rPr>
        <sz val="11"/>
        <color rgb="FF000000"/>
        <rFont val="Calibri"/>
      </rPr>
      <t>3. Go to the "Administration" page.</t>
    </r>
    <r>
      <rPr>
        <sz val="11"/>
        <color rgb="FF000000"/>
        <rFont val="Calibri"/>
      </rPr>
      <t xml:space="preserve">
</t>
    </r>
    <r>
      <rPr>
        <sz val="11"/>
        <color rgb="FF000000"/>
        <rFont val="Calibri"/>
      </rPr>
      <t>4. Go to the "X.509 Entries" page.</t>
    </r>
    <r>
      <rPr>
        <sz val="11"/>
        <color rgb="FF000000"/>
        <rFont val="Calibri"/>
      </rPr>
      <t xml:space="preserve">
</t>
    </r>
    <r>
      <rPr>
        <sz val="11"/>
        <color rgb="FF000000"/>
        <rFont val="Calibri"/>
      </rPr>
      <t xml:space="preserve">5. Check that each certificate is necessary, status is valid and reconcile with the parent OTSDN controller(s) for the network.  </t>
    </r>
    <r>
      <rPr>
        <sz val="11"/>
        <color rgb="FF000000"/>
        <rFont val="Calibri"/>
      </rPr>
      <t xml:space="preserve">
</t>
    </r>
    <r>
      <rPr>
        <sz val="11"/>
        <color rgb="FF000000"/>
        <rFont val="Calibri"/>
      </rPr>
      <t>If the SEL-2740S is not configured with the proper X.509 certificates or contains unnecessary certificate entries, this is a finding.</t>
    </r>
  </si>
  <si>
    <t>V-92305</t>
  </si>
  <si>
    <r>
      <rPr>
        <sz val="11"/>
        <rFont val="Calibri"/>
      </rPr>
      <t>The SEL-2740S must be configured to permit the maintenance and diagnostics communications to specified OTSDN Controller(s).</t>
    </r>
  </si>
  <si>
    <r>
      <rPr>
        <sz val="11"/>
        <color rgb="FF000000"/>
        <rFont val="Calibri"/>
      </rPr>
      <t xml:space="preserve">The adoption of SEL-2740S switches when using SEL-5056 flow controller will have saturation protection automatically enabled using flow meters between the switch and the flow controller. To configure this simply adopt the switches using the default flows which rate limit traffic to the flow controller. </t>
    </r>
    <r>
      <rPr>
        <sz val="11"/>
        <color rgb="FF000000"/>
        <rFont val="Calibri"/>
      </rPr>
      <t xml:space="preserve">
</t>
    </r>
    <r>
      <rPr>
        <sz val="11"/>
        <color rgb="FF000000"/>
        <rFont val="Calibri"/>
      </rPr>
      <t>1. Log in to SEL-5056 using Permission Level 3.</t>
    </r>
    <r>
      <rPr>
        <sz val="11"/>
        <color rgb="FF000000"/>
        <rFont val="Calibri"/>
      </rPr>
      <t xml:space="preserve">
</t>
    </r>
    <r>
      <rPr>
        <sz val="11"/>
        <color rgb="FF000000"/>
        <rFont val="Calibri"/>
      </rPr>
      <t>2. Confirm all switches are adopted and if not create a configuration object with desired settings and use the new object to adopt the switch.</t>
    </r>
    <r>
      <rPr>
        <sz val="11"/>
        <color rgb="FF000000"/>
        <rFont val="Calibri"/>
      </rPr>
      <t xml:space="preserve">
</t>
    </r>
    <r>
      <rPr>
        <sz val="11"/>
        <color rgb="FF000000"/>
        <rFont val="Calibri"/>
      </rPr>
      <t>3. When adoption is complete the flows between the switch and the flow controller use a meter, navigate to the meter page and confirm a new meter was created for that switch and is in the "success" state.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</si>
  <si>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(e.g., firewalls performing packet filtering to block DoS attacks).</t>
    </r>
  </si>
  <si>
    <r>
      <rPr>
        <sz val="11"/>
        <color rgb="FF000000"/>
        <rFont val="Calibri"/>
      </rPr>
      <t>To ensure SEL-2740S necessary diagnostics and maintenance communications, do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Confirm the desired switch is adopted by checking that there is a green solid border around the switch in the UI on the topology page.</t>
    </r>
    <r>
      <rPr>
        <sz val="11"/>
        <color rgb="FF000000"/>
        <rFont val="Calibri"/>
      </rPr>
      <t xml:space="preserve">
</t>
    </r>
    <r>
      <rPr>
        <sz val="11"/>
        <color rgb="FF000000"/>
        <rFont val="Calibri"/>
      </rPr>
      <t>3. Click the switch node and then the Device View button.</t>
    </r>
    <r>
      <rPr>
        <sz val="11"/>
        <color rgb="FF000000"/>
        <rFont val="Calibri"/>
      </rPr>
      <t xml:space="preserve">
</t>
    </r>
    <r>
      <rPr>
        <sz val="11"/>
        <color rgb="FF000000"/>
        <rFont val="Calibri"/>
      </rPr>
      <t xml:space="preserve">4. Confirm a new browser page opens for the diagnostic collection of the switch.  </t>
    </r>
    <r>
      <rPr>
        <sz val="11"/>
        <color rgb="FF000000"/>
        <rFont val="Calibri"/>
      </rPr>
      <t xml:space="preserve">
</t>
    </r>
    <r>
      <rPr>
        <sz val="11"/>
        <color rgb="FF000000"/>
        <rFont val="Calibri"/>
      </rPr>
      <t>If the SEL-2740S is not successfully talking to the flow controller, this is a finding.</t>
    </r>
  </si>
  <si>
    <t>V-92307</t>
  </si>
  <si>
    <r>
      <rPr>
        <sz val="11"/>
        <rFont val="Calibri"/>
      </rPr>
      <t>The SEL-2740S must be adopted by OTSDN Controller(s) and obtain its public key certificates from an appropriate certificate policy through an approved service provider.</t>
    </r>
  </si>
  <si>
    <r>
      <rPr>
        <sz val="11"/>
        <color rgb="FF000000"/>
        <rFont val="Calibri"/>
      </rPr>
      <t>Import a PEM or PFX X.509 Certificate from an approved service provider into the flow controller as the Root CA certificate so the flow controller can use it to generate and commission the SEL-2740S with an accepted chain of trust.  To do this log into the flow controller with security administrator privileges and navigate to the Administration page and then to the X.509 page.  Select Import and use the certificate type CA Cert.</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</si>
  <si>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</si>
  <si>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 xml:space="preserve">Ensure the SEL-2740S X.509 certificate is properly configured on the SEL-2740S by checking the "Certificates" page on the OTSDN Controller.  </t>
    </r>
    <r>
      <rPr>
        <sz val="11"/>
        <color rgb="FF000000"/>
        <rFont val="Calibri"/>
      </rPr>
      <t xml:space="preserve">
</t>
    </r>
    <r>
      <rPr>
        <sz val="11"/>
        <color rgb="FF000000"/>
        <rFont val="Calibri"/>
      </rPr>
      <t>If the SEL-2740S public keys were not provided by an approved certificate policy or authority, this is a finding.</t>
    </r>
  </si>
  <si>
    <t>V-92309</t>
  </si>
  <si>
    <r>
      <rPr>
        <sz val="11"/>
        <rFont val="Calibri"/>
      </rPr>
      <t>The SEL-2740S must be configured to establish trust relationships with parent OTSDN Controller(s).</t>
    </r>
  </si>
  <si>
    <r>
      <rPr>
        <sz val="11"/>
        <color rgb="FF000000"/>
        <rFont val="Calibri"/>
      </rPr>
      <t>To configure the SEL-2740S for initial trust and X.509 certificate creation for TLS communications, the device needs to be adopted by OTSDN controller.</t>
    </r>
    <r>
      <rPr>
        <sz val="11"/>
        <color rgb="FF000000"/>
        <rFont val="Calibri"/>
      </rPr>
      <t xml:space="preserve">
</t>
    </r>
    <r>
      <rPr>
        <sz val="11"/>
        <color rgb="FF000000"/>
        <rFont val="Calibri"/>
      </rPr>
      <t xml:space="preserve">Before adopting, create an SEL-2740S configuration node object. </t>
    </r>
    <r>
      <rPr>
        <sz val="11"/>
        <color rgb="FF000000"/>
        <rFont val="Calibri"/>
      </rPr>
      <t xml:space="preserve">
</t>
    </r>
    <r>
      <rPr>
        <sz val="11"/>
        <color rgb="FF000000"/>
        <rFont val="Calibri"/>
      </rPr>
      <t>To adopt an SEL-2740S do the following:</t>
    </r>
    <r>
      <rPr>
        <sz val="11"/>
        <color rgb="FF000000"/>
        <rFont val="Calibri"/>
      </rPr>
      <t xml:space="preserve">
</t>
    </r>
    <r>
      <rPr>
        <sz val="11"/>
        <color rgb="FF000000"/>
        <rFont val="Calibri"/>
      </rPr>
      <t>1. Go to the "Topology" page.</t>
    </r>
    <r>
      <rPr>
        <sz val="11"/>
        <color rgb="FF000000"/>
        <rFont val="Calibri"/>
      </rPr>
      <t xml:space="preserve">
</t>
    </r>
    <r>
      <rPr>
        <sz val="11"/>
        <color rgb="FF000000"/>
        <rFont val="Calibri"/>
      </rPr>
      <t>2. Select on the SEL-2740S you want to adopt. The "Option" window shows the SEL-2740S "Node Options" pane.</t>
    </r>
    <r>
      <rPr>
        <sz val="11"/>
        <color rgb="FF000000"/>
        <rFont val="Calibri"/>
      </rPr>
      <t xml:space="preserve">
</t>
    </r>
    <r>
      <rPr>
        <sz val="11"/>
        <color rgb="FF000000"/>
        <rFont val="Calibri"/>
      </rPr>
      <t>3. Select the SEL-2740S configuration node from the "Configuration" setting. The "Adopt Configuration" button is enabled.</t>
    </r>
    <r>
      <rPr>
        <sz val="11"/>
        <color rgb="FF000000"/>
        <rFont val="Calibri"/>
      </rPr>
      <t xml:space="preserve">
</t>
    </r>
    <r>
      <rPr>
        <sz val="11"/>
        <color rgb="FF000000"/>
        <rFont val="Calibri"/>
      </rPr>
      <t>4. Click the "Adopt Configuration" button. The "Feedback" bar displays "Success" to indicate successful application of the configuration node. The adoption process starts.</t>
    </r>
    <r>
      <rPr>
        <sz val="11"/>
        <color rgb="FF000000"/>
        <rFont val="Calibri"/>
      </rPr>
      <t xml:space="preserve">
</t>
    </r>
    <r>
      <rPr>
        <sz val="11"/>
        <color rgb="FF000000"/>
        <rFont val="Calibri"/>
      </rPr>
      <t>5. Wait until the alarm contact pulses (about 30 to 60 seconds). After clicking the "Adopt" button, the process may take a minute or longer to complete depending on the speed of the SEL-5056 host machine. When complete, the selected object becomes adopted, the appropriate ports appear, and the Adoption State is "Adopted".</t>
    </r>
  </si>
  <si>
    <r>
      <rPr>
        <sz val="11"/>
        <color rgb="FF000000"/>
        <rFont val="Calibri"/>
      </rPr>
      <t>Machine to machine initial trust must be established between the OTSDN controller and the SEL-2740S for authenticating all communications and configuration thereafter.  Certificates must be created and safely stored.  Backup OTSDN controller trust should also be established and locked down.  Any time that these need to be modified the SEL-2740S must be factory default reset and adoption process must be re-executed.</t>
    </r>
  </si>
  <si>
    <r>
      <rPr>
        <sz val="11"/>
        <color rgb="FF000000"/>
        <rFont val="Calibri"/>
      </rPr>
      <t>Ensure the SEL-2740S is adopted by only the appropriate OTSDN Controller(s) by checking the "Topology" page on the OTSDN Controller for the SEL-2740S under test to ensure it is adopted by the appropriate OTSDN Controller(s).</t>
    </r>
    <r>
      <rPr>
        <sz val="11"/>
        <color rgb="FF000000"/>
        <rFont val="Calibri"/>
      </rPr>
      <t xml:space="preserve">
</t>
    </r>
    <r>
      <rPr>
        <sz val="11"/>
        <color rgb="FF000000"/>
        <rFont val="Calibri"/>
      </rPr>
      <t>If the SEL-2740S is adopted by a rogue OTSDN Controller or does not appear as an adopted device in the network, this is a finding.</t>
    </r>
  </si>
  <si>
    <t>V-92311</t>
  </si>
  <si>
    <r>
      <rPr>
        <sz val="11"/>
        <rFont val="Calibri"/>
      </rPr>
      <t>The SEL-2740S must be configured to send log data to a syslog server for the purpose of forwarding alerts to the administrators and the ISSO.</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</si>
  <si>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creation of accounts and notifies administrators and Information System Security Officers (ISSOs). Such a process greatly reduces the risk that accounts will be surreptitiously created and provides logging that can be used for forensic purposes.</t>
    </r>
  </si>
  <si>
    <r>
      <rPr>
        <sz val="11"/>
        <color rgb="FF000000"/>
        <rFont val="Calibri"/>
      </rPr>
      <t>To ensure SEL-2740S Syslog servers are configured do the following:</t>
    </r>
    <r>
      <rPr>
        <sz val="11"/>
        <color rgb="FF000000"/>
        <rFont val="Calibri"/>
      </rPr>
      <t xml:space="preserve">
</t>
    </r>
    <r>
      <rPr>
        <sz val="11"/>
        <color rgb="FF000000"/>
        <rFont val="Calibri"/>
      </rPr>
      <t>1. Log in with Permission Level 3 rights into parent OTSDN Controller.</t>
    </r>
    <r>
      <rPr>
        <sz val="11"/>
        <color rgb="FF000000"/>
        <rFont val="Calibri"/>
      </rPr>
      <t xml:space="preserve">
</t>
    </r>
    <r>
      <rPr>
        <sz val="11"/>
        <color rgb="FF000000"/>
        <rFont val="Calibri"/>
      </rPr>
      <t>2. Download the latest settings for the SEL-2740S device under test (DUT).</t>
    </r>
    <r>
      <rPr>
        <sz val="11"/>
        <color rgb="FF000000"/>
        <rFont val="Calibri"/>
      </rPr>
      <t xml:space="preserve">
</t>
    </r>
    <r>
      <rPr>
        <sz val="11"/>
        <color rgb="FF000000"/>
        <rFont val="Calibri"/>
      </rPr>
      <t>3. Go to the "Configuration Object" page and select the desired switch node.</t>
    </r>
    <r>
      <rPr>
        <sz val="11"/>
        <color rgb="FF000000"/>
        <rFont val="Calibri"/>
      </rPr>
      <t xml:space="preserve">
</t>
    </r>
    <r>
      <rPr>
        <sz val="11"/>
        <color rgb="FF000000"/>
        <rFont val="Calibri"/>
      </rPr>
      <t>4. Check the log services settings and confirm the desired Syslog Server IP addresses and severity levels are in the settings fields.</t>
    </r>
    <r>
      <rPr>
        <sz val="11"/>
        <color rgb="FF000000"/>
        <rFont val="Calibri"/>
      </rPr>
      <t xml:space="preserve">
</t>
    </r>
    <r>
      <rPr>
        <sz val="11"/>
        <color rgb="FF000000"/>
        <rFont val="Calibri"/>
      </rPr>
      <t>5. Check Syslog flows exist and are accurate for the SEL-2740S DUT and additional neighbor devices' flows exist and are correct.</t>
    </r>
    <r>
      <rPr>
        <sz val="11"/>
        <color rgb="FF000000"/>
        <rFont val="Calibri"/>
      </rPr>
      <t xml:space="preserve">
</t>
    </r>
    <r>
      <rPr>
        <sz val="11"/>
        <color rgb="FF000000"/>
        <rFont val="Calibri"/>
      </rPr>
      <t>If the SEL-2740S is not configured with Syslog server entries to ensure auditability, this is a finding.</t>
    </r>
  </si>
  <si>
    <t>V-92313</t>
  </si>
  <si>
    <r>
      <rPr>
        <sz val="11"/>
        <rFont val="Calibri"/>
      </rPr>
      <t>The SEL-2740S must be configured to permit the allowed and necessary ports, functions, protocols, and services.</t>
    </r>
  </si>
  <si>
    <r>
      <rPr>
        <sz val="11"/>
        <color rgb="FF000000"/>
        <rFont val="Calibri"/>
      </rPr>
      <t>A compromised switch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switch is to enable only the capabilities required for operation.</t>
    </r>
  </si>
  <si>
    <t>V-92315</t>
  </si>
  <si>
    <r>
      <rPr>
        <sz val="11"/>
        <rFont val="Calibri"/>
      </rPr>
      <t>The SEL-2740S -must be configured to limit excess bandwidth and denial of service (DoS) attacks.</t>
    </r>
  </si>
  <si>
    <r>
      <rPr>
        <sz val="11"/>
        <color rgb="FF000000"/>
        <rFont val="Calibri"/>
      </rPr>
      <t>Add a flow meter rule to ensure mission-critical traffic will not be impacted.</t>
    </r>
    <r>
      <rPr>
        <sz val="11"/>
        <color rgb="FF000000"/>
        <rFont val="Calibri"/>
      </rPr>
      <t xml:space="preserve">
</t>
    </r>
    <r>
      <rPr>
        <sz val="11"/>
        <color rgb="FF000000"/>
        <rFont val="Calibri"/>
      </rPr>
      <t>For adding an SEL-2740S Flow Meter, do the following:</t>
    </r>
    <r>
      <rPr>
        <sz val="11"/>
        <color rgb="FF000000"/>
        <rFont val="Calibri"/>
      </rPr>
      <t xml:space="preserve">
</t>
    </r>
    <r>
      <rPr>
        <sz val="11"/>
        <color rgb="FF000000"/>
        <rFont val="Calibri"/>
      </rPr>
      <t>1. Log in to OTSDN Controller using Permission Level 3.</t>
    </r>
    <r>
      <rPr>
        <sz val="11"/>
        <color rgb="FF000000"/>
        <rFont val="Calibri"/>
      </rPr>
      <t xml:space="preserve">
</t>
    </r>
    <r>
      <rPr>
        <sz val="11"/>
        <color rgb="FF000000"/>
        <rFont val="Calibri"/>
      </rPr>
      <t>2. Under "Meter Entry" General Settings, select "Meter ID", "Measurement Type", and "Burst Size".</t>
    </r>
    <r>
      <rPr>
        <sz val="11"/>
        <color rgb="FF000000"/>
        <rFont val="Calibri"/>
      </rPr>
      <t xml:space="preserve">
</t>
    </r>
    <r>
      <rPr>
        <sz val="11"/>
        <color rgb="FF000000"/>
        <rFont val="Calibri"/>
      </rPr>
      <t>3. Add meter rule to SEL-2740S Flow Rules that require monitoring.</t>
    </r>
  </si>
  <si>
    <r>
      <rPr>
        <sz val="11"/>
        <color rgb="FF000000"/>
        <rFont val="Calibri"/>
      </rPr>
      <t>Denial of service is a condition when a resource is not available for legitimate users. Packet flooding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</si>
  <si>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 xml:space="preserve">Review the SEL-2740S to ensure that the meter rules and priorities are in place to ensure mission-critical traffic will not be impacted by increased traffic or bandwidth issues. </t>
    </r>
    <r>
      <rPr>
        <sz val="11"/>
        <color rgb="FF000000"/>
        <rFont val="Calibri"/>
      </rPr>
      <t xml:space="preserve">
</t>
    </r>
    <r>
      <rPr>
        <sz val="11"/>
        <color rgb="FF000000"/>
        <rFont val="Calibri"/>
      </rPr>
      <t>If the SEL-2740S is not configured with meters and priorities necessary for mission-critical packets, this is a finding.</t>
    </r>
  </si>
  <si>
    <t>V-92317</t>
  </si>
  <si>
    <r>
      <rPr>
        <sz val="11"/>
        <rFont val="Calibri"/>
      </rPr>
      <t>The SEL-2740S must be configured to packet capture flows.</t>
    </r>
  </si>
  <si>
    <r>
      <rPr>
        <sz val="11"/>
        <color rgb="FF000000"/>
        <rFont val="Calibri"/>
      </rPr>
      <t>Add specific SEL-2740S flow rules for capturing a copy of packets for user sessions use OpenFlow ALL Groups.</t>
    </r>
    <r>
      <rPr>
        <sz val="11"/>
        <color rgb="FF000000"/>
        <rFont val="Calibri"/>
      </rPr>
      <t xml:space="preserve">
</t>
    </r>
    <r>
      <rPr>
        <sz val="11"/>
        <color rgb="FF000000"/>
        <rFont val="Calibri"/>
      </rPr>
      <t>To add an SEL-2740S Group,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Under "Group Entry" General Settings, select "Group ID" and "Group Type".</t>
    </r>
    <r>
      <rPr>
        <sz val="11"/>
        <color rgb="FF000000"/>
        <rFont val="Calibri"/>
      </rPr>
      <t xml:space="preserve">
</t>
    </r>
    <r>
      <rPr>
        <sz val="11"/>
        <color rgb="FF000000"/>
        <rFont val="Calibri"/>
      </rPr>
      <t>3. Select appropriate number of Action Buckets dependent upon use case.</t>
    </r>
    <r>
      <rPr>
        <sz val="11"/>
        <color rgb="FF000000"/>
        <rFont val="Calibri"/>
      </rPr>
      <t xml:space="preserve">
</t>
    </r>
    <r>
      <rPr>
        <sz val="11"/>
        <color rgb="FF000000"/>
        <rFont val="Calibri"/>
      </rPr>
      <t>4. Determine valid watch port or group, and select supported actions.</t>
    </r>
    <r>
      <rPr>
        <sz val="11"/>
        <color rgb="FF000000"/>
        <rFont val="Calibri"/>
      </rPr>
      <t xml:space="preserve">
</t>
    </r>
    <r>
      <rPr>
        <sz val="11"/>
        <color rgb="FF000000"/>
        <rFont val="Calibri"/>
      </rPr>
      <t>5. Click "Submit".</t>
    </r>
  </si>
  <si>
    <r>
      <rPr>
        <sz val="11"/>
        <color rgb="FF000000"/>
        <rFont val="Calibri"/>
      </rPr>
      <t>Without the capability to select a user session to capture/record or view/hear, investigations into suspicious or harmful events would be hampered by the volume of information captured. The volume of information captured may also adversely impact the operation for the network. Session audits may include port mirroring, tracking websites visited, and recording information and/or file transfers.</t>
    </r>
  </si>
  <si>
    <r>
      <rPr>
        <sz val="11"/>
        <color rgb="FF000000"/>
        <rFont val="Calibri"/>
      </rPr>
      <t>Review the SEL-2740S flow rules to ensure they only include the specific copy rules for capturing ingress and egress flows only on the designated port(s).</t>
    </r>
    <r>
      <rPr>
        <sz val="11"/>
        <color rgb="FF000000"/>
        <rFont val="Calibri"/>
      </rPr>
      <t xml:space="preserve">
</t>
    </r>
    <r>
      <rPr>
        <sz val="11"/>
        <color rgb="FF000000"/>
        <rFont val="Calibri"/>
      </rPr>
      <t>Note: A span port can be created to capture based on Flows, ports, or combination.</t>
    </r>
    <r>
      <rPr>
        <sz val="11"/>
        <color rgb="FF000000"/>
        <rFont val="Calibri"/>
      </rPr>
      <t xml:space="preserve">
</t>
    </r>
    <r>
      <rPr>
        <sz val="11"/>
        <color rgb="FF000000"/>
        <rFont val="Calibri"/>
      </rPr>
      <t>If the SEL-2740S is configured with flows with wildcard or unnecessary packet forwarding rules, this is a finding.</t>
    </r>
  </si>
  <si>
    <t>V-92319</t>
  </si>
  <si>
    <r>
      <rPr>
        <sz val="11"/>
        <rFont val="Calibri"/>
      </rPr>
      <t>The SEL-2740S must be configured to capture flows for real-time visualization tools.</t>
    </r>
  </si>
  <si>
    <r>
      <rPr>
        <sz val="11"/>
        <color rgb="FF000000"/>
        <rFont val="Calibri"/>
      </rPr>
      <t>Add specific SEL-2740S flow rules for capturing a copy of packets for user sessions use OpenFlow ALL Groups.</t>
    </r>
    <r>
      <rPr>
        <sz val="11"/>
        <color rgb="FF000000"/>
        <rFont val="Calibri"/>
      </rPr>
      <t xml:space="preserve">
</t>
    </r>
    <r>
      <rPr>
        <sz val="11"/>
        <color rgb="FF000000"/>
        <rFont val="Calibri"/>
      </rPr>
      <t>To add an SEL-2740S Group,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Under "Group Entry" General settings, select "Group ID" and "Group Type". Use a unique group ID and use an ALL group to send the packet to more than one destination.</t>
    </r>
    <r>
      <rPr>
        <sz val="11"/>
        <color rgb="FF000000"/>
        <rFont val="Calibri"/>
      </rPr>
      <t xml:space="preserve">
</t>
    </r>
    <r>
      <rPr>
        <sz val="11"/>
        <color rgb="FF000000"/>
        <rFont val="Calibri"/>
      </rPr>
      <t>3. Select appropriate number of Action Buckets dependent upon use case.</t>
    </r>
    <r>
      <rPr>
        <sz val="11"/>
        <color rgb="FF000000"/>
        <rFont val="Calibri"/>
      </rPr>
      <t xml:space="preserve">
</t>
    </r>
    <r>
      <rPr>
        <sz val="11"/>
        <color rgb="FF000000"/>
        <rFont val="Calibri"/>
      </rPr>
      <t>4. Determine valid watch port or group, and select supported actions.</t>
    </r>
    <r>
      <rPr>
        <sz val="11"/>
        <color rgb="FF000000"/>
        <rFont val="Calibri"/>
      </rPr>
      <t xml:space="preserve">
</t>
    </r>
    <r>
      <rPr>
        <sz val="11"/>
        <color rgb="FF000000"/>
        <rFont val="Calibri"/>
      </rPr>
      <t>5. Click "Submit".</t>
    </r>
  </si>
  <si>
    <r>
      <rPr>
        <sz val="11"/>
        <color rgb="FF000000"/>
        <rFont val="Calibri"/>
      </rPr>
      <t>Without the capability to remotely view/hear all content related to a user session, investigations into suspicious user activity would be hampered. Real-time monitoring allows authorized personnel to take action before additional damage is done. The ability to observe user sessions as they are happening allows for interceding in ongoing events that after-the-fact review of captured content would not allow.</t>
    </r>
  </si>
  <si>
    <t>V-92321</t>
  </si>
  <si>
    <r>
      <rPr>
        <sz val="11"/>
        <rFont val="Calibri"/>
      </rPr>
      <t>The SEL-2740S must be configured to prevent packet flooding and bandwidth saturation.</t>
    </r>
  </si>
  <si>
    <r>
      <rPr>
        <sz val="11"/>
        <color rgb="FF000000"/>
        <rFont val="Calibri"/>
      </rPr>
      <t>Add a flow meter rule to prevent packet flooding and bandwidth saturation.</t>
    </r>
    <r>
      <rPr>
        <sz val="11"/>
        <color rgb="FF000000"/>
        <rFont val="Calibri"/>
      </rPr>
      <t xml:space="preserve">
</t>
    </r>
    <r>
      <rPr>
        <sz val="11"/>
        <color rgb="FF000000"/>
        <rFont val="Calibri"/>
      </rPr>
      <t>To add an SEL-2740S Flow Meter,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Under "Meter Entry" General settings, select "Meter ID", "Measurement Type", and "Burst Size".</t>
    </r>
    <r>
      <rPr>
        <sz val="11"/>
        <color rgb="FF000000"/>
        <rFont val="Calibri"/>
      </rPr>
      <t xml:space="preserve">
</t>
    </r>
    <r>
      <rPr>
        <sz val="11"/>
        <color rgb="FF000000"/>
        <rFont val="Calibri"/>
      </rPr>
      <t>3. Add meter rule to SEL-2740S Flow Rules that require monitoring.</t>
    </r>
  </si>
  <si>
    <r>
      <rPr>
        <sz val="11"/>
        <color rgb="FF000000"/>
        <rFont val="Calibri"/>
      </rPr>
      <t>Access layer switches use the Content Addressable Memory (CAM) table to direct traffic to specific ports based on the VLAN number and the destination MAC address of the frame. When a router has an Address Resolution Protocol (ARP) entry for a destination host and forwards it to the access layer switch and there is no entry corresponding to the frame's destination MAC address in the incoming VLAN, the frame will be sent to all forwarding ports within the respective VLAN, which causes flooding. Large amounts of flooded traffic can saturate low-bandwidth links, causing network performance issues or complete connectivity outage to the connected devices. Unknown unicast flooding has been a nagging problem in networks that have asymmetric routing and default timers. To mitigate the risk of a connectivity outage, the Unknown Unicast Flood Blocking (UUFB) feature must be implemented on all access layer switches. The UUFB feature will block unknown unicast traffic flooding and only permit egress traffic with MAC addresses that are known to exit on the port.</t>
    </r>
  </si>
  <si>
    <r>
      <rPr>
        <sz val="11"/>
        <color rgb="FF000000"/>
        <rFont val="Calibri"/>
      </rPr>
      <t>Review the SEL-2740S flows to ensure the meter rules are in place to prevent packet flooding and bandwidth saturation.</t>
    </r>
    <r>
      <rPr>
        <sz val="11"/>
        <color rgb="FF000000"/>
        <rFont val="Calibri"/>
      </rPr>
      <t xml:space="preserve">
</t>
    </r>
    <r>
      <rPr>
        <sz val="11"/>
        <color rgb="FF000000"/>
        <rFont val="Calibri"/>
      </rPr>
      <t>If the switch is not configured to prevent packet flooding, this is a finding.</t>
    </r>
  </si>
  <si>
    <t>V-92323</t>
  </si>
  <si>
    <r>
      <rPr>
        <sz val="11"/>
        <rFont val="Calibri"/>
      </rPr>
      <t>SEL-2740S flow rules must include the host IP addresses that are bound to designated SEL-2740S ports for ensuring trusted host access.</t>
    </r>
  </si>
  <si>
    <r>
      <rPr>
        <sz val="11"/>
        <color rgb="FF000000"/>
        <rFont val="Calibri"/>
      </rPr>
      <t>To add IP Host addressed flow rules on all packet forwarding,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Click "Flow Entries" in Navigation Menu.</t>
    </r>
    <r>
      <rPr>
        <sz val="11"/>
        <color rgb="FF000000"/>
        <rFont val="Calibri"/>
      </rPr>
      <t xml:space="preserve">
</t>
    </r>
    <r>
      <rPr>
        <sz val="11"/>
        <color rgb="FF000000"/>
        <rFont val="Calibri"/>
      </rPr>
      <t>3. Click "Add Flow" button.</t>
    </r>
    <r>
      <rPr>
        <sz val="11"/>
        <color rgb="FF000000"/>
        <rFont val="Calibri"/>
      </rPr>
      <t xml:space="preserve">
</t>
    </r>
    <r>
      <rPr>
        <sz val="11"/>
        <color rgb="FF000000"/>
        <rFont val="Calibri"/>
      </rPr>
      <t>4. Enter General Setting values for "Switch", "Enable".  Optional: Enter General Settings for "Table ID", "Priority", "Idle Timeout", and "Hard Timeout".</t>
    </r>
    <r>
      <rPr>
        <sz val="11"/>
        <color rgb="FF000000"/>
        <rFont val="Calibri"/>
      </rPr>
      <t xml:space="preserve">
</t>
    </r>
    <r>
      <rPr>
        <sz val="11"/>
        <color rgb="FF000000"/>
        <rFont val="Calibri"/>
      </rPr>
      <t>5. Depending on communication protocol behavior, enter appropriate Match Field values for "ARP Opcode" ("Request" or "Reply"), "ARP Source", "ARP Target', "Communication Service Type (CST) Match", "Ethernet Destination", "Ethernet Source", "Ethernet Type", "InPort", "IP Proto", "IPv4 Destination", "IPv4 Source", "TCP Destination", "TCP Source', 'UDP Destination", "UDP Source", "VLAN Priority", and/or "VLAN Virtually ID".</t>
    </r>
    <r>
      <rPr>
        <sz val="11"/>
        <color rgb="FF000000"/>
        <rFont val="Calibri"/>
      </rPr>
      <t xml:space="preserve">
</t>
    </r>
    <r>
      <rPr>
        <sz val="11"/>
        <color rgb="FF000000"/>
        <rFont val="Calibri"/>
      </rPr>
      <t>6. Enter appropriate Write-Actions for "Pop VLAN ID", "Push VLAN ID", "Set VLAN ID", "Set VLAN Priority", "Set Queue", "Group by Alias or Value", and/or "Output by Alias or Value".</t>
    </r>
    <r>
      <rPr>
        <sz val="11"/>
        <color rgb="FF000000"/>
        <rFont val="Calibri"/>
      </rPr>
      <t xml:space="preserve">
</t>
    </r>
    <r>
      <rPr>
        <sz val="11"/>
        <color rgb="FF000000"/>
        <rFont val="Calibri"/>
      </rPr>
      <t>7. Click "Submit".</t>
    </r>
  </si>
  <si>
    <r>
      <rPr>
        <sz val="11"/>
        <color rgb="FF000000"/>
        <rFont val="Calibri"/>
      </rPr>
      <t>IP Source Guard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</si>
  <si>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SEL-2740S flow rules to ensure all include IP addresses assigned to given hosts and are bound to the SEL-2740S ports.</t>
    </r>
    <r>
      <rPr>
        <sz val="11"/>
        <color rgb="FF000000"/>
        <rFont val="Calibri"/>
      </rPr>
      <t xml:space="preserve">
</t>
    </r>
    <r>
      <rPr>
        <sz val="11"/>
        <color rgb="FF000000"/>
        <rFont val="Calibri"/>
      </rPr>
      <t>If the SEL-2740S flow rules are not configured with hosts' IP addresses for packets ingressing or egressing the ports, this is a finding.</t>
    </r>
  </si>
  <si>
    <t>V-92325</t>
  </si>
  <si>
    <r>
      <rPr>
        <sz val="11"/>
        <rFont val="Calibri"/>
      </rPr>
      <t>The SEL-2740S must be configured with ARP flow rules that are statically created with valid IP-to-MAC address bindings.</t>
    </r>
  </si>
  <si>
    <r>
      <rPr>
        <sz val="11"/>
        <color rgb="FF000000"/>
        <rFont val="Calibri"/>
      </rPr>
      <t>To add ARP flow rules on all packet forwarding, do the following:</t>
    </r>
    <r>
      <rPr>
        <sz val="11"/>
        <color rgb="FF000000"/>
        <rFont val="Calibri"/>
      </rPr>
      <t xml:space="preserve">
</t>
    </r>
    <r>
      <rPr>
        <sz val="11"/>
        <color rgb="FF000000"/>
        <rFont val="Calibri"/>
      </rPr>
      <t>1. Log on to OTSDN Controller using Permission Level 3.</t>
    </r>
    <r>
      <rPr>
        <sz val="11"/>
        <color rgb="FF000000"/>
        <rFont val="Calibri"/>
      </rPr>
      <t xml:space="preserve">
</t>
    </r>
    <r>
      <rPr>
        <sz val="11"/>
        <color rgb="FF000000"/>
        <rFont val="Calibri"/>
      </rPr>
      <t>2. Click "Flow Entries" in Navigation Menu.</t>
    </r>
    <r>
      <rPr>
        <sz val="11"/>
        <color rgb="FF000000"/>
        <rFont val="Calibri"/>
      </rPr>
      <t xml:space="preserve">
</t>
    </r>
    <r>
      <rPr>
        <sz val="11"/>
        <color rgb="FF000000"/>
        <rFont val="Calibri"/>
      </rPr>
      <t>3. Click "Add Flow" button.</t>
    </r>
    <r>
      <rPr>
        <sz val="11"/>
        <color rgb="FF000000"/>
        <rFont val="Calibri"/>
      </rPr>
      <t xml:space="preserve">
</t>
    </r>
    <r>
      <rPr>
        <sz val="11"/>
        <color rgb="FF000000"/>
        <rFont val="Calibri"/>
      </rPr>
      <t>4. Enter General Setting values for "Switch", "Enable".  Optional: Enter General Settings for "Table ID", "Priority", "Idle Timeout", and "Hard Timeout".</t>
    </r>
    <r>
      <rPr>
        <sz val="11"/>
        <color rgb="FF000000"/>
        <rFont val="Calibri"/>
      </rPr>
      <t xml:space="preserve">
</t>
    </r>
    <r>
      <rPr>
        <sz val="11"/>
        <color rgb="FF000000"/>
        <rFont val="Calibri"/>
      </rPr>
      <t>5. Depending on communication protocol behavior, enter appropriate Match Field values for "ARP Opcode" ("Request" or "Reply"), "ARP Source", "ARP Target", "Communication Service Type (CST) Match", "Ethernet Destination", "Ethernet Source", "Ethernet Type", "InPort", "IP Proto", "IPv4 Destination", "IPv4 Source", "TCP Destination", "TCP Source", "UDP Destination", "UDP Source", "VLAN Priority", and/or "VLAN Virtually ID".</t>
    </r>
    <r>
      <rPr>
        <sz val="11"/>
        <color rgb="FF000000"/>
        <rFont val="Calibri"/>
      </rPr>
      <t xml:space="preserve">
</t>
    </r>
    <r>
      <rPr>
        <sz val="11"/>
        <color rgb="FF000000"/>
        <rFont val="Calibri"/>
      </rPr>
      <t>6. Enter appropriate Write-Actions for "Pop VLAN ID", "Push VLAN ID", "Set VLAN ID", "Set VLAN Priority", "Set Queue", "Group by Alias or Value", and/or "Output by Alias or Value".</t>
    </r>
    <r>
      <rPr>
        <sz val="11"/>
        <color rgb="FF000000"/>
        <rFont val="Calibri"/>
      </rPr>
      <t xml:space="preserve">
</t>
    </r>
    <r>
      <rPr>
        <sz val="11"/>
        <color rgb="FF000000"/>
        <rFont val="Calibri"/>
      </rPr>
      <t>7. Click "Submit".</t>
    </r>
  </si>
  <si>
    <r>
      <rPr>
        <sz val="11"/>
        <color rgb="FF000000"/>
        <rFont val="Calibri"/>
      </rPr>
      <t>DAI intercepts Address Resolution Protocol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</si>
  <si>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Review the SEL-2740S configuration to verify that Dynamic Address Resolution Protocol (ARP) flow rules have valid IP-to-MAC address bindings.</t>
    </r>
    <r>
      <rPr>
        <sz val="11"/>
        <color rgb="FF000000"/>
        <rFont val="Calibri"/>
      </rPr>
      <t xml:space="preserve">
</t>
    </r>
    <r>
      <rPr>
        <sz val="11"/>
        <color rgb="FF000000"/>
        <rFont val="Calibri"/>
      </rPr>
      <t>If the SEL-2740S Dynamic Address Resolution Protocol (ARP) flow rules are not configured with the valid IP-to-MAC address bindings, this is a finding.</t>
    </r>
  </si>
  <si>
    <t>V-94587</t>
  </si>
  <si>
    <r>
      <rPr>
        <sz val="11"/>
        <rFont val="Calibri"/>
      </rPr>
      <t>The SEL-2740S must authenticate all network-connected endpoint devices before establishing any connection.</t>
    </r>
  </si>
  <si>
    <r>
      <rPr>
        <sz val="11"/>
        <color rgb="FF000000"/>
        <rFont val="Calibri"/>
      </rPr>
      <t xml:space="preserve">Ensure there is no horizontal cabling from the switch to the general work area. </t>
    </r>
    <r>
      <rPr>
        <sz val="11"/>
        <color rgb="FF000000"/>
        <rFont val="Calibri"/>
      </rPr>
      <t xml:space="preserve">
</t>
    </r>
    <r>
      <rPr>
        <sz val="11"/>
        <color rgb="FF000000"/>
        <rFont val="Calibri"/>
      </rPr>
      <t>Verify that all cabling is contained within the telecom room, wiring closet, or equipment room.</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</si>
  <si>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</si>
  <si>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 xml:space="preserve">This finding can be downgraded to a CAT III if there is no horizontal cabling from the switch to the general work area. </t>
    </r>
    <r>
      <rPr>
        <sz val="11"/>
        <color rgb="FF000000"/>
        <rFont val="Calibri"/>
      </rPr>
      <t xml:space="preserve">
</t>
    </r>
    <r>
      <rPr>
        <sz val="11"/>
        <color rgb="FF000000"/>
        <rFont val="Calibri"/>
      </rPr>
      <t xml:space="preserve">Verify that all cabling is contained within the telecom room, wiring closet, or equipment room. </t>
    </r>
    <r>
      <rPr>
        <sz val="11"/>
        <color rgb="FF000000"/>
        <rFont val="Calibri"/>
      </rPr>
      <t xml:space="preserve">
</t>
    </r>
    <r>
      <rPr>
        <sz val="11"/>
        <color rgb="FF000000"/>
        <rFont val="Calibri"/>
      </rPr>
      <t>If there is cabling from the switch to LAN outlets (i.e.RJ-45 wall plates) in the general work area, this is a CAT II finding.</t>
    </r>
    <r>
      <rPr>
        <sz val="11"/>
        <color rgb="FF000000"/>
        <rFont val="Calibri"/>
      </rPr>
      <t xml:space="preserve">
</t>
    </r>
    <r>
      <rPr>
        <sz val="11"/>
        <color rgb="FF000000"/>
        <rFont val="Calibri"/>
      </rPr>
      <t>If all cabling is contained within the telecom room, wiring closet, or equipment room, this is a CAT III finding.</t>
    </r>
  </si>
  <si>
    <t>V-94589</t>
  </si>
  <si>
    <r>
      <rPr>
        <sz val="11"/>
        <rFont val="Calibri"/>
      </rPr>
      <t>The SEL-2740S must authenticate Network Time Protocol sources using authentication that is cryptographically based.</t>
    </r>
  </si>
  <si>
    <r>
      <rPr>
        <sz val="11"/>
        <color rgb="FF000000"/>
        <rFont val="Calibri"/>
      </rPr>
      <t>Deploy the NTP server within the private network. Provision both the physical path and redundant path between the switch and NTP server to ensure NTP packets only traverse the private network. Use multilayer packet inspection at each hop of the switches to whitelist only the intended NTP clients and server can communicate to each other.</t>
    </r>
  </si>
  <si>
    <r>
      <rPr>
        <sz val="11"/>
        <color rgb="FF000000"/>
        <rFont val="Calibri"/>
      </rPr>
      <t>If Network Time Protocol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</si>
  <si>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Verify NTP packets only traverse on the private network by traffic engineering both the physical path and redundant path between switch and NTP server.</t>
    </r>
    <r>
      <rPr>
        <sz val="11"/>
        <color rgb="FF000000"/>
        <rFont val="Calibri"/>
      </rPr>
      <t xml:space="preserve">
</t>
    </r>
    <r>
      <rPr>
        <sz val="11"/>
        <color rgb="FF000000"/>
        <rFont val="Calibri"/>
      </rPr>
      <t>1. Login to the OTSDN Controller with permission Level 3 rights into parent.</t>
    </r>
    <r>
      <rPr>
        <sz val="11"/>
        <color rgb="FF000000"/>
        <rFont val="Calibri"/>
      </rPr>
      <t xml:space="preserve">
</t>
    </r>
    <r>
      <rPr>
        <sz val="11"/>
        <color rgb="FF000000"/>
        <rFont val="Calibri"/>
      </rPr>
      <t>2. Go to the Configuration Objects settings page.</t>
    </r>
    <r>
      <rPr>
        <sz val="11"/>
        <color rgb="FF000000"/>
        <rFont val="Calibri"/>
      </rPr>
      <t xml:space="preserve">
</t>
    </r>
    <r>
      <rPr>
        <sz val="11"/>
        <color rgb="FF000000"/>
        <rFont val="Calibri"/>
      </rPr>
      <t>3. Review the NTP Server IP addresses in the settings fields.</t>
    </r>
    <r>
      <rPr>
        <sz val="11"/>
        <color rgb="FF000000"/>
        <rFont val="Calibri"/>
      </rPr>
      <t xml:space="preserve">
</t>
    </r>
    <r>
      <rPr>
        <sz val="11"/>
        <color rgb="FF000000"/>
        <rFont val="Calibri"/>
      </rPr>
      <t>If the IP addresses are not within the private network, this is a finding.</t>
    </r>
  </si>
  <si>
    <t>V-94591</t>
  </si>
  <si>
    <r>
      <rPr>
        <sz val="11"/>
        <rFont val="Calibri"/>
      </rPr>
      <t>The SEL-2740S must employ automated mechanisms to assist in the tracking of security incidents.</t>
    </r>
  </si>
  <si>
    <r>
      <rPr>
        <sz val="11"/>
        <color rgb="FF000000"/>
        <rFont val="Calibri"/>
      </rPr>
      <t>To configure the SEL-2740S to send logs to Syslog servers do the following:</t>
    </r>
    <r>
      <rPr>
        <sz val="11"/>
        <color rgb="FF000000"/>
        <rFont val="Calibri"/>
      </rPr>
      <t xml:space="preserve">
</t>
    </r>
    <r>
      <rPr>
        <sz val="11"/>
        <color rgb="FF000000"/>
        <rFont val="Calibri"/>
      </rPr>
      <t>1. Login with Permission Level 3 right into parent OTSDN Controller.</t>
    </r>
    <r>
      <rPr>
        <sz val="11"/>
        <color rgb="FF000000"/>
        <rFont val="Calibri"/>
      </rPr>
      <t xml:space="preserve">
</t>
    </r>
    <r>
      <rPr>
        <sz val="11"/>
        <color rgb="FF000000"/>
        <rFont val="Calibri"/>
      </rPr>
      <t>2. Go to the Configuration Objects settings page and select the desired switch.</t>
    </r>
    <r>
      <rPr>
        <sz val="11"/>
        <color rgb="FF000000"/>
        <rFont val="Calibri"/>
      </rPr>
      <t xml:space="preserve">
</t>
    </r>
    <r>
      <rPr>
        <sz val="11"/>
        <color rgb="FF000000"/>
        <rFont val="Calibri"/>
      </rPr>
      <t>3. Insert the Syslog log service and configure the settings with the desired IP addresses into the syslog settings fields.</t>
    </r>
    <r>
      <rPr>
        <sz val="11"/>
        <color rgb="FF000000"/>
        <rFont val="Calibri"/>
      </rPr>
      <t xml:space="preserve">
</t>
    </r>
    <r>
      <rPr>
        <sz val="11"/>
        <color rgb="FF000000"/>
        <rFont val="Calibri"/>
      </rPr>
      <t>4. Create the flow rules necessary for syslog.</t>
    </r>
  </si>
  <si>
    <r>
      <rPr>
        <sz val="11"/>
        <color rgb="FF000000"/>
        <rFont val="Calibri"/>
      </rPr>
      <t>Despite the investment in perimeter defense technologies, enclaves are still faced with detecting, analyzing, and remediating network breaches and exploits that have made it past the network device. An automated incident response infrastructure allows network operations to immediately react to incidents by identifying, analyzing, and mitigating any network device compromise. Incident response teams can perform root cause analysis, determine how the exploit proliferated, and identify all affected nodes, as well as contain and eliminate the threat.</t>
    </r>
    <r>
      <rPr>
        <sz val="11"/>
        <color rgb="FF000000"/>
        <rFont val="Calibri"/>
      </rPr>
      <t xml:space="preserve">
</t>
    </r>
    <r>
      <rPr>
        <sz val="11"/>
        <color rgb="FF000000"/>
        <rFont val="Calibri"/>
      </rPr>
      <t>The network device assists in the tracking of security incidents by logging detected security events. The audit log and network device application logs capture different types of events. The audit log tracks audit events occurring on the components of the network device. The application log tracks the results of the network device content filtering function. These logs must be aggregated into a centralized server and can be used as part of the organization's security incident tracking and analysis.</t>
    </r>
  </si>
  <si>
    <r>
      <rPr>
        <sz val="11"/>
        <color rgb="FF000000"/>
        <rFont val="Calibri"/>
      </rPr>
      <t>Verify that the switch is configured to use a syslog server for the purpose of forwarding alerts to the administrators and the ISSO.</t>
    </r>
    <r>
      <rPr>
        <sz val="11"/>
        <color rgb="FF000000"/>
        <rFont val="Calibri"/>
      </rPr>
      <t xml:space="preserve">
</t>
    </r>
    <r>
      <rPr>
        <sz val="11"/>
        <color rgb="FF000000"/>
        <rFont val="Calibri"/>
      </rPr>
      <t>1. Login with Permission Level 3 into the OTSDN Controller.</t>
    </r>
    <r>
      <rPr>
        <sz val="11"/>
        <color rgb="FF000000"/>
        <rFont val="Calibri"/>
      </rPr>
      <t xml:space="preserve">
</t>
    </r>
    <r>
      <rPr>
        <sz val="11"/>
        <color rgb="FF000000"/>
        <rFont val="Calibri"/>
      </rPr>
      <t>2. Go to the Configuration Object page and select the subject switch node.</t>
    </r>
    <r>
      <rPr>
        <sz val="11"/>
        <color rgb="FF000000"/>
        <rFont val="Calibri"/>
      </rPr>
      <t xml:space="preserve">
</t>
    </r>
    <r>
      <rPr>
        <sz val="11"/>
        <color rgb="FF000000"/>
        <rFont val="Calibri"/>
      </rPr>
      <t>3. Check the log services settings and confirm hat a syslog server IP address is in the settings fields.</t>
    </r>
    <r>
      <rPr>
        <sz val="11"/>
        <color rgb="FF000000"/>
        <rFont val="Calibri"/>
      </rPr>
      <t xml:space="preserve">
</t>
    </r>
    <r>
      <rPr>
        <sz val="11"/>
        <color rgb="FF000000"/>
        <rFont val="Calibri"/>
      </rPr>
      <t>If the SEL-2740S is not configured to use a syslog server,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</si>
  <si>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</si>
  <si>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</si>
  <si>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</si>
  <si>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</si>
  <si>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</si>
  <si>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</si>
  <si>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</si>
  <si>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</si>
  <si>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</si>
  <si>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</si>
  <si>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</si>
  <si>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</si>
  <si>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</si>
  <si>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</si>
  <si>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</si>
  <si>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</si>
  <si>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</si>
  <si>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</si>
  <si>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</si>
  <si>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</si>
  <si>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</si>
  <si>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</si>
  <si>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</si>
  <si>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</si>
  <si>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</si>
  <si>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</si>
  <si>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</si>
  <si>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</si>
  <si>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</si>
  <si>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SEL-2740S Security Technical Implementation Guide V1R1</t>
  </si>
  <si>
    <t>Developed By:</t>
  </si>
  <si>
    <t>SEL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</si>
  <si>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</si>
  <si>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02 May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</si>
  <si>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</si>
  <si>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</si>
  <si>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</si>
  <si>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The SEL-2740S is an SDN-aware switch that leverages OpenFlow specifications. Centralized traffic engineering via the SEL SDN controller enables the 2740S to control the forwarding plane based on flows. The SEL-2740S Security Technical Implementation Guide (STIG) provides the technical security requirements and configuration details for implementing security controls on the 2740S switch. The SEL-2740S STIG is a package of the following:</t>
    </r>
    <r>
      <rPr>
        <sz val="11"/>
        <color rgb="FF000000"/>
        <rFont val="Calibri"/>
      </rPr>
      <t xml:space="preserve">
</t>
    </r>
    <r>
      <rPr>
        <sz val="11"/>
        <color rgb="FF000000"/>
        <rFont val="Calibri"/>
      </rPr>
      <t> SEL-2740S Layer 2 Switch STIG  SEL-2740S Network Device Management STIG</t>
    </r>
  </si>
  <si>
    <t>Components:</t>
  </si>
  <si>
    <r>
      <rPr>
        <i/>
        <sz val="11"/>
        <color rgb="FF000000"/>
        <rFont val="Calibri"/>
      </rPr>
      <t>Title:</t>
    </r>
    <r>
      <rPr>
        <sz val="11"/>
        <color rgb="FF000000"/>
        <rFont val="Calibri"/>
      </rPr>
      <t xml:space="preserve"> SEL-2740S L2S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02 May 2019     </t>
    </r>
    <r>
      <rPr>
        <i/>
        <sz val="11"/>
        <color rgb="FF000000"/>
        <rFont val="Calibri"/>
      </rPr>
      <t>Recommendation Count:</t>
    </r>
    <r>
      <rPr>
        <sz val="11"/>
        <color rgb="FF000000"/>
        <rFont val="Calibri"/>
      </rPr>
      <t xml:space="preserve"> 13</t>
    </r>
  </si>
  <si>
    <r>
      <rPr>
        <i/>
        <sz val="11"/>
        <color rgb="FF000000"/>
        <rFont val="Calibri"/>
      </rPr>
      <t>Title:</t>
    </r>
    <r>
      <rPr>
        <sz val="11"/>
        <color rgb="FF000000"/>
        <rFont val="Calibri"/>
      </rPr>
      <t xml:space="preserve"> SEL-2740S NDM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02 May 2019     </t>
    </r>
    <r>
      <rPr>
        <i/>
        <sz val="11"/>
        <color rgb="FF000000"/>
        <rFont val="Calibri"/>
      </rPr>
      <t>Recommendation Count:</t>
    </r>
    <r>
      <rPr>
        <sz val="11"/>
        <color rgb="FF000000"/>
        <rFont val="Calibri"/>
      </rPr>
      <t xml:space="preserve"> 13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</si>
  <si>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</si>
  <si>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</si>
  <si>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</si>
  <si>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</si>
  <si>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</si>
  <si>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</si>
  <si>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</si>
  <si>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</si>
  <si>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</si>
  <si>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</si>
  <si>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</si>
  <si>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</si>
  <si>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</si>
  <si>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</si>
  <si>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</si>
  <si>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</si>
  <si>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</si>
  <si>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</si>
  <si>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</si>
  <si>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</si>
  <si>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</si>
  <si>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</si>
  <si>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</si>
  <si>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SEL-2740S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</si>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</sst>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C99-4A1E-A59D-F963C94080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C99-4A1E-A59D-F963C94080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CC99-4A1E-A59D-F963C940808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L2S</c:v>
                </c:pt>
                <c:pt idx="1">
                  <c:v>NDM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F06-4C84-B030-2E68390954F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L2S</c:v>
                </c:pt>
                <c:pt idx="1">
                  <c:v>NDM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F06-4C84-B030-2E68390954F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L2S</c:v>
                </c:pt>
                <c:pt idx="1">
                  <c:v>NDM</c:v>
                </c:pt>
              </c:strCache>
            </c:strRef>
          </c:cat>
          <c:val>
            <c:numRef>
              <c:f>Dashboard!$E$29:$E$30</c:f>
              <c:numCache>
                <c:formatCode>General</c:formatCode>
                <c:ptCount val="2"/>
                <c:pt idx="0">
                  <c:v>13</c:v>
                </c:pt>
                <c:pt idx="1">
                  <c:v>13</c:v>
                </c:pt>
              </c:numCache>
            </c:numRef>
          </c:val>
          <c:extLst>
            <c:ext xmlns:c16="http://schemas.microsoft.com/office/drawing/2014/chart" uri="{C3380CC4-5D6E-409C-BE32-E72D297353CC}">
              <c16:uniqueId val="{00000002-7F06-4C84-B030-2E68390954F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F5C-477D-9B33-C09C5C80BE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F5C-477D-9B33-C09C5C80BE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2F5C-477D-9B33-C09C5C80BE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DD0-4171-9BBE-2591188D60C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DD0-4171-9BBE-2591188D60C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Dashboard!$E$67:$E$68</c:f>
              <c:numCache>
                <c:formatCode>General</c:formatCode>
                <c:ptCount val="2"/>
                <c:pt idx="0">
                  <c:v>2</c:v>
                </c:pt>
                <c:pt idx="1">
                  <c:v>24</c:v>
                </c:pt>
              </c:numCache>
            </c:numRef>
          </c:val>
          <c:extLst>
            <c:ext xmlns:c16="http://schemas.microsoft.com/office/drawing/2014/chart" uri="{C3380CC4-5D6E-409C-BE32-E72D297353CC}">
              <c16:uniqueId val="{00000002-EDD0-4171-9BBE-2591188D60C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8F9-4987-8DE6-EE359A158BD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8F9-4987-8DE6-EE359A158BD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48F9-4987-8DE6-EE359A158BD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AE0-4517-B4FB-E0962D7D7B4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AE0-4517-B4FB-E0962D7D7B4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DAE0-4517-B4FB-E0962D7D7B4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A5E-4749-B6D8-C22DBC28D624}"/>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A5E-4749-B6D8-C22DBC28D624}"/>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A5E-4749-B6D8-C22DBC28D624}"/>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A5E-4749-B6D8-C22DBC28D62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460-4D14-9358-06430F7C0EC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tvdu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x5vm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r2y4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l241n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stc0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52lr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3ehuq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gg3a0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
  <autoFilter ref="A1:N2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148</v>
      </c>
    </row>
    <row r="3" spans="2:3" ht="15" customHeight="1" x14ac:dyDescent="0.35"/>
    <row r="4" spans="2:3" ht="58" x14ac:dyDescent="0.35">
      <c r="B4" s="20" t="s">
        <v>149</v>
      </c>
      <c r="C4" s="21" t="s">
        <v>150</v>
      </c>
    </row>
    <row r="5" spans="2:3" x14ac:dyDescent="0.35">
      <c r="C5" s="21" t="s">
        <v>151</v>
      </c>
    </row>
    <row r="6" spans="2:3" x14ac:dyDescent="0.35">
      <c r="C6" s="18" t="s">
        <v>152</v>
      </c>
    </row>
    <row r="7" spans="2:3" ht="10" customHeight="1" x14ac:dyDescent="0.35"/>
    <row r="8" spans="2:3" ht="232" x14ac:dyDescent="0.35">
      <c r="B8" s="22" t="s">
        <v>153</v>
      </c>
      <c r="C8" s="21" t="s">
        <v>154</v>
      </c>
    </row>
    <row r="9" spans="2:3" ht="10" customHeight="1" x14ac:dyDescent="0.35"/>
    <row r="10" spans="2:3" ht="35" customHeight="1" x14ac:dyDescent="0.35">
      <c r="B10" s="22" t="s">
        <v>155</v>
      </c>
      <c r="C10" s="21" t="s">
        <v>156</v>
      </c>
    </row>
    <row r="11" spans="2:3" ht="75" customHeight="1" x14ac:dyDescent="0.35">
      <c r="B11" s="18" t="s">
        <v>21</v>
      </c>
      <c r="C11" s="21" t="s">
        <v>157</v>
      </c>
    </row>
    <row r="12" spans="2:3" ht="47" customHeight="1" x14ac:dyDescent="0.35">
      <c r="B12" s="18" t="s">
        <v>21</v>
      </c>
      <c r="C12" s="21" t="s">
        <v>158</v>
      </c>
    </row>
    <row r="13" spans="2:3" ht="35" customHeight="1" x14ac:dyDescent="0.35">
      <c r="B13" s="18" t="s">
        <v>21</v>
      </c>
      <c r="C13" s="21" t="s">
        <v>159</v>
      </c>
    </row>
    <row r="14" spans="2:3" ht="32" customHeight="1" x14ac:dyDescent="0.35">
      <c r="B14" s="18" t="s">
        <v>21</v>
      </c>
      <c r="C14" s="21" t="s">
        <v>160</v>
      </c>
    </row>
    <row r="15" spans="2:3" ht="30" customHeight="1" x14ac:dyDescent="0.35">
      <c r="B15" s="18" t="s">
        <v>21</v>
      </c>
      <c r="C15" s="21" t="s">
        <v>161</v>
      </c>
    </row>
    <row r="16" spans="2:3" ht="10" customHeight="1" x14ac:dyDescent="0.35"/>
    <row r="17" spans="1:3" ht="145" customHeight="1" x14ac:dyDescent="0.35">
      <c r="B17" s="22" t="s">
        <v>162</v>
      </c>
      <c r="C17" s="21" t="s">
        <v>163</v>
      </c>
    </row>
    <row r="18" spans="1:3" ht="10" customHeight="1" x14ac:dyDescent="0.35"/>
    <row r="19" spans="1:3" ht="3" customHeight="1" x14ac:dyDescent="0.35">
      <c r="B19" s="23"/>
      <c r="C19" s="23"/>
    </row>
    <row r="20" spans="1:3" ht="12" customHeight="1" x14ac:dyDescent="0.35"/>
    <row r="21" spans="1:3" ht="35" customHeight="1" x14ac:dyDescent="0.35">
      <c r="A21" s="25"/>
      <c r="B21" s="26" t="s">
        <v>164</v>
      </c>
      <c r="C21" s="27" t="s">
        <v>165</v>
      </c>
    </row>
    <row r="22" spans="1:3" ht="18" customHeight="1" x14ac:dyDescent="0.35">
      <c r="A22" s="25"/>
      <c r="B22" s="25" t="s">
        <v>21</v>
      </c>
      <c r="C22" s="27" t="s">
        <v>166</v>
      </c>
    </row>
    <row r="23" spans="1:3" ht="18" customHeight="1" x14ac:dyDescent="0.35">
      <c r="A23" s="25"/>
      <c r="B23" s="25" t="s">
        <v>21</v>
      </c>
      <c r="C23" s="27" t="s">
        <v>167</v>
      </c>
    </row>
    <row r="24" spans="1:3" ht="18" customHeight="1" x14ac:dyDescent="0.35">
      <c r="A24" s="25"/>
      <c r="B24" s="25" t="s">
        <v>21</v>
      </c>
      <c r="C24" s="27" t="s">
        <v>168</v>
      </c>
    </row>
    <row r="25" spans="1:3" ht="18" customHeight="1" x14ac:dyDescent="0.35">
      <c r="A25" s="25"/>
      <c r="B25" s="25" t="s">
        <v>21</v>
      </c>
      <c r="C25" s="27" t="s">
        <v>169</v>
      </c>
    </row>
    <row r="26" spans="1:3" ht="18" customHeight="1" x14ac:dyDescent="0.35">
      <c r="A26" s="25"/>
      <c r="B26" s="25" t="s">
        <v>21</v>
      </c>
      <c r="C26" s="27" t="s">
        <v>170</v>
      </c>
    </row>
    <row r="27" spans="1:3" ht="18" customHeight="1" x14ac:dyDescent="0.35">
      <c r="A27" s="25"/>
      <c r="B27" s="25" t="s">
        <v>21</v>
      </c>
      <c r="C27" s="27" t="s">
        <v>171</v>
      </c>
    </row>
    <row r="28" spans="1:3" ht="18" customHeight="1" x14ac:dyDescent="0.35">
      <c r="A28" s="25"/>
      <c r="B28" s="25" t="s">
        <v>21</v>
      </c>
      <c r="C28" s="27" t="s">
        <v>172</v>
      </c>
    </row>
    <row r="29" spans="1:3" ht="18" customHeight="1" x14ac:dyDescent="0.35">
      <c r="A29" s="25"/>
      <c r="B29" s="25" t="s">
        <v>21</v>
      </c>
      <c r="C29" s="27" t="s">
        <v>173</v>
      </c>
    </row>
    <row r="30" spans="1:3" ht="44" customHeight="1" x14ac:dyDescent="0.35">
      <c r="A30" s="25"/>
      <c r="B30" s="25" t="s">
        <v>21</v>
      </c>
      <c r="C30" s="28" t="s">
        <v>174</v>
      </c>
    </row>
    <row r="31" spans="1:3" ht="10" customHeight="1" x14ac:dyDescent="0.35"/>
    <row r="32" spans="1:3" ht="3" customHeight="1" x14ac:dyDescent="0.35">
      <c r="B32" s="23"/>
      <c r="C32" s="23"/>
    </row>
    <row r="33" spans="2:3" ht="12" customHeight="1" x14ac:dyDescent="0.35"/>
    <row r="34" spans="2:3" ht="24" customHeight="1" x14ac:dyDescent="0.35">
      <c r="B34" s="29" t="s">
        <v>175</v>
      </c>
      <c r="C34" s="30" t="s">
        <v>176</v>
      </c>
    </row>
    <row r="35" spans="2:3" ht="18.5" x14ac:dyDescent="0.35">
      <c r="B35" s="29" t="s">
        <v>177</v>
      </c>
      <c r="C35" s="31" t="s">
        <v>178</v>
      </c>
    </row>
    <row r="36" spans="2:3" ht="27" customHeight="1" x14ac:dyDescent="0.35">
      <c r="B36" s="32" t="s">
        <v>179</v>
      </c>
      <c r="C36" s="24" t="s">
        <v>180</v>
      </c>
    </row>
    <row r="37" spans="2:3" x14ac:dyDescent="0.35">
      <c r="B37" s="29" t="s">
        <v>181</v>
      </c>
      <c r="C37" s="33" t="s">
        <v>182</v>
      </c>
    </row>
    <row r="38" spans="2:3" ht="10" customHeight="1" x14ac:dyDescent="0.35"/>
    <row r="39" spans="2:3" ht="101.5" x14ac:dyDescent="0.35">
      <c r="B39" s="29" t="s">
        <v>183</v>
      </c>
      <c r="C39" s="34" t="s">
        <v>184</v>
      </c>
    </row>
    <row r="40" spans="2:3" ht="10" customHeight="1" x14ac:dyDescent="0.35"/>
    <row r="41" spans="2:3" ht="20" customHeight="1" x14ac:dyDescent="0.35">
      <c r="B41" s="29" t="s">
        <v>185</v>
      </c>
      <c r="C41" s="35" t="s">
        <v>17</v>
      </c>
    </row>
    <row r="42" spans="2:3" ht="29" x14ac:dyDescent="0.35">
      <c r="C42" s="21" t="s">
        <v>186</v>
      </c>
    </row>
    <row r="43" spans="2:3" ht="10" customHeight="1" x14ac:dyDescent="0.35"/>
    <row r="44" spans="2:3" ht="20" customHeight="1" x14ac:dyDescent="0.35">
      <c r="C44" s="35" t="s">
        <v>48</v>
      </c>
    </row>
    <row r="45" spans="2:3" ht="29" x14ac:dyDescent="0.35">
      <c r="C45" s="21" t="s">
        <v>187</v>
      </c>
    </row>
    <row r="46" spans="2:3" ht="10" customHeight="1" x14ac:dyDescent="0.35"/>
    <row r="47" spans="2:3" ht="43.5" x14ac:dyDescent="0.35">
      <c r="B47" s="29" t="s">
        <v>188</v>
      </c>
      <c r="C47" s="21" t="s">
        <v>189</v>
      </c>
    </row>
    <row r="48" spans="2:3" ht="10" customHeight="1" x14ac:dyDescent="0.35"/>
    <row r="49" spans="2:3" ht="15.5" x14ac:dyDescent="0.35">
      <c r="C49" s="36" t="s">
        <v>16</v>
      </c>
    </row>
    <row r="50" spans="2:3" ht="29" x14ac:dyDescent="0.35">
      <c r="C50" s="21" t="s">
        <v>190</v>
      </c>
    </row>
    <row r="51" spans="2:3" ht="10" customHeight="1" x14ac:dyDescent="0.35"/>
    <row r="52" spans="2:3" ht="15.5" x14ac:dyDescent="0.35">
      <c r="C52" s="37" t="s">
        <v>27</v>
      </c>
    </row>
    <row r="53" spans="2:3" ht="29" x14ac:dyDescent="0.35">
      <c r="C53" s="21" t="s">
        <v>191</v>
      </c>
    </row>
    <row r="54" spans="2:3" ht="10" customHeight="1" x14ac:dyDescent="0.35"/>
    <row r="55" spans="2:3" ht="15.5" x14ac:dyDescent="0.35">
      <c r="C55" s="38" t="s">
        <v>192</v>
      </c>
    </row>
    <row r="56" spans="2:3" ht="29" x14ac:dyDescent="0.35">
      <c r="C56" s="21" t="s">
        <v>193</v>
      </c>
    </row>
    <row r="57" spans="2:3" ht="10" customHeight="1" x14ac:dyDescent="0.35"/>
    <row r="58" spans="2:3" ht="3" customHeight="1" x14ac:dyDescent="0.35">
      <c r="B58" s="23"/>
      <c r="C58" s="23"/>
    </row>
    <row r="59" spans="2:3" ht="12" customHeight="1" x14ac:dyDescent="0.35"/>
    <row r="60" spans="2:3" ht="130.5" x14ac:dyDescent="0.35">
      <c r="B60" s="20" t="s">
        <v>194</v>
      </c>
      <c r="C60" s="21" t="s">
        <v>195</v>
      </c>
    </row>
    <row r="61" spans="2:3" ht="6" customHeight="1" x14ac:dyDescent="0.35"/>
    <row r="62" spans="2:3" ht="217.5" x14ac:dyDescent="0.35">
      <c r="C62" s="21" t="s">
        <v>196</v>
      </c>
    </row>
    <row r="63" spans="2:3" ht="6" customHeight="1" x14ac:dyDescent="0.35"/>
    <row r="64" spans="2:3" ht="43.5" x14ac:dyDescent="0.35">
      <c r="C64" s="21" t="s">
        <v>197</v>
      </c>
    </row>
    <row r="65" spans="2:3" ht="10" customHeight="1" x14ac:dyDescent="0.35"/>
    <row r="66" spans="2:3" ht="3" customHeight="1" x14ac:dyDescent="0.35">
      <c r="B66" s="23"/>
      <c r="C66" s="23"/>
    </row>
    <row r="67" spans="2:3" ht="12" customHeight="1" x14ac:dyDescent="0.35"/>
    <row r="68" spans="2:3" ht="145" x14ac:dyDescent="0.35">
      <c r="B68" s="20" t="s">
        <v>198</v>
      </c>
      <c r="C68" s="21" t="s">
        <v>199</v>
      </c>
    </row>
    <row r="69" spans="2:3" ht="6" customHeight="1" x14ac:dyDescent="0.35"/>
    <row r="70" spans="2:3" ht="203" x14ac:dyDescent="0.35">
      <c r="C70" s="21" t="s">
        <v>200</v>
      </c>
    </row>
    <row r="71" spans="2:3" ht="6" customHeight="1" x14ac:dyDescent="0.35"/>
    <row r="72" spans="2:3" ht="43.5" x14ac:dyDescent="0.35">
      <c r="C72" s="21" t="s">
        <v>201</v>
      </c>
    </row>
    <row r="73" spans="2:3" ht="10" customHeight="1" x14ac:dyDescent="0.35"/>
    <row r="74" spans="2:3" ht="3" customHeight="1" x14ac:dyDescent="0.35">
      <c r="B74" s="23"/>
      <c r="C74" s="23"/>
    </row>
    <row r="75" spans="2:3" ht="12" customHeight="1" x14ac:dyDescent="0.35"/>
    <row r="76" spans="2:3" ht="101.5" x14ac:dyDescent="0.35">
      <c r="B76" s="20" t="s">
        <v>202</v>
      </c>
      <c r="C76" s="21" t="s">
        <v>203</v>
      </c>
    </row>
    <row r="77" spans="2:3" ht="6" customHeight="1" x14ac:dyDescent="0.35"/>
    <row r="78" spans="2:3" ht="145" x14ac:dyDescent="0.35">
      <c r="C78" s="21" t="s">
        <v>204</v>
      </c>
    </row>
    <row r="79" spans="2:3" ht="6" customHeight="1" x14ac:dyDescent="0.35"/>
    <row r="80" spans="2:3" ht="43.5" x14ac:dyDescent="0.35">
      <c r="C80" s="21" t="s">
        <v>205</v>
      </c>
    </row>
    <row r="84" spans="2:3" ht="32" customHeight="1" x14ac:dyDescent="0.35">
      <c r="B84" s="81" t="s">
        <v>147</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206</v>
      </c>
      <c r="C2" s="83"/>
      <c r="D2" s="83"/>
      <c r="E2" s="83"/>
      <c r="F2" s="83"/>
      <c r="G2" s="83"/>
      <c r="H2" s="83"/>
      <c r="I2" s="83"/>
    </row>
    <row r="4" spans="2:15" ht="18.5" x14ac:dyDescent="0.45">
      <c r="B4" s="40" t="s">
        <v>207</v>
      </c>
    </row>
    <row r="5" spans="2:15" x14ac:dyDescent="0.35">
      <c r="B5" s="42" t="s">
        <v>21</v>
      </c>
      <c r="C5" s="42" t="s">
        <v>208</v>
      </c>
      <c r="D5" s="42" t="s">
        <v>209</v>
      </c>
      <c r="F5" s="84" t="s">
        <v>210</v>
      </c>
      <c r="G5" s="84"/>
      <c r="H5" s="84"/>
      <c r="I5" s="85" t="s">
        <v>211</v>
      </c>
      <c r="J5" s="85"/>
      <c r="K5" s="85"/>
      <c r="L5" s="85"/>
      <c r="M5" s="85"/>
      <c r="N5" s="85"/>
      <c r="O5" s="85"/>
    </row>
    <row r="6" spans="2:15" x14ac:dyDescent="0.35">
      <c r="B6" s="48" t="s">
        <v>212</v>
      </c>
      <c r="C6" s="49">
        <v>26</v>
      </c>
      <c r="D6" s="50" t="s">
        <v>21</v>
      </c>
      <c r="F6" s="84" t="s">
        <v>213</v>
      </c>
      <c r="G6" s="84"/>
      <c r="H6" s="84"/>
      <c r="I6" s="86" t="s">
        <v>214</v>
      </c>
      <c r="J6" s="86"/>
      <c r="K6" s="86"/>
      <c r="L6" s="86"/>
      <c r="M6" s="86"/>
      <c r="N6" s="86"/>
      <c r="O6" s="86"/>
    </row>
    <row r="7" spans="2:15" x14ac:dyDescent="0.35">
      <c r="B7" s="51" t="s">
        <v>215</v>
      </c>
      <c r="C7" s="52">
        <f>C6-C8-C9</f>
        <v>26</v>
      </c>
      <c r="D7" s="53">
        <f>IF(C6&gt;0,C7/C6,0)</f>
        <v>1</v>
      </c>
      <c r="F7" s="84" t="s">
        <v>216</v>
      </c>
      <c r="G7" s="84"/>
      <c r="H7" s="84"/>
      <c r="I7" s="86" t="s">
        <v>214</v>
      </c>
      <c r="J7" s="86"/>
      <c r="K7" s="86"/>
      <c r="L7" s="86"/>
      <c r="M7" s="86"/>
      <c r="N7" s="86"/>
      <c r="O7" s="86"/>
    </row>
    <row r="8" spans="2:15" x14ac:dyDescent="0.35">
      <c r="B8" s="44" t="s">
        <v>217</v>
      </c>
      <c r="C8" s="45">
        <f>COUNTIF('Recommendations'!H:H,"Risk Accepted")</f>
        <v>0</v>
      </c>
      <c r="D8" s="46">
        <f>IF(C6&gt;0,C8/C6,0)</f>
        <v>0</v>
      </c>
      <c r="F8" s="84" t="s">
        <v>218</v>
      </c>
      <c r="G8" s="84"/>
      <c r="H8" s="84"/>
      <c r="I8" s="86" t="s">
        <v>214</v>
      </c>
      <c r="J8" s="86"/>
      <c r="K8" s="86"/>
      <c r="L8" s="86"/>
      <c r="M8" s="86"/>
      <c r="N8" s="86"/>
      <c r="O8" s="86"/>
    </row>
    <row r="9" spans="2:15" x14ac:dyDescent="0.35">
      <c r="B9" s="44" t="s">
        <v>219</v>
      </c>
      <c r="C9" s="45">
        <f>COUNTIF('Recommendations'!H:H,"N/A")</f>
        <v>0</v>
      </c>
      <c r="D9" s="46">
        <f>IF(C6&gt;0,C9/C6,0)</f>
        <v>0</v>
      </c>
      <c r="F9" s="84" t="s">
        <v>220</v>
      </c>
      <c r="G9" s="84"/>
      <c r="H9" s="84"/>
      <c r="I9" s="86" t="s">
        <v>214</v>
      </c>
      <c r="J9" s="86"/>
      <c r="K9" s="86"/>
      <c r="L9" s="86"/>
      <c r="M9" s="86"/>
      <c r="N9" s="86"/>
      <c r="O9" s="86"/>
    </row>
    <row r="12" spans="2:15" ht="18.5" x14ac:dyDescent="0.45">
      <c r="B12" s="40" t="s">
        <v>221</v>
      </c>
    </row>
    <row r="14" spans="2:15" x14ac:dyDescent="0.35">
      <c r="B14" s="54" t="s">
        <v>222</v>
      </c>
    </row>
    <row r="15" spans="2:15" x14ac:dyDescent="0.35">
      <c r="B15" s="42" t="s">
        <v>21</v>
      </c>
      <c r="C15" s="42" t="s">
        <v>223</v>
      </c>
      <c r="D15" s="42" t="s">
        <v>224</v>
      </c>
      <c r="E15" s="42" t="s">
        <v>225</v>
      </c>
      <c r="F15" s="42" t="s">
        <v>226</v>
      </c>
    </row>
    <row r="16" spans="2:15" x14ac:dyDescent="0.35">
      <c r="B16" s="44" t="s">
        <v>227</v>
      </c>
      <c r="C16" s="45">
        <f>COUNTIF('Recommendations'!M:M,"Resolved")</f>
        <v>0</v>
      </c>
      <c r="D16" s="45">
        <f>COUNTIF('Recommendations'!M:M,"Testing")</f>
        <v>0</v>
      </c>
      <c r="E16" s="45">
        <f>COUNTIF('Recommendations'!M:M,"Outstanding")</f>
        <v>26</v>
      </c>
      <c r="F16" s="45">
        <f>SUM(C16:E16)</f>
        <v>26</v>
      </c>
    </row>
    <row r="18" spans="2:6" x14ac:dyDescent="0.35">
      <c r="B18" s="54" t="s">
        <v>228</v>
      </c>
    </row>
    <row r="19" spans="2:6" x14ac:dyDescent="0.35">
      <c r="B19" s="55" t="s">
        <v>21</v>
      </c>
      <c r="C19" s="55" t="s">
        <v>223</v>
      </c>
      <c r="D19" s="55" t="s">
        <v>224</v>
      </c>
      <c r="E19" s="55" t="s">
        <v>225</v>
      </c>
      <c r="F19" s="55" t="s">
        <v>21</v>
      </c>
    </row>
    <row r="20" spans="2:6" x14ac:dyDescent="0.35">
      <c r="B20" s="44" t="s">
        <v>227</v>
      </c>
      <c r="C20" s="46">
        <f>IF(F16&gt;0, C16/F16, 0)</f>
        <v>0</v>
      </c>
      <c r="D20" s="46">
        <f>IF(F16&gt;0, D16/F16, 0)</f>
        <v>0</v>
      </c>
      <c r="E20" s="46">
        <f>IF(F16&gt;0, E16/F16, 0)</f>
        <v>1</v>
      </c>
      <c r="F20" s="47" t="s">
        <v>21</v>
      </c>
    </row>
    <row r="25" spans="2:6" ht="18.5" x14ac:dyDescent="0.45">
      <c r="B25" s="40" t="s">
        <v>229</v>
      </c>
    </row>
    <row r="27" spans="2:6" x14ac:dyDescent="0.35">
      <c r="B27" s="54" t="s">
        <v>222</v>
      </c>
    </row>
    <row r="28" spans="2:6" x14ac:dyDescent="0.35">
      <c r="B28" s="42" t="s">
        <v>3</v>
      </c>
      <c r="C28" s="42" t="s">
        <v>223</v>
      </c>
      <c r="D28" s="42" t="s">
        <v>224</v>
      </c>
      <c r="E28" s="42" t="s">
        <v>225</v>
      </c>
      <c r="F28" s="42" t="s">
        <v>226</v>
      </c>
    </row>
    <row r="29" spans="2:6" x14ac:dyDescent="0.35">
      <c r="B29" s="44" t="s">
        <v>17</v>
      </c>
      <c r="C29" s="45">
        <f>COUNTIFS('Recommendations'!D:D,"L2S",'Recommendations'!M:M,"=Resolved")</f>
        <v>0</v>
      </c>
      <c r="D29" s="45">
        <f>COUNTIFS('Recommendations'!D:D,"=L2S",'Recommendations'!M:M,"=Testing")</f>
        <v>0</v>
      </c>
      <c r="E29" s="45">
        <f>COUNTIFS('Recommendations'!D:D,"=L2S",'Recommendations'!M:M,"=Outstanding")</f>
        <v>13</v>
      </c>
      <c r="F29" s="45">
        <f>SUM(C29:E29)</f>
        <v>13</v>
      </c>
    </row>
    <row r="30" spans="2:6" x14ac:dyDescent="0.35">
      <c r="B30" s="44" t="s">
        <v>48</v>
      </c>
      <c r="C30" s="45">
        <f>COUNTIFS('Recommendations'!D:D,"NDM",'Recommendations'!M:M,"=Resolved")</f>
        <v>0</v>
      </c>
      <c r="D30" s="45">
        <f>COUNTIFS('Recommendations'!D:D,"=NDM",'Recommendations'!M:M,"=Testing")</f>
        <v>0</v>
      </c>
      <c r="E30" s="45">
        <f>COUNTIFS('Recommendations'!D:D,"=NDM",'Recommendations'!M:M,"=Outstanding")</f>
        <v>13</v>
      </c>
      <c r="F30" s="45">
        <f>SUM(C30:E30)</f>
        <v>13</v>
      </c>
    </row>
    <row r="32" spans="2:6" x14ac:dyDescent="0.35">
      <c r="B32" s="54" t="s">
        <v>228</v>
      </c>
    </row>
    <row r="33" spans="2:6" x14ac:dyDescent="0.35">
      <c r="B33" s="55" t="s">
        <v>3</v>
      </c>
      <c r="C33" s="55" t="s">
        <v>223</v>
      </c>
      <c r="D33" s="55" t="s">
        <v>224</v>
      </c>
      <c r="E33" s="55" t="s">
        <v>225</v>
      </c>
      <c r="F33" s="55" t="s">
        <v>21</v>
      </c>
    </row>
    <row r="34" spans="2:6" x14ac:dyDescent="0.35">
      <c r="B34" s="44" t="s">
        <v>17</v>
      </c>
      <c r="C34" s="46">
        <f>IF(F29&gt;0, C29/F29, 0)</f>
        <v>0</v>
      </c>
      <c r="D34" s="46">
        <f>IF(F29&gt;0, D29/F29, 0)</f>
        <v>0</v>
      </c>
      <c r="E34" s="46">
        <f>IF(F29&gt;0, E29/F29, 0)</f>
        <v>1</v>
      </c>
      <c r="F34" s="47" t="s">
        <v>21</v>
      </c>
    </row>
    <row r="35" spans="2:6" x14ac:dyDescent="0.35">
      <c r="B35" s="44" t="s">
        <v>48</v>
      </c>
      <c r="C35" s="46">
        <f>IF(F30&gt;0, C30/F30, 0)</f>
        <v>0</v>
      </c>
      <c r="D35" s="46">
        <f>IF(F30&gt;0, D30/F30, 0)</f>
        <v>0</v>
      </c>
      <c r="E35" s="46">
        <f>IF(F30&gt;0, E30/F30, 0)</f>
        <v>1</v>
      </c>
      <c r="F35" s="47" t="s">
        <v>21</v>
      </c>
    </row>
    <row r="40" spans="2:6" ht="18.5" x14ac:dyDescent="0.45">
      <c r="B40" s="40" t="s">
        <v>230</v>
      </c>
    </row>
    <row r="42" spans="2:6" x14ac:dyDescent="0.35">
      <c r="B42" s="54" t="s">
        <v>222</v>
      </c>
    </row>
    <row r="43" spans="2:6" x14ac:dyDescent="0.35">
      <c r="B43" s="42" t="s">
        <v>6</v>
      </c>
      <c r="C43" s="42" t="s">
        <v>223</v>
      </c>
      <c r="D43" s="42" t="s">
        <v>224</v>
      </c>
      <c r="E43" s="42" t="s">
        <v>225</v>
      </c>
      <c r="F43" s="42" t="s">
        <v>226</v>
      </c>
    </row>
    <row r="44" spans="2:6" x14ac:dyDescent="0.35">
      <c r="B44" s="44" t="s">
        <v>231</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232</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233</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234</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235</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26</v>
      </c>
      <c r="F49" s="45">
        <f t="shared" si="0"/>
        <v>26</v>
      </c>
    </row>
    <row r="51" spans="2:6" x14ac:dyDescent="0.35">
      <c r="B51" s="54" t="s">
        <v>228</v>
      </c>
    </row>
    <row r="52" spans="2:6" x14ac:dyDescent="0.35">
      <c r="B52" s="55" t="s">
        <v>6</v>
      </c>
      <c r="C52" s="55" t="s">
        <v>223</v>
      </c>
      <c r="D52" s="55" t="s">
        <v>224</v>
      </c>
      <c r="E52" s="55" t="s">
        <v>225</v>
      </c>
      <c r="F52" s="55" t="s">
        <v>21</v>
      </c>
    </row>
    <row r="53" spans="2:6" x14ac:dyDescent="0.35">
      <c r="B53" s="44" t="s">
        <v>231</v>
      </c>
      <c r="C53" s="46">
        <f t="shared" ref="C53:C58" si="1">IF(F44&gt;0, C44/F44, 0)</f>
        <v>0</v>
      </c>
      <c r="D53" s="46">
        <f t="shared" ref="D53:D58" si="2">IF(F44&gt;0, D44/F44, 0)</f>
        <v>0</v>
      </c>
      <c r="E53" s="46">
        <f t="shared" ref="E53:E58" si="3">IF(F44&gt;0, E44/F44, 0)</f>
        <v>0</v>
      </c>
      <c r="F53" s="47" t="s">
        <v>21</v>
      </c>
    </row>
    <row r="54" spans="2:6" x14ac:dyDescent="0.35">
      <c r="B54" s="44" t="s">
        <v>232</v>
      </c>
      <c r="C54" s="46">
        <f t="shared" si="1"/>
        <v>0</v>
      </c>
      <c r="D54" s="46">
        <f t="shared" si="2"/>
        <v>0</v>
      </c>
      <c r="E54" s="46">
        <f t="shared" si="3"/>
        <v>0</v>
      </c>
      <c r="F54" s="47" t="s">
        <v>21</v>
      </c>
    </row>
    <row r="55" spans="2:6" x14ac:dyDescent="0.35">
      <c r="B55" s="44" t="s">
        <v>233</v>
      </c>
      <c r="C55" s="46">
        <f t="shared" si="1"/>
        <v>0</v>
      </c>
      <c r="D55" s="46">
        <f t="shared" si="2"/>
        <v>0</v>
      </c>
      <c r="E55" s="46">
        <f t="shared" si="3"/>
        <v>0</v>
      </c>
      <c r="F55" s="47" t="s">
        <v>21</v>
      </c>
    </row>
    <row r="56" spans="2:6" x14ac:dyDescent="0.35">
      <c r="B56" s="44" t="s">
        <v>234</v>
      </c>
      <c r="C56" s="46">
        <f t="shared" si="1"/>
        <v>0</v>
      </c>
      <c r="D56" s="46">
        <f t="shared" si="2"/>
        <v>0</v>
      </c>
      <c r="E56" s="46">
        <f t="shared" si="3"/>
        <v>0</v>
      </c>
      <c r="F56" s="47" t="s">
        <v>21</v>
      </c>
    </row>
    <row r="57" spans="2:6" x14ac:dyDescent="0.35">
      <c r="B57" s="44" t="s">
        <v>235</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236</v>
      </c>
    </row>
    <row r="65" spans="2:6" x14ac:dyDescent="0.35">
      <c r="B65" s="54" t="s">
        <v>222</v>
      </c>
    </row>
    <row r="66" spans="2:6" x14ac:dyDescent="0.35">
      <c r="B66" s="42" t="s">
        <v>2</v>
      </c>
      <c r="C66" s="42" t="s">
        <v>223</v>
      </c>
      <c r="D66" s="42" t="s">
        <v>224</v>
      </c>
      <c r="E66" s="42" t="s">
        <v>225</v>
      </c>
      <c r="F66" s="42" t="s">
        <v>226</v>
      </c>
    </row>
    <row r="67" spans="2:6" x14ac:dyDescent="0.35">
      <c r="B67" s="44" t="s">
        <v>16</v>
      </c>
      <c r="C67" s="45">
        <f>COUNTIFS('Recommendations'!C:C,"CAT I (High)",'Recommendations'!M:M,"=Resolved")</f>
        <v>0</v>
      </c>
      <c r="D67" s="45">
        <f>COUNTIFS('Recommendations'!C:C,"=CAT I (High)",'Recommendations'!M:M,"=Testing")</f>
        <v>0</v>
      </c>
      <c r="E67" s="45">
        <f>COUNTIFS('Recommendations'!C:C,"=CAT I (High)",'Recommendations'!M:M,"=Outstanding")</f>
        <v>2</v>
      </c>
      <c r="F67" s="45">
        <f>SUM(C67:E67)</f>
        <v>2</v>
      </c>
    </row>
    <row r="68" spans="2:6" x14ac:dyDescent="0.35">
      <c r="B68" s="44" t="s">
        <v>27</v>
      </c>
      <c r="C68" s="45">
        <f>COUNTIFS('Recommendations'!C:C,"CAT II (Medium)",'Recommendations'!M:M,"=Resolved")</f>
        <v>0</v>
      </c>
      <c r="D68" s="45">
        <f>COUNTIFS('Recommendations'!C:C,"=CAT II (Medium)",'Recommendations'!M:M,"=Testing")</f>
        <v>0</v>
      </c>
      <c r="E68" s="45">
        <f>COUNTIFS('Recommendations'!C:C,"=CAT II (Medium)",'Recommendations'!M:M,"=Outstanding")</f>
        <v>24</v>
      </c>
      <c r="F68" s="45">
        <f>SUM(C68:E68)</f>
        <v>24</v>
      </c>
    </row>
    <row r="70" spans="2:6" x14ac:dyDescent="0.35">
      <c r="B70" s="54" t="s">
        <v>228</v>
      </c>
    </row>
    <row r="71" spans="2:6" x14ac:dyDescent="0.35">
      <c r="B71" s="55" t="s">
        <v>2</v>
      </c>
      <c r="C71" s="55" t="s">
        <v>223</v>
      </c>
      <c r="D71" s="55" t="s">
        <v>224</v>
      </c>
      <c r="E71" s="55" t="s">
        <v>225</v>
      </c>
      <c r="F71" s="55" t="s">
        <v>21</v>
      </c>
    </row>
    <row r="72" spans="2:6" x14ac:dyDescent="0.35">
      <c r="B72" s="44" t="s">
        <v>16</v>
      </c>
      <c r="C72" s="46">
        <f>IF(F67&gt;0, C67/F67, 0)</f>
        <v>0</v>
      </c>
      <c r="D72" s="46">
        <f>IF(F67&gt;0, D67/F67, 0)</f>
        <v>0</v>
      </c>
      <c r="E72" s="46">
        <f>IF(F67&gt;0, E67/F67, 0)</f>
        <v>1</v>
      </c>
      <c r="F72" s="47" t="s">
        <v>21</v>
      </c>
    </row>
    <row r="73" spans="2:6" x14ac:dyDescent="0.35">
      <c r="B73" s="44" t="s">
        <v>27</v>
      </c>
      <c r="C73" s="46">
        <f>IF(F68&gt;0, C68/F68, 0)</f>
        <v>0</v>
      </c>
      <c r="D73" s="46">
        <f>IF(F68&gt;0, D68/F68, 0)</f>
        <v>0</v>
      </c>
      <c r="E73" s="46">
        <f>IF(F68&gt;0, E68/F68, 0)</f>
        <v>1</v>
      </c>
      <c r="F73" s="47" t="s">
        <v>21</v>
      </c>
    </row>
    <row r="78" spans="2:6" ht="18.5" x14ac:dyDescent="0.45">
      <c r="B78" s="40" t="s">
        <v>237</v>
      </c>
    </row>
    <row r="80" spans="2:6" x14ac:dyDescent="0.35">
      <c r="B80" s="54" t="s">
        <v>222</v>
      </c>
    </row>
    <row r="81" spans="2:6" x14ac:dyDescent="0.35">
      <c r="B81" s="42" t="s">
        <v>4</v>
      </c>
      <c r="C81" s="42" t="s">
        <v>223</v>
      </c>
      <c r="D81" s="42" t="s">
        <v>224</v>
      </c>
      <c r="E81" s="42" t="s">
        <v>225</v>
      </c>
      <c r="F81" s="42" t="s">
        <v>226</v>
      </c>
    </row>
    <row r="82" spans="2:6" x14ac:dyDescent="0.35">
      <c r="B82" s="44" t="s">
        <v>238</v>
      </c>
      <c r="C82" s="45">
        <f>COUNTIFS('Recommendations'!E:E,"Must",'Recommendations'!M:M,"=Resolved")</f>
        <v>0</v>
      </c>
      <c r="D82" s="45">
        <f>COUNTIFS('Recommendations'!E:E,"=Must",'Recommendations'!M:M,"=Testing")</f>
        <v>0</v>
      </c>
      <c r="E82" s="45">
        <f>COUNTIFS('Recommendations'!E:E,"=Must",'Recommendations'!M:M,"=Outstanding")</f>
        <v>0</v>
      </c>
      <c r="F82" s="45">
        <f>SUM(C82:E82)</f>
        <v>0</v>
      </c>
    </row>
    <row r="83" spans="2:6" x14ac:dyDescent="0.35">
      <c r="B83" s="44" t="s">
        <v>239</v>
      </c>
      <c r="C83" s="45">
        <f>COUNTIFS('Recommendations'!E:E,"Should",'Recommendations'!M:M,"=Resolved")</f>
        <v>0</v>
      </c>
      <c r="D83" s="45">
        <f>COUNTIFS('Recommendations'!E:E,"=Should",'Recommendations'!M:M,"=Testing")</f>
        <v>0</v>
      </c>
      <c r="E83" s="45">
        <f>COUNTIFS('Recommendations'!E:E,"=Should",'Recommendations'!M:M,"=Outstanding")</f>
        <v>0</v>
      </c>
      <c r="F83" s="45">
        <f>SUM(C83:E83)</f>
        <v>0</v>
      </c>
    </row>
    <row r="84" spans="2:6" x14ac:dyDescent="0.35">
      <c r="B84" s="44" t="s">
        <v>240</v>
      </c>
      <c r="C84" s="45">
        <f>COUNTIFS('Recommendations'!E:E,"Could",'Recommendations'!M:M,"=Resolved")</f>
        <v>0</v>
      </c>
      <c r="D84" s="45">
        <f>COUNTIFS('Recommendations'!E:E,"=Could",'Recommendations'!M:M,"=Testing")</f>
        <v>0</v>
      </c>
      <c r="E84" s="45">
        <f>COUNTIFS('Recommendations'!E:E,"=Could",'Recommendations'!M:M,"=Outstanding")</f>
        <v>0</v>
      </c>
      <c r="F84" s="45">
        <f>SUM(C84:E84)</f>
        <v>0</v>
      </c>
    </row>
    <row r="85" spans="2:6" x14ac:dyDescent="0.35">
      <c r="B85" s="44" t="s">
        <v>241</v>
      </c>
      <c r="C85" s="45">
        <f>COUNTIFS('Recommendations'!E:E,"Won't",'Recommendations'!M:M,"=Resolved")</f>
        <v>0</v>
      </c>
      <c r="D85" s="45">
        <f>COUNTIFS('Recommendations'!E:E,"=Won't",'Recommendations'!M:M,"=Testing")</f>
        <v>0</v>
      </c>
      <c r="E85" s="45">
        <f>COUNTIFS('Recommendations'!E:E,"=Won't",'Recommendations'!M:M,"=Outstanding")</f>
        <v>0</v>
      </c>
      <c r="F85" s="45">
        <f>SUM(C85:E85)</f>
        <v>0</v>
      </c>
    </row>
    <row r="86" spans="2:6" x14ac:dyDescent="0.35">
      <c r="B86" s="44" t="s">
        <v>18</v>
      </c>
      <c r="C86" s="45">
        <f>COUNTIFS('Recommendations'!E:E,"Unassigned",'Recommendations'!M:M,"=Resolved")</f>
        <v>0</v>
      </c>
      <c r="D86" s="45">
        <f>COUNTIFS('Recommendations'!E:E,"=Unassigned",'Recommendations'!M:M,"=Testing")</f>
        <v>0</v>
      </c>
      <c r="E86" s="45">
        <f>COUNTIFS('Recommendations'!E:E,"=Unassigned",'Recommendations'!M:M,"=Outstanding")</f>
        <v>26</v>
      </c>
      <c r="F86" s="45">
        <f>SUM(C86:E86)</f>
        <v>26</v>
      </c>
    </row>
    <row r="88" spans="2:6" x14ac:dyDescent="0.35">
      <c r="B88" s="54" t="s">
        <v>228</v>
      </c>
    </row>
    <row r="89" spans="2:6" x14ac:dyDescent="0.35">
      <c r="B89" s="55" t="s">
        <v>4</v>
      </c>
      <c r="C89" s="55" t="s">
        <v>223</v>
      </c>
      <c r="D89" s="55" t="s">
        <v>224</v>
      </c>
      <c r="E89" s="55" t="s">
        <v>225</v>
      </c>
      <c r="F89" s="55" t="s">
        <v>21</v>
      </c>
    </row>
    <row r="90" spans="2:6" x14ac:dyDescent="0.35">
      <c r="B90" s="44" t="s">
        <v>238</v>
      </c>
      <c r="C90" s="46">
        <f>IF(F82&gt;0, C82/F82, 0)</f>
        <v>0</v>
      </c>
      <c r="D90" s="46">
        <f>IF(F82&gt;0, D82/F82, 0)</f>
        <v>0</v>
      </c>
      <c r="E90" s="46">
        <f>IF(F82&gt;0, E82/F82, 0)</f>
        <v>0</v>
      </c>
      <c r="F90" s="47" t="s">
        <v>21</v>
      </c>
    </row>
    <row r="91" spans="2:6" x14ac:dyDescent="0.35">
      <c r="B91" s="44" t="s">
        <v>239</v>
      </c>
      <c r="C91" s="46">
        <f>IF(F83&gt;0, C83/F83, 0)</f>
        <v>0</v>
      </c>
      <c r="D91" s="46">
        <f>IF(F83&gt;0, D83/F83, 0)</f>
        <v>0</v>
      </c>
      <c r="E91" s="46">
        <f>IF(F83&gt;0, E83/F83, 0)</f>
        <v>0</v>
      </c>
      <c r="F91" s="47" t="s">
        <v>21</v>
      </c>
    </row>
    <row r="92" spans="2:6" x14ac:dyDescent="0.35">
      <c r="B92" s="44" t="s">
        <v>240</v>
      </c>
      <c r="C92" s="46">
        <f>IF(F84&gt;0, C84/F84, 0)</f>
        <v>0</v>
      </c>
      <c r="D92" s="46">
        <f>IF(F84&gt;0, D84/F84, 0)</f>
        <v>0</v>
      </c>
      <c r="E92" s="46">
        <f>IF(F84&gt;0, E84/F84, 0)</f>
        <v>0</v>
      </c>
      <c r="F92" s="47" t="s">
        <v>21</v>
      </c>
    </row>
    <row r="93" spans="2:6" x14ac:dyDescent="0.35">
      <c r="B93" s="44" t="s">
        <v>241</v>
      </c>
      <c r="C93" s="46">
        <f>IF(F85&gt;0, C85/F85, 0)</f>
        <v>0</v>
      </c>
      <c r="D93" s="46">
        <f>IF(F85&gt;0, D85/F85, 0)</f>
        <v>0</v>
      </c>
      <c r="E93" s="46">
        <f>IF(F85&gt;0, E85/F85, 0)</f>
        <v>0</v>
      </c>
      <c r="F93" s="47" t="s">
        <v>21</v>
      </c>
    </row>
    <row r="94" spans="2:6" x14ac:dyDescent="0.35">
      <c r="B94" s="44" t="s">
        <v>18</v>
      </c>
      <c r="C94" s="46">
        <f>IF(F86&gt;0, C86/F86, 0)</f>
        <v>0</v>
      </c>
      <c r="D94" s="46">
        <f>IF(F86&gt;0, D86/F86, 0)</f>
        <v>0</v>
      </c>
      <c r="E94" s="46">
        <f>IF(F86&gt;0, E86/F86, 0)</f>
        <v>1</v>
      </c>
      <c r="F94" s="47" t="s">
        <v>21</v>
      </c>
    </row>
    <row r="99" spans="2:6" ht="18.5" x14ac:dyDescent="0.45">
      <c r="B99" s="40" t="s">
        <v>242</v>
      </c>
    </row>
    <row r="101" spans="2:6" x14ac:dyDescent="0.35">
      <c r="B101" s="54" t="s">
        <v>222</v>
      </c>
    </row>
    <row r="102" spans="2:6" x14ac:dyDescent="0.35">
      <c r="B102" s="42" t="s">
        <v>243</v>
      </c>
      <c r="C102" s="42" t="s">
        <v>223</v>
      </c>
      <c r="D102" s="42" t="s">
        <v>224</v>
      </c>
      <c r="E102" s="42" t="s">
        <v>225</v>
      </c>
      <c r="F102" s="42" t="s">
        <v>226</v>
      </c>
    </row>
    <row r="103" spans="2:6" x14ac:dyDescent="0.35">
      <c r="B103" s="44" t="s">
        <v>244</v>
      </c>
      <c r="C103" s="45">
        <f>COUNTIFS('Recommendations'!F:F,"Low",'Recommendations'!M:M,"=Resolved")</f>
        <v>0</v>
      </c>
      <c r="D103" s="45">
        <f>COUNTIFS('Recommendations'!F:F,"=Low",'Recommendations'!M:M,"=Testing")</f>
        <v>0</v>
      </c>
      <c r="E103" s="45">
        <f>COUNTIFS('Recommendations'!F:F,"=Low",'Recommendations'!M:M,"=Outstanding")</f>
        <v>0</v>
      </c>
      <c r="F103" s="45">
        <f>SUM(C103:E103)</f>
        <v>0</v>
      </c>
    </row>
    <row r="104" spans="2:6" x14ac:dyDescent="0.35">
      <c r="B104" s="44" t="s">
        <v>245</v>
      </c>
      <c r="C104" s="45">
        <f>COUNTIFS('Recommendations'!F:F,"Medium",'Recommendations'!M:M,"=Resolved")</f>
        <v>0</v>
      </c>
      <c r="D104" s="45">
        <f>COUNTIFS('Recommendations'!F:F,"=Medium",'Recommendations'!M:M,"=Testing")</f>
        <v>0</v>
      </c>
      <c r="E104" s="45">
        <f>COUNTIFS('Recommendations'!F:F,"=Medium",'Recommendations'!M:M,"=Outstanding")</f>
        <v>0</v>
      </c>
      <c r="F104" s="45">
        <f>SUM(C104:E104)</f>
        <v>0</v>
      </c>
    </row>
    <row r="105" spans="2:6" x14ac:dyDescent="0.35">
      <c r="B105" s="44" t="s">
        <v>246</v>
      </c>
      <c r="C105" s="45">
        <f>COUNTIFS('Recommendations'!F:F,"High",'Recommendations'!M:M,"=Resolved")</f>
        <v>0</v>
      </c>
      <c r="D105" s="45">
        <f>COUNTIFS('Recommendations'!F:F,"=High",'Recommendations'!M:M,"=Testing")</f>
        <v>0</v>
      </c>
      <c r="E105" s="45">
        <f>COUNTIFS('Recommendations'!F:F,"=High",'Recommendations'!M:M,"=Outstanding")</f>
        <v>0</v>
      </c>
      <c r="F105" s="45">
        <f>SUM(C105:E105)</f>
        <v>0</v>
      </c>
    </row>
    <row r="106" spans="2:6" x14ac:dyDescent="0.35">
      <c r="B106" s="44" t="s">
        <v>19</v>
      </c>
      <c r="C106" s="45">
        <f>COUNTIFS('Recommendations'!F:F,"Unassessed",'Recommendations'!M:M,"=Resolved")</f>
        <v>0</v>
      </c>
      <c r="D106" s="45">
        <f>COUNTIFS('Recommendations'!F:F,"=Unassessed",'Recommendations'!M:M,"=Testing")</f>
        <v>0</v>
      </c>
      <c r="E106" s="45">
        <f>COUNTIFS('Recommendations'!F:F,"=Unassessed",'Recommendations'!M:M,"=Outstanding")</f>
        <v>26</v>
      </c>
      <c r="F106" s="45">
        <f>SUM(C106:E106)</f>
        <v>26</v>
      </c>
    </row>
    <row r="108" spans="2:6" x14ac:dyDescent="0.35">
      <c r="B108" s="54" t="s">
        <v>228</v>
      </c>
    </row>
    <row r="109" spans="2:6" x14ac:dyDescent="0.35">
      <c r="B109" s="55" t="s">
        <v>243</v>
      </c>
      <c r="C109" s="55" t="s">
        <v>223</v>
      </c>
      <c r="D109" s="55" t="s">
        <v>224</v>
      </c>
      <c r="E109" s="55" t="s">
        <v>225</v>
      </c>
      <c r="F109" s="55" t="s">
        <v>21</v>
      </c>
    </row>
    <row r="110" spans="2:6" x14ac:dyDescent="0.35">
      <c r="B110" s="44" t="s">
        <v>244</v>
      </c>
      <c r="C110" s="46">
        <f>IF(F103&gt;0, C103/F103, 0)</f>
        <v>0</v>
      </c>
      <c r="D110" s="46">
        <f>IF(F103&gt;0, D103/F103, 0)</f>
        <v>0</v>
      </c>
      <c r="E110" s="46">
        <f>IF(F103&gt;0, E103/F103, 0)</f>
        <v>0</v>
      </c>
      <c r="F110" s="47" t="s">
        <v>21</v>
      </c>
    </row>
    <row r="111" spans="2:6" x14ac:dyDescent="0.35">
      <c r="B111" s="44" t="s">
        <v>245</v>
      </c>
      <c r="C111" s="46">
        <f>IF(F104&gt;0, C104/F104, 0)</f>
        <v>0</v>
      </c>
      <c r="D111" s="46">
        <f>IF(F104&gt;0, D104/F104, 0)</f>
        <v>0</v>
      </c>
      <c r="E111" s="46">
        <f>IF(F104&gt;0, E104/F104, 0)</f>
        <v>0</v>
      </c>
      <c r="F111" s="47" t="s">
        <v>21</v>
      </c>
    </row>
    <row r="112" spans="2:6" x14ac:dyDescent="0.35">
      <c r="B112" s="44" t="s">
        <v>246</v>
      </c>
      <c r="C112" s="46">
        <f>IF(F105&gt;0, C105/F105, 0)</f>
        <v>0</v>
      </c>
      <c r="D112" s="46">
        <f>IF(F105&gt;0, D105/F105, 0)</f>
        <v>0</v>
      </c>
      <c r="E112" s="46">
        <f>IF(F105&gt;0, E105/F105, 0)</f>
        <v>0</v>
      </c>
      <c r="F112" s="47" t="s">
        <v>21</v>
      </c>
    </row>
    <row r="113" spans="2:15" x14ac:dyDescent="0.35">
      <c r="B113" s="44" t="s">
        <v>19</v>
      </c>
      <c r="C113" s="46">
        <f>IF(F106&gt;0, C106/F106, 0)</f>
        <v>0</v>
      </c>
      <c r="D113" s="46">
        <f>IF(F106&gt;0, D106/F106, 0)</f>
        <v>0</v>
      </c>
      <c r="E113" s="46">
        <f>IF(F106&gt;0, E106/F106, 0)</f>
        <v>1</v>
      </c>
      <c r="F113" s="47" t="s">
        <v>21</v>
      </c>
    </row>
    <row r="118" spans="2:15" ht="18.5" x14ac:dyDescent="0.45">
      <c r="B118" s="40" t="s">
        <v>247</v>
      </c>
      <c r="J118" s="40" t="s">
        <v>248</v>
      </c>
    </row>
    <row r="119" spans="2:15" x14ac:dyDescent="0.35">
      <c r="B119" s="42" t="s">
        <v>6</v>
      </c>
      <c r="C119" s="87" t="s">
        <v>249</v>
      </c>
      <c r="D119" s="87"/>
      <c r="E119" s="42" t="s">
        <v>215</v>
      </c>
      <c r="F119" s="42" t="s">
        <v>223</v>
      </c>
      <c r="G119" s="87" t="s">
        <v>250</v>
      </c>
      <c r="H119" s="87"/>
      <c r="J119" s="42" t="s">
        <v>6</v>
      </c>
      <c r="K119" s="42" t="s">
        <v>238</v>
      </c>
      <c r="L119" s="42" t="s">
        <v>239</v>
      </c>
      <c r="M119" s="42" t="s">
        <v>240</v>
      </c>
      <c r="N119" s="42" t="s">
        <v>241</v>
      </c>
      <c r="O119" s="42" t="s">
        <v>18</v>
      </c>
    </row>
    <row r="120" spans="2:15" x14ac:dyDescent="0.35">
      <c r="B120" s="48" t="s">
        <v>231</v>
      </c>
      <c r="C120" s="88" t="s">
        <v>21</v>
      </c>
      <c r="D120" s="88"/>
      <c r="E120" s="45">
        <f>COUNTIF('Recommendations'!G:G,"Phase1")-COUNTIFS('Recommendations'!G:G,"Phase1",'Recommendations'!H:H,"Risk Accepted")-COUNTIFS('Recommendations'!G:G,"Phase1",'Recommendations'!H:H,"N/A")</f>
        <v>0</v>
      </c>
      <c r="F120" s="45">
        <f>COUNTIFS('Recommendations'!G:G,"Phase1",'Recommendations'!M:M,"Resolved")</f>
        <v>0</v>
      </c>
      <c r="G120" s="89">
        <f t="shared" ref="G120:G125" si="4">IF(E120&gt;0,F120/E120,0)</f>
        <v>0</v>
      </c>
      <c r="H120" s="89"/>
      <c r="J120" s="48" t="s">
        <v>231</v>
      </c>
      <c r="K120" s="45">
        <f>COUNTIFS('Recommendations'!G:G,"Phase1",'Recommendations'!E:E,"Must")</f>
        <v>0</v>
      </c>
      <c r="L120" s="45">
        <f>COUNTIFS('Recommendations'!G:G,"Phase1",'Recommendations'!E:E,"Should")</f>
        <v>0</v>
      </c>
      <c r="M120" s="45">
        <f>COUNTIFS('Recommendations'!G:G,"Phase1",'Recommendations'!E:E,"Could")</f>
        <v>0</v>
      </c>
      <c r="N120" s="45">
        <f>COUNTIFS('Recommendations'!G:G,"Phase1",'Recommendations'!E:E,"Won't")</f>
        <v>0</v>
      </c>
      <c r="O120" s="45">
        <f>COUNTIFS('Recommendations'!G:G,"Phase1",'Recommendations'!E:E,"Unassigned")</f>
        <v>0</v>
      </c>
    </row>
    <row r="121" spans="2:15" x14ac:dyDescent="0.35">
      <c r="B121" s="48" t="s">
        <v>232</v>
      </c>
      <c r="C121" s="88" t="s">
        <v>21</v>
      </c>
      <c r="D121" s="88"/>
      <c r="E121" s="45">
        <f>COUNTIF('Recommendations'!G:G,"Phase2")-COUNTIFS('Recommendations'!G:G,"Phase2",'Recommendations'!H:H,"Risk Accepted")-COUNTIFS('Recommendations'!G:G,"Phase2",'Recommendations'!H:H,"N/A")</f>
        <v>0</v>
      </c>
      <c r="F121" s="45">
        <f>COUNTIFS('Recommendations'!G:G,"Phase2",'Recommendations'!M:M,"Resolved")</f>
        <v>0</v>
      </c>
      <c r="G121" s="89">
        <f t="shared" si="4"/>
        <v>0</v>
      </c>
      <c r="H121" s="89"/>
      <c r="J121" s="48" t="s">
        <v>232</v>
      </c>
      <c r="K121" s="45">
        <f>COUNTIFS('Recommendations'!G:G,"Phase2",'Recommendations'!E:E,"Must")</f>
        <v>0</v>
      </c>
      <c r="L121" s="45">
        <f>COUNTIFS('Recommendations'!G:G,"Phase2",'Recommendations'!E:E,"Should")</f>
        <v>0</v>
      </c>
      <c r="M121" s="45">
        <f>COUNTIFS('Recommendations'!G:G,"Phase2",'Recommendations'!E:E,"Could")</f>
        <v>0</v>
      </c>
      <c r="N121" s="45">
        <f>COUNTIFS('Recommendations'!G:G,"Phase2",'Recommendations'!E:E,"Won't")</f>
        <v>0</v>
      </c>
      <c r="O121" s="45">
        <f>COUNTIFS('Recommendations'!G:G,"Phase2",'Recommendations'!E:E,"Unassigned")</f>
        <v>0</v>
      </c>
    </row>
    <row r="122" spans="2:15" x14ac:dyDescent="0.35">
      <c r="B122" s="48" t="s">
        <v>233</v>
      </c>
      <c r="C122" s="88" t="s">
        <v>21</v>
      </c>
      <c r="D122" s="88"/>
      <c r="E122" s="45">
        <f>COUNTIF('Recommendations'!G:G,"Phase3")-COUNTIFS('Recommendations'!G:G,"Phase3",'Recommendations'!H:H,"Risk Accepted")-COUNTIFS('Recommendations'!G:G,"Phase3",'Recommendations'!H:H,"N/A")</f>
        <v>0</v>
      </c>
      <c r="F122" s="45">
        <f>COUNTIFS('Recommendations'!G:G,"Phase3",'Recommendations'!M:M,"Resolved")</f>
        <v>0</v>
      </c>
      <c r="G122" s="89">
        <f t="shared" si="4"/>
        <v>0</v>
      </c>
      <c r="H122" s="89"/>
      <c r="J122" s="48" t="s">
        <v>233</v>
      </c>
      <c r="K122" s="45">
        <f>COUNTIFS('Recommendations'!G:G,"Phase3",'Recommendations'!E:E,"Must")</f>
        <v>0</v>
      </c>
      <c r="L122" s="45">
        <f>COUNTIFS('Recommendations'!G:G,"Phase3",'Recommendations'!E:E,"Should")</f>
        <v>0</v>
      </c>
      <c r="M122" s="45">
        <f>COUNTIFS('Recommendations'!G:G,"Phase3",'Recommendations'!E:E,"Could")</f>
        <v>0</v>
      </c>
      <c r="N122" s="45">
        <f>COUNTIFS('Recommendations'!G:G,"Phase3",'Recommendations'!E:E,"Won't")</f>
        <v>0</v>
      </c>
      <c r="O122" s="45">
        <f>COUNTIFS('Recommendations'!G:G,"Phase3",'Recommendations'!E:E,"Unassigned")</f>
        <v>0</v>
      </c>
    </row>
    <row r="123" spans="2:15" x14ac:dyDescent="0.35">
      <c r="B123" s="48" t="s">
        <v>234</v>
      </c>
      <c r="C123" s="88" t="s">
        <v>21</v>
      </c>
      <c r="D123" s="88"/>
      <c r="E123" s="45">
        <f>COUNTIF('Recommendations'!G:G,"Phase4")-COUNTIFS('Recommendations'!G:G,"Phase4",'Recommendations'!H:H,"Risk Accepted")-COUNTIFS('Recommendations'!G:G,"Phase4",'Recommendations'!H:H,"N/A")</f>
        <v>0</v>
      </c>
      <c r="F123" s="45">
        <f>COUNTIFS('Recommendations'!G:G,"Phase4",'Recommendations'!M:M,"Resolved")</f>
        <v>0</v>
      </c>
      <c r="G123" s="89">
        <f t="shared" si="4"/>
        <v>0</v>
      </c>
      <c r="H123" s="89"/>
      <c r="J123" s="48" t="s">
        <v>234</v>
      </c>
      <c r="K123" s="45">
        <f>COUNTIFS('Recommendations'!G:G,"Phase4",'Recommendations'!E:E,"Must")</f>
        <v>0</v>
      </c>
      <c r="L123" s="45">
        <f>COUNTIFS('Recommendations'!G:G,"Phase4",'Recommendations'!E:E,"Should")</f>
        <v>0</v>
      </c>
      <c r="M123" s="45">
        <f>COUNTIFS('Recommendations'!G:G,"Phase4",'Recommendations'!E:E,"Could")</f>
        <v>0</v>
      </c>
      <c r="N123" s="45">
        <f>COUNTIFS('Recommendations'!G:G,"Phase4",'Recommendations'!E:E,"Won't")</f>
        <v>0</v>
      </c>
      <c r="O123" s="45">
        <f>COUNTIFS('Recommendations'!G:G,"Phase4",'Recommendations'!E:E,"Unassigned")</f>
        <v>0</v>
      </c>
    </row>
    <row r="124" spans="2:15" x14ac:dyDescent="0.35">
      <c r="B124" s="48" t="s">
        <v>235</v>
      </c>
      <c r="C124" s="88" t="s">
        <v>21</v>
      </c>
      <c r="D124" s="88"/>
      <c r="E124" s="45">
        <f>COUNTIF('Recommendations'!G:G,"Phase5")-COUNTIFS('Recommendations'!G:G,"Phase5",'Recommendations'!H:H,"Risk Accepted")-COUNTIFS('Recommendations'!G:G,"Phase5",'Recommendations'!H:H,"N/A")</f>
        <v>0</v>
      </c>
      <c r="F124" s="45">
        <f>COUNTIFS('Recommendations'!G:G,"Phase5",'Recommendations'!M:M,"Resolved")</f>
        <v>0</v>
      </c>
      <c r="G124" s="89">
        <f t="shared" si="4"/>
        <v>0</v>
      </c>
      <c r="H124" s="89"/>
      <c r="J124" s="48" t="s">
        <v>235</v>
      </c>
      <c r="K124" s="45">
        <f>COUNTIFS('Recommendations'!G:G,"Phase5",'Recommendations'!E:E,"Must")</f>
        <v>0</v>
      </c>
      <c r="L124" s="45">
        <f>COUNTIFS('Recommendations'!G:G,"Phase5",'Recommendations'!E:E,"Should")</f>
        <v>0</v>
      </c>
      <c r="M124" s="45">
        <f>COUNTIFS('Recommendations'!G:G,"Phase5",'Recommendations'!E:E,"Could")</f>
        <v>0</v>
      </c>
      <c r="N124" s="45">
        <f>COUNTIFS('Recommendations'!G:G,"Phase5",'Recommendations'!E:E,"Won't")</f>
        <v>0</v>
      </c>
      <c r="O124" s="45">
        <f>COUNTIFS('Recommendations'!G:G,"Phase5",'Recommendations'!E:E,"Unassigned")</f>
        <v>0</v>
      </c>
    </row>
    <row r="125" spans="2:15" x14ac:dyDescent="0.35">
      <c r="B125" s="48" t="s">
        <v>20</v>
      </c>
      <c r="C125" s="88" t="s">
        <v>21</v>
      </c>
      <c r="D125" s="88"/>
      <c r="E125" s="45">
        <f>COUNTIF('Recommendations'!G:G,"Pending")-COUNTIFS('Recommendations'!G:G,"Pending",'Recommendations'!H:H,"Risk Accepted")-COUNTIFS('Recommendations'!G:G,"Pending",'Recommendations'!H:H,"N/A")</f>
        <v>26</v>
      </c>
      <c r="F125" s="45">
        <f>COUNTIFS('Recommendations'!G:G,"Pending",'Recommendations'!M:M,"Resolved")</f>
        <v>0</v>
      </c>
      <c r="G125" s="89">
        <f t="shared" si="4"/>
        <v>0</v>
      </c>
      <c r="H125" s="89"/>
      <c r="J125" s="48" t="s">
        <v>20</v>
      </c>
      <c r="K125" s="45">
        <f>COUNTIFS('Recommendations'!G:G,"Pending",'Recommendations'!E:E,"Must")</f>
        <v>0</v>
      </c>
      <c r="L125" s="45">
        <f>COUNTIFS('Recommendations'!G:G,"Pending",'Recommendations'!E:E,"Should")</f>
        <v>0</v>
      </c>
      <c r="M125" s="45">
        <f>COUNTIFS('Recommendations'!G:G,"Pending",'Recommendations'!E:E,"Could")</f>
        <v>0</v>
      </c>
      <c r="N125" s="45">
        <f>COUNTIFS('Recommendations'!G:G,"Pending",'Recommendations'!E:E,"Won't")</f>
        <v>0</v>
      </c>
      <c r="O125" s="45">
        <f>COUNTIFS('Recommendations'!G:G,"Pending",'Recommendations'!E:E,"Unassigned")</f>
        <v>26</v>
      </c>
    </row>
    <row r="132" spans="2:24" ht="21" x14ac:dyDescent="0.5">
      <c r="B132" s="40" t="s">
        <v>251</v>
      </c>
      <c r="P132" s="57" t="s">
        <v>252</v>
      </c>
    </row>
    <row r="134" spans="2:24" ht="60" customHeight="1" x14ac:dyDescent="0.35">
      <c r="B134" s="90" t="s">
        <v>253</v>
      </c>
      <c r="C134" s="83"/>
      <c r="D134" s="83"/>
      <c r="E134" s="83"/>
      <c r="F134" s="83"/>
      <c r="P134" s="90" t="s">
        <v>254</v>
      </c>
      <c r="Q134" s="83"/>
      <c r="R134" s="83"/>
      <c r="S134" s="83"/>
      <c r="T134" s="83"/>
      <c r="U134" s="83"/>
      <c r="V134" s="83"/>
      <c r="W134" s="83"/>
    </row>
    <row r="136" spans="2:24" ht="30" customHeight="1" x14ac:dyDescent="0.35">
      <c r="P136" s="58" t="s">
        <v>255</v>
      </c>
      <c r="Q136" s="59">
        <f>C16</f>
        <v>0</v>
      </c>
      <c r="R136" s="60"/>
      <c r="S136" s="59">
        <f>C82</f>
        <v>0</v>
      </c>
      <c r="T136" s="60"/>
      <c r="U136" s="59">
        <f>C83</f>
        <v>0</v>
      </c>
      <c r="V136" s="60"/>
      <c r="W136" s="59">
        <f>C84</f>
        <v>0</v>
      </c>
      <c r="X136" s="60"/>
    </row>
    <row r="137" spans="2:24" ht="35" customHeight="1" x14ac:dyDescent="0.35">
      <c r="P137" s="61" t="s">
        <v>256</v>
      </c>
      <c r="Q137" s="61" t="s">
        <v>257</v>
      </c>
      <c r="R137" s="61" t="s">
        <v>258</v>
      </c>
      <c r="S137" s="61" t="s">
        <v>259</v>
      </c>
      <c r="T137" s="61" t="s">
        <v>260</v>
      </c>
      <c r="U137" s="61" t="s">
        <v>261</v>
      </c>
      <c r="V137" s="61" t="s">
        <v>262</v>
      </c>
      <c r="W137" s="61" t="s">
        <v>263</v>
      </c>
      <c r="X137" s="61" t="s">
        <v>264</v>
      </c>
    </row>
    <row r="138" spans="2:24" x14ac:dyDescent="0.35">
      <c r="O138" s="62" t="s">
        <v>265</v>
      </c>
      <c r="P138" s="63" t="s">
        <v>266</v>
      </c>
      <c r="Q138" s="64">
        <v>0</v>
      </c>
      <c r="R138" s="65">
        <f>IF(Dashboard!F16&gt;0, Q138/Dashboard!F16, "")</f>
        <v>0</v>
      </c>
      <c r="S138" s="64">
        <v>0</v>
      </c>
      <c r="T138" s="65" t="str">
        <f>IF(AND(NOT(ISBLANK(S138)),Dashboard!F82&gt;0), S138/Dashboard!F82, "")</f>
        <v/>
      </c>
      <c r="U138" s="64">
        <v>0</v>
      </c>
      <c r="V138" s="65" t="str">
        <f>IF(AND(NOT(ISBLANK(U138)),Dashboard!F83&gt;0), U138/Dashboard!F83, "")</f>
        <v/>
      </c>
      <c r="W138" s="64">
        <v>0</v>
      </c>
      <c r="X138" s="65" t="str">
        <f>IF(AND(NOT(ISBLANK(W138)),Dashboard!F84&gt;0), W138/Dashboard!F84, "")</f>
        <v/>
      </c>
    </row>
    <row r="139" spans="2:24" x14ac:dyDescent="0.35">
      <c r="P139" s="56"/>
      <c r="Q139" s="43"/>
      <c r="R139" s="46" t="str">
        <f>IF(AND(NOT(ISBLANK(Q139)),Dashboard!F16&gt;0), Q139/Dashboard!F16, "")</f>
        <v/>
      </c>
      <c r="S139" s="43"/>
      <c r="T139" s="46" t="str">
        <f>IF(AND(NOT(ISBLANK(S139)),Dashboard!F82&gt;0), S139/Dashboard!F82, "")</f>
        <v/>
      </c>
      <c r="U139" s="43"/>
      <c r="V139" s="46" t="str">
        <f>IF(AND(NOT(ISBLANK(U139)),Dashboard!F83&gt;0), U139/Dashboard!F83, "")</f>
        <v/>
      </c>
      <c r="W139" s="43"/>
      <c r="X139" s="46" t="str">
        <f>IF(AND(NOT(ISBLANK(W139)),Dashboard!F84&gt;0), W139/Dashboard!F84, "")</f>
        <v/>
      </c>
    </row>
    <row r="140" spans="2:24" x14ac:dyDescent="0.35">
      <c r="P140" s="56"/>
      <c r="Q140" s="43"/>
      <c r="R140" s="46" t="str">
        <f>IF(AND(NOT(ISBLANK(Q140)),Dashboard!F16&gt;0), Q140/Dashboard!F16, "")</f>
        <v/>
      </c>
      <c r="S140" s="43"/>
      <c r="T140" s="46" t="str">
        <f>IF(AND(NOT(ISBLANK(S140)),Dashboard!F82&gt;0), S140/Dashboard!F82, "")</f>
        <v/>
      </c>
      <c r="U140" s="43"/>
      <c r="V140" s="46" t="str">
        <f>IF(AND(NOT(ISBLANK(U140)),Dashboard!F83&gt;0), U140/Dashboard!F83, "")</f>
        <v/>
      </c>
      <c r="W140" s="43"/>
      <c r="X140" s="46" t="str">
        <f>IF(AND(NOT(ISBLANK(W140)),Dashboard!F84&gt;0), W140/Dashboard!F84, "")</f>
        <v/>
      </c>
    </row>
    <row r="141" spans="2:24" x14ac:dyDescent="0.35">
      <c r="P141" s="56"/>
      <c r="Q141" s="43"/>
      <c r="R141" s="46" t="str">
        <f>IF(AND(NOT(ISBLANK(Q141)),Dashboard!F16&gt;0), Q141/Dashboard!F16, "")</f>
        <v/>
      </c>
      <c r="S141" s="43"/>
      <c r="T141" s="46" t="str">
        <f>IF(AND(NOT(ISBLANK(S141)),Dashboard!F82&gt;0), S141/Dashboard!F82, "")</f>
        <v/>
      </c>
      <c r="U141" s="43"/>
      <c r="V141" s="46" t="str">
        <f>IF(AND(NOT(ISBLANK(U141)),Dashboard!F83&gt;0), U141/Dashboard!F83, "")</f>
        <v/>
      </c>
      <c r="W141" s="43"/>
      <c r="X141" s="46" t="str">
        <f>IF(AND(NOT(ISBLANK(W141)),Dashboard!F84&gt;0), W141/Dashboard!F84, "")</f>
        <v/>
      </c>
    </row>
    <row r="142" spans="2:24" x14ac:dyDescent="0.35">
      <c r="P142" s="56"/>
      <c r="Q142" s="43"/>
      <c r="R142" s="46" t="str">
        <f>IF(AND(NOT(ISBLANK(Q142)),Dashboard!F16&gt;0), Q142/Dashboard!F16, "")</f>
        <v/>
      </c>
      <c r="S142" s="43"/>
      <c r="T142" s="46" t="str">
        <f>IF(AND(NOT(ISBLANK(S142)),Dashboard!F82&gt;0), S142/Dashboard!F82, "")</f>
        <v/>
      </c>
      <c r="U142" s="43"/>
      <c r="V142" s="46" t="str">
        <f>IF(AND(NOT(ISBLANK(U142)),Dashboard!F83&gt;0), U142/Dashboard!F83, "")</f>
        <v/>
      </c>
      <c r="W142" s="43"/>
      <c r="X142" s="46" t="str">
        <f>IF(AND(NOT(ISBLANK(W142)),Dashboard!F84&gt;0), W142/Dashboard!F84, "")</f>
        <v/>
      </c>
    </row>
    <row r="143" spans="2:24" x14ac:dyDescent="0.35">
      <c r="P143" s="56"/>
      <c r="Q143" s="43"/>
      <c r="R143" s="46" t="str">
        <f>IF(AND(NOT(ISBLANK(Q143)),Dashboard!F16&gt;0), Q143/Dashboard!F16, "")</f>
        <v/>
      </c>
      <c r="S143" s="43"/>
      <c r="T143" s="46" t="str">
        <f>IF(AND(NOT(ISBLANK(S143)),Dashboard!F82&gt;0), S143/Dashboard!F82, "")</f>
        <v/>
      </c>
      <c r="U143" s="43"/>
      <c r="V143" s="46" t="str">
        <f>IF(AND(NOT(ISBLANK(U143)),Dashboard!F83&gt;0), U143/Dashboard!F83, "")</f>
        <v/>
      </c>
      <c r="W143" s="43"/>
      <c r="X143" s="46" t="str">
        <f>IF(AND(NOT(ISBLANK(W143)),Dashboard!F84&gt;0), W143/Dashboard!F84, "")</f>
        <v/>
      </c>
    </row>
    <row r="144" spans="2:24" x14ac:dyDescent="0.35">
      <c r="P144" s="56"/>
      <c r="Q144" s="43"/>
      <c r="R144" s="46" t="str">
        <f>IF(AND(NOT(ISBLANK(Q144)),Dashboard!F16&gt;0), Q144/Dashboard!F16, "")</f>
        <v/>
      </c>
      <c r="S144" s="43"/>
      <c r="T144" s="46" t="str">
        <f>IF(AND(NOT(ISBLANK(S144)),Dashboard!F82&gt;0), S144/Dashboard!F82, "")</f>
        <v/>
      </c>
      <c r="U144" s="43"/>
      <c r="V144" s="46" t="str">
        <f>IF(AND(NOT(ISBLANK(U144)),Dashboard!F83&gt;0), U144/Dashboard!F83, "")</f>
        <v/>
      </c>
      <c r="W144" s="43"/>
      <c r="X144" s="46" t="str">
        <f>IF(AND(NOT(ISBLANK(W144)),Dashboard!F84&gt;0), W144/Dashboard!F84, "")</f>
        <v/>
      </c>
    </row>
    <row r="145" spans="16:24" x14ac:dyDescent="0.35">
      <c r="P145" s="56"/>
      <c r="Q145" s="43"/>
      <c r="R145" s="46" t="str">
        <f>IF(AND(NOT(ISBLANK(Q145)),Dashboard!F16&gt;0), Q145/Dashboard!F16, "")</f>
        <v/>
      </c>
      <c r="S145" s="43"/>
      <c r="T145" s="46" t="str">
        <f>IF(AND(NOT(ISBLANK(S145)),Dashboard!F82&gt;0), S145/Dashboard!F82, "")</f>
        <v/>
      </c>
      <c r="U145" s="43"/>
      <c r="V145" s="46" t="str">
        <f>IF(AND(NOT(ISBLANK(U145)),Dashboard!F83&gt;0), U145/Dashboard!F83, "")</f>
        <v/>
      </c>
      <c r="W145" s="43"/>
      <c r="X145" s="46" t="str">
        <f>IF(AND(NOT(ISBLANK(W145)),Dashboard!F84&gt;0), W145/Dashboard!F84, "")</f>
        <v/>
      </c>
    </row>
    <row r="146" spans="16:24" x14ac:dyDescent="0.35">
      <c r="P146" s="56"/>
      <c r="Q146" s="43"/>
      <c r="R146" s="46" t="str">
        <f>IF(AND(NOT(ISBLANK(Q146)),Dashboard!F16&gt;0), Q146/Dashboard!F16, "")</f>
        <v/>
      </c>
      <c r="S146" s="43"/>
      <c r="T146" s="46" t="str">
        <f>IF(AND(NOT(ISBLANK(S146)),Dashboard!F82&gt;0), S146/Dashboard!F82, "")</f>
        <v/>
      </c>
      <c r="U146" s="43"/>
      <c r="V146" s="46" t="str">
        <f>IF(AND(NOT(ISBLANK(U146)),Dashboard!F83&gt;0), U146/Dashboard!F83, "")</f>
        <v/>
      </c>
      <c r="W146" s="43"/>
      <c r="X146" s="46" t="str">
        <f>IF(AND(NOT(ISBLANK(W146)),Dashboard!F84&gt;0), W146/Dashboard!F84, "")</f>
        <v/>
      </c>
    </row>
    <row r="147" spans="16:24" x14ac:dyDescent="0.35">
      <c r="P147" s="56"/>
      <c r="Q147" s="43"/>
      <c r="R147" s="46" t="str">
        <f>IF(AND(NOT(ISBLANK(Q147)),Dashboard!F16&gt;0), Q147/Dashboard!F16, "")</f>
        <v/>
      </c>
      <c r="S147" s="43"/>
      <c r="T147" s="46" t="str">
        <f>IF(AND(NOT(ISBLANK(S147)),Dashboard!F82&gt;0), S147/Dashboard!F82, "")</f>
        <v/>
      </c>
      <c r="U147" s="43"/>
      <c r="V147" s="46" t="str">
        <f>IF(AND(NOT(ISBLANK(U147)),Dashboard!F83&gt;0), U147/Dashboard!F83, "")</f>
        <v/>
      </c>
      <c r="W147" s="43"/>
      <c r="X147" s="46" t="str">
        <f>IF(AND(NOT(ISBLANK(W147)),Dashboard!F84&gt;0), W147/Dashboard!F84, "")</f>
        <v/>
      </c>
    </row>
    <row r="148" spans="16:24" x14ac:dyDescent="0.35">
      <c r="P148" s="56"/>
      <c r="Q148" s="43"/>
      <c r="R148" s="46" t="str">
        <f>IF(AND(NOT(ISBLANK(Q148)),Dashboard!F16&gt;0), Q148/Dashboard!F16, "")</f>
        <v/>
      </c>
      <c r="S148" s="43"/>
      <c r="T148" s="46" t="str">
        <f>IF(AND(NOT(ISBLANK(S148)),Dashboard!F82&gt;0), S148/Dashboard!F82, "")</f>
        <v/>
      </c>
      <c r="U148" s="43"/>
      <c r="V148" s="46" t="str">
        <f>IF(AND(NOT(ISBLANK(U148)),Dashboard!F83&gt;0), U148/Dashboard!F83, "")</f>
        <v/>
      </c>
      <c r="W148" s="43"/>
      <c r="X148" s="46" t="str">
        <f>IF(AND(NOT(ISBLANK(W148)),Dashboard!F84&gt;0), W148/Dashboard!F84, "")</f>
        <v/>
      </c>
    </row>
    <row r="149" spans="16:24" x14ac:dyDescent="0.35">
      <c r="P149" s="56"/>
      <c r="Q149" s="43"/>
      <c r="R149" s="46" t="str">
        <f>IF(AND(NOT(ISBLANK(Q149)),Dashboard!F16&gt;0), Q149/Dashboard!F16, "")</f>
        <v/>
      </c>
      <c r="S149" s="43"/>
      <c r="T149" s="46" t="str">
        <f>IF(AND(NOT(ISBLANK(S149)),Dashboard!F82&gt;0), S149/Dashboard!F82, "")</f>
        <v/>
      </c>
      <c r="U149" s="43"/>
      <c r="V149" s="46" t="str">
        <f>IF(AND(NOT(ISBLANK(U149)),Dashboard!F83&gt;0), U149/Dashboard!F83, "")</f>
        <v/>
      </c>
      <c r="W149" s="43"/>
      <c r="X149" s="46" t="str">
        <f>IF(AND(NOT(ISBLANK(W149)),Dashboard!F84&gt;0), W149/Dashboard!F84, "")</f>
        <v/>
      </c>
    </row>
    <row r="150" spans="16:24" x14ac:dyDescent="0.35">
      <c r="P150" s="56"/>
      <c r="Q150" s="43"/>
      <c r="R150" s="46" t="str">
        <f>IF(AND(NOT(ISBLANK(Q150)),Dashboard!F16&gt;0), Q150/Dashboard!F16, "")</f>
        <v/>
      </c>
      <c r="S150" s="43"/>
      <c r="T150" s="46" t="str">
        <f>IF(AND(NOT(ISBLANK(S150)),Dashboard!F82&gt;0), S150/Dashboard!F82, "")</f>
        <v/>
      </c>
      <c r="U150" s="43"/>
      <c r="V150" s="46" t="str">
        <f>IF(AND(NOT(ISBLANK(U150)),Dashboard!F83&gt;0), U150/Dashboard!F83, "")</f>
        <v/>
      </c>
      <c r="W150" s="43"/>
      <c r="X150" s="46" t="str">
        <f>IF(AND(NOT(ISBLANK(W150)),Dashboard!F84&gt;0), W150/Dashboard!F84, "")</f>
        <v/>
      </c>
    </row>
    <row r="151" spans="16:24" x14ac:dyDescent="0.35">
      <c r="P151" s="56"/>
      <c r="Q151" s="43"/>
      <c r="R151" s="46" t="str">
        <f>IF(AND(NOT(ISBLANK(Q151)),Dashboard!F16&gt;0), Q151/Dashboard!F16, "")</f>
        <v/>
      </c>
      <c r="S151" s="43"/>
      <c r="T151" s="46" t="str">
        <f>IF(AND(NOT(ISBLANK(S151)),Dashboard!F82&gt;0), S151/Dashboard!F82, "")</f>
        <v/>
      </c>
      <c r="U151" s="43"/>
      <c r="V151" s="46" t="str">
        <f>IF(AND(NOT(ISBLANK(U151)),Dashboard!F83&gt;0), U151/Dashboard!F83, "")</f>
        <v/>
      </c>
      <c r="W151" s="43"/>
      <c r="X151" s="46" t="str">
        <f>IF(AND(NOT(ISBLANK(W151)),Dashboard!F84&gt;0), W151/Dashboard!F84, "")</f>
        <v/>
      </c>
    </row>
    <row r="152" spans="16:24" x14ac:dyDescent="0.35">
      <c r="P152" s="56"/>
      <c r="Q152" s="43"/>
      <c r="R152" s="46" t="str">
        <f>IF(AND(NOT(ISBLANK(Q152)),Dashboard!F16&gt;0), Q152/Dashboard!F16, "")</f>
        <v/>
      </c>
      <c r="S152" s="43"/>
      <c r="T152" s="46" t="str">
        <f>IF(AND(NOT(ISBLANK(S152)),Dashboard!F82&gt;0), S152/Dashboard!F82, "")</f>
        <v/>
      </c>
      <c r="U152" s="43"/>
      <c r="V152" s="46" t="str">
        <f>IF(AND(NOT(ISBLANK(U152)),Dashboard!F83&gt;0), U152/Dashboard!F83, "")</f>
        <v/>
      </c>
      <c r="W152" s="43"/>
      <c r="X152" s="46" t="str">
        <f>IF(AND(NOT(ISBLANK(W152)),Dashboard!F84&gt;0), W152/Dashboard!F84, "")</f>
        <v/>
      </c>
    </row>
    <row r="153" spans="16:24" x14ac:dyDescent="0.35">
      <c r="P153" s="56"/>
      <c r="Q153" s="43"/>
      <c r="R153" s="46" t="str">
        <f>IF(AND(NOT(ISBLANK(Q153)),Dashboard!F16&gt;0), Q153/Dashboard!F16, "")</f>
        <v/>
      </c>
      <c r="S153" s="43"/>
      <c r="T153" s="46" t="str">
        <f>IF(AND(NOT(ISBLANK(S153)),Dashboard!F82&gt;0), S153/Dashboard!F82, "")</f>
        <v/>
      </c>
      <c r="U153" s="43"/>
      <c r="V153" s="46" t="str">
        <f>IF(AND(NOT(ISBLANK(U153)),Dashboard!F83&gt;0), U153/Dashboard!F83, "")</f>
        <v/>
      </c>
      <c r="W153" s="43"/>
      <c r="X153" s="46" t="str">
        <f>IF(AND(NOT(ISBLANK(W153)),Dashboard!F84&gt;0), W153/Dashboard!F84, "")</f>
        <v/>
      </c>
    </row>
    <row r="154" spans="16:24" x14ac:dyDescent="0.35">
      <c r="P154" s="56"/>
      <c r="Q154" s="43"/>
      <c r="R154" s="46" t="str">
        <f>IF(AND(NOT(ISBLANK(Q154)),Dashboard!F16&gt;0), Q154/Dashboard!F16, "")</f>
        <v/>
      </c>
      <c r="S154" s="43"/>
      <c r="T154" s="46" t="str">
        <f>IF(AND(NOT(ISBLANK(S154)),Dashboard!F82&gt;0), S154/Dashboard!F82, "")</f>
        <v/>
      </c>
      <c r="U154" s="43"/>
      <c r="V154" s="46" t="str">
        <f>IF(AND(NOT(ISBLANK(U154)),Dashboard!F83&gt;0), U154/Dashboard!F83, "")</f>
        <v/>
      </c>
      <c r="W154" s="43"/>
      <c r="X154" s="46" t="str">
        <f>IF(AND(NOT(ISBLANK(W154)),Dashboard!F84&gt;0), W154/Dashboard!F84, "")</f>
        <v/>
      </c>
    </row>
    <row r="155" spans="16:24" x14ac:dyDescent="0.35">
      <c r="P155" s="56"/>
      <c r="Q155" s="43"/>
      <c r="R155" s="46" t="str">
        <f>IF(AND(NOT(ISBLANK(Q155)),Dashboard!F16&gt;0), Q155/Dashboard!F16, "")</f>
        <v/>
      </c>
      <c r="S155" s="43"/>
      <c r="T155" s="46" t="str">
        <f>IF(AND(NOT(ISBLANK(S155)),Dashboard!F82&gt;0), S155/Dashboard!F82, "")</f>
        <v/>
      </c>
      <c r="U155" s="43"/>
      <c r="V155" s="46" t="str">
        <f>IF(AND(NOT(ISBLANK(U155)),Dashboard!F83&gt;0), U155/Dashboard!F83, "")</f>
        <v/>
      </c>
      <c r="W155" s="43"/>
      <c r="X155" s="46" t="str">
        <f>IF(AND(NOT(ISBLANK(W155)),Dashboard!F84&gt;0), W155/Dashboard!F84, "")</f>
        <v/>
      </c>
    </row>
    <row r="156" spans="16:24" x14ac:dyDescent="0.35">
      <c r="P156" s="56"/>
      <c r="Q156" s="43"/>
      <c r="R156" s="46" t="str">
        <f>IF(AND(NOT(ISBLANK(Q156)),Dashboard!F16&gt;0), Q156/Dashboard!F16, "")</f>
        <v/>
      </c>
      <c r="S156" s="43"/>
      <c r="T156" s="46" t="str">
        <f>IF(AND(NOT(ISBLANK(S156)),Dashboard!F82&gt;0), S156/Dashboard!F82, "")</f>
        <v/>
      </c>
      <c r="U156" s="43"/>
      <c r="V156" s="46" t="str">
        <f>IF(AND(NOT(ISBLANK(U156)),Dashboard!F83&gt;0), U156/Dashboard!F83, "")</f>
        <v/>
      </c>
      <c r="W156" s="43"/>
      <c r="X156" s="46" t="str">
        <f>IF(AND(NOT(ISBLANK(W156)),Dashboard!F84&gt;0), W156/Dashboard!F84, "")</f>
        <v/>
      </c>
    </row>
    <row r="157" spans="16:24" x14ac:dyDescent="0.35">
      <c r="P157" s="56"/>
      <c r="Q157" s="43"/>
      <c r="R157" s="46" t="str">
        <f>IF(AND(NOT(ISBLANK(Q157)),Dashboard!F16&gt;0), Q157/Dashboard!F16, "")</f>
        <v/>
      </c>
      <c r="S157" s="43"/>
      <c r="T157" s="46" t="str">
        <f>IF(AND(NOT(ISBLANK(S157)),Dashboard!F82&gt;0), S157/Dashboard!F82, "")</f>
        <v/>
      </c>
      <c r="U157" s="43"/>
      <c r="V157" s="46" t="str">
        <f>IF(AND(NOT(ISBLANK(U157)),Dashboard!F83&gt;0), U157/Dashboard!F83, "")</f>
        <v/>
      </c>
      <c r="W157" s="43"/>
      <c r="X157" s="46" t="str">
        <f>IF(AND(NOT(ISBLANK(W157)),Dashboard!F84&gt;0), W157/Dashboard!F84, "")</f>
        <v/>
      </c>
    </row>
    <row r="158" spans="16:24" x14ac:dyDescent="0.35">
      <c r="P158" s="56"/>
      <c r="Q158" s="43"/>
      <c r="R158" s="46" t="str">
        <f>IF(AND(NOT(ISBLANK(Q158)),Dashboard!F16&gt;0), Q158/Dashboard!F16, "")</f>
        <v/>
      </c>
      <c r="S158" s="43"/>
      <c r="T158" s="46" t="str">
        <f>IF(AND(NOT(ISBLANK(S158)),Dashboard!F82&gt;0), S158/Dashboard!F82, "")</f>
        <v/>
      </c>
      <c r="U158" s="43"/>
      <c r="V158" s="46" t="str">
        <f>IF(AND(NOT(ISBLANK(U158)),Dashboard!F83&gt;0), U158/Dashboard!F83, "")</f>
        <v/>
      </c>
      <c r="W158" s="43"/>
      <c r="X158" s="46" t="str">
        <f>IF(AND(NOT(ISBLANK(W158)),Dashboard!F84&gt;0), W158/Dashboard!F84, "")</f>
        <v/>
      </c>
    </row>
    <row r="159" spans="16:24" x14ac:dyDescent="0.35">
      <c r="P159" s="56"/>
      <c r="Q159" s="43"/>
      <c r="R159" s="46" t="str">
        <f>IF(AND(NOT(ISBLANK(Q159)),Dashboard!F16&gt;0), Q159/Dashboard!F16, "")</f>
        <v/>
      </c>
      <c r="S159" s="43"/>
      <c r="T159" s="46" t="str">
        <f>IF(AND(NOT(ISBLANK(S159)),Dashboard!F82&gt;0), S159/Dashboard!F82, "")</f>
        <v/>
      </c>
      <c r="U159" s="43"/>
      <c r="V159" s="46" t="str">
        <f>IF(AND(NOT(ISBLANK(U159)),Dashboard!F83&gt;0), U159/Dashboard!F83, "")</f>
        <v/>
      </c>
      <c r="W159" s="43"/>
      <c r="X159" s="46" t="str">
        <f>IF(AND(NOT(ISBLANK(W159)),Dashboard!F84&gt;0), W159/Dashboard!F84, "")</f>
        <v/>
      </c>
    </row>
    <row r="160" spans="16:24" x14ac:dyDescent="0.35">
      <c r="P160" s="56"/>
      <c r="Q160" s="43"/>
      <c r="R160" s="46" t="str">
        <f>IF(AND(NOT(ISBLANK(Q160)),Dashboard!F16&gt;0), Q160/Dashboard!F16, "")</f>
        <v/>
      </c>
      <c r="S160" s="43"/>
      <c r="T160" s="46" t="str">
        <f>IF(AND(NOT(ISBLANK(S160)),Dashboard!F82&gt;0), S160/Dashboard!F82, "")</f>
        <v/>
      </c>
      <c r="U160" s="43"/>
      <c r="V160" s="46" t="str">
        <f>IF(AND(NOT(ISBLANK(U160)),Dashboard!F83&gt;0), U160/Dashboard!F83, "")</f>
        <v/>
      </c>
      <c r="W160" s="43"/>
      <c r="X160" s="46" t="str">
        <f>IF(AND(NOT(ISBLANK(W160)),Dashboard!F84&gt;0), W160/Dashboard!F84, "")</f>
        <v/>
      </c>
    </row>
    <row r="161" spans="2:24" x14ac:dyDescent="0.35">
      <c r="P161" s="56"/>
      <c r="Q161" s="43"/>
      <c r="R161" s="46" t="str">
        <f>IF(AND(NOT(ISBLANK(Q161)),Dashboard!F16&gt;0), Q161/Dashboard!F16, "")</f>
        <v/>
      </c>
      <c r="S161" s="43"/>
      <c r="T161" s="46" t="str">
        <f>IF(AND(NOT(ISBLANK(S161)),Dashboard!F82&gt;0), S161/Dashboard!F82, "")</f>
        <v/>
      </c>
      <c r="U161" s="43"/>
      <c r="V161" s="46" t="str">
        <f>IF(AND(NOT(ISBLANK(U161)),Dashboard!F83&gt;0), U161/Dashboard!F83, "")</f>
        <v/>
      </c>
      <c r="W161" s="43"/>
      <c r="X161" s="46" t="str">
        <f>IF(AND(NOT(ISBLANK(W161)),Dashboard!F84&gt;0), W161/Dashboard!F84, "")</f>
        <v/>
      </c>
    </row>
    <row r="162" spans="2:24" x14ac:dyDescent="0.35">
      <c r="P162" s="56"/>
      <c r="Q162" s="43"/>
      <c r="R162" s="46" t="str">
        <f>IF(AND(NOT(ISBLANK(Q162)),Dashboard!F16&gt;0), Q162/Dashboard!F16, "")</f>
        <v/>
      </c>
      <c r="S162" s="43"/>
      <c r="T162" s="46" t="str">
        <f>IF(AND(NOT(ISBLANK(S162)),Dashboard!F82&gt;0), S162/Dashboard!F82, "")</f>
        <v/>
      </c>
      <c r="U162" s="43"/>
      <c r="V162" s="46" t="str">
        <f>IF(AND(NOT(ISBLANK(U162)),Dashboard!F83&gt;0), U162/Dashboard!F83, "")</f>
        <v/>
      </c>
      <c r="W162" s="43"/>
      <c r="X162" s="46" t="str">
        <f>IF(AND(NOT(ISBLANK(W162)),Dashboard!F84&gt;0), W162/Dashboard!F84, "")</f>
        <v/>
      </c>
    </row>
    <row r="163" spans="2:24" x14ac:dyDescent="0.35">
      <c r="P163" s="56"/>
      <c r="Q163" s="43"/>
      <c r="R163" s="46" t="str">
        <f>IF(AND(NOT(ISBLANK(Q163)),Dashboard!F16&gt;0), Q163/Dashboard!F16, "")</f>
        <v/>
      </c>
      <c r="S163" s="43"/>
      <c r="T163" s="46" t="str">
        <f>IF(AND(NOT(ISBLANK(S163)),Dashboard!F82&gt;0), S163/Dashboard!F82, "")</f>
        <v/>
      </c>
      <c r="U163" s="43"/>
      <c r="V163" s="46" t="str">
        <f>IF(AND(NOT(ISBLANK(U163)),Dashboard!F83&gt;0), U163/Dashboard!F83, "")</f>
        <v/>
      </c>
      <c r="W163" s="43"/>
      <c r="X163" s="46" t="str">
        <f>IF(AND(NOT(ISBLANK(W163)),Dashboard!F84&gt;0), W163/Dashboard!F84, "")</f>
        <v/>
      </c>
    </row>
    <row r="164" spans="2:24" x14ac:dyDescent="0.35">
      <c r="P164" s="56"/>
      <c r="Q164" s="43"/>
      <c r="R164" s="46" t="str">
        <f>IF(AND(NOT(ISBLANK(Q164)),Dashboard!F16&gt;0), Q164/Dashboard!F16, "")</f>
        <v/>
      </c>
      <c r="S164" s="43"/>
      <c r="T164" s="46" t="str">
        <f>IF(AND(NOT(ISBLANK(S164)),Dashboard!F82&gt;0), S164/Dashboard!F82, "")</f>
        <v/>
      </c>
      <c r="U164" s="43"/>
      <c r="V164" s="46" t="str">
        <f>IF(AND(NOT(ISBLANK(U164)),Dashboard!F83&gt;0), U164/Dashboard!F83, "")</f>
        <v/>
      </c>
      <c r="W164" s="43"/>
      <c r="X164" s="46" t="str">
        <f>IF(AND(NOT(ISBLANK(W164)),Dashboard!F84&gt;0), W164/Dashboard!F84, "")</f>
        <v/>
      </c>
    </row>
    <row r="165" spans="2:24" x14ac:dyDescent="0.35">
      <c r="P165" s="56"/>
      <c r="Q165" s="43"/>
      <c r="R165" s="46" t="str">
        <f>IF(AND(NOT(ISBLANK(Q165)),Dashboard!F16&gt;0), Q165/Dashboard!F16, "")</f>
        <v/>
      </c>
      <c r="S165" s="43"/>
      <c r="T165" s="46" t="str">
        <f>IF(AND(NOT(ISBLANK(S165)),Dashboard!F82&gt;0), S165/Dashboard!F82, "")</f>
        <v/>
      </c>
      <c r="U165" s="43"/>
      <c r="V165" s="46" t="str">
        <f>IF(AND(NOT(ISBLANK(U165)),Dashboard!F83&gt;0), U165/Dashboard!F83, "")</f>
        <v/>
      </c>
      <c r="W165" s="43"/>
      <c r="X165" s="46" t="str">
        <f>IF(AND(NOT(ISBLANK(W165)),Dashboard!F84&gt;0), W165/Dashboard!F84, "")</f>
        <v/>
      </c>
    </row>
    <row r="166" spans="2:24" x14ac:dyDescent="0.35">
      <c r="P166" s="56"/>
      <c r="Q166" s="43"/>
      <c r="R166" s="46" t="str">
        <f>IF(AND(NOT(ISBLANK(Q166)),Dashboard!F16&gt;0), Q166/Dashboard!F16, "")</f>
        <v/>
      </c>
      <c r="S166" s="43"/>
      <c r="T166" s="46" t="str">
        <f>IF(AND(NOT(ISBLANK(S166)),Dashboard!F82&gt;0), S166/Dashboard!F82, "")</f>
        <v/>
      </c>
      <c r="U166" s="43"/>
      <c r="V166" s="46" t="str">
        <f>IF(AND(NOT(ISBLANK(U166)),Dashboard!F83&gt;0), U166/Dashboard!F83, "")</f>
        <v/>
      </c>
      <c r="W166" s="43"/>
      <c r="X166" s="46" t="str">
        <f>IF(AND(NOT(ISBLANK(W166)),Dashboard!F84&gt;0), W166/Dashboard!F84, "")</f>
        <v/>
      </c>
    </row>
    <row r="167" spans="2:24" x14ac:dyDescent="0.35">
      <c r="P167" s="56"/>
      <c r="Q167" s="43"/>
      <c r="R167" s="46" t="str">
        <f>IF(AND(NOT(ISBLANK(Q167)),Dashboard!F16&gt;0), Q167/Dashboard!F16, "")</f>
        <v/>
      </c>
      <c r="S167" s="43"/>
      <c r="T167" s="46" t="str">
        <f>IF(AND(NOT(ISBLANK(S167)),Dashboard!F82&gt;0), S167/Dashboard!F82, "")</f>
        <v/>
      </c>
      <c r="U167" s="43"/>
      <c r="V167" s="46" t="str">
        <f>IF(AND(NOT(ISBLANK(U167)),Dashboard!F83&gt;0), U167/Dashboard!F83, "")</f>
        <v/>
      </c>
      <c r="W167" s="43"/>
      <c r="X167" s="46" t="str">
        <f>IF(AND(NOT(ISBLANK(W167)),Dashboard!F84&gt;0), W167/Dashboard!F84, "")</f>
        <v/>
      </c>
    </row>
    <row r="168" spans="2:24" x14ac:dyDescent="0.35">
      <c r="P168" s="56"/>
      <c r="Q168" s="43"/>
      <c r="R168" s="46" t="str">
        <f>IF(AND(NOT(ISBLANK(Q168)),Dashboard!F16&gt;0), Q168/Dashboard!F16, "")</f>
        <v/>
      </c>
      <c r="S168" s="43"/>
      <c r="T168" s="46" t="str">
        <f>IF(AND(NOT(ISBLANK(S168)),Dashboard!F82&gt;0), S168/Dashboard!F82, "")</f>
        <v/>
      </c>
      <c r="U168" s="43"/>
      <c r="V168" s="46" t="str">
        <f>IF(AND(NOT(ISBLANK(U168)),Dashboard!F83&gt;0), U168/Dashboard!F83, "")</f>
        <v/>
      </c>
      <c r="W168" s="43"/>
      <c r="X168" s="46" t="str">
        <f>IF(AND(NOT(ISBLANK(W168)),Dashboard!F84&gt;0), W168/Dashboard!F84, "")</f>
        <v/>
      </c>
    </row>
    <row r="173" spans="2:24" ht="21" x14ac:dyDescent="0.5">
      <c r="B173" s="40" t="s">
        <v>267</v>
      </c>
      <c r="P173" s="57" t="s">
        <v>268</v>
      </c>
    </row>
    <row r="175" spans="2:24" ht="45" customHeight="1" x14ac:dyDescent="0.35">
      <c r="B175" s="90" t="s">
        <v>269</v>
      </c>
      <c r="C175" s="83"/>
      <c r="D175" s="83"/>
      <c r="E175" s="83"/>
      <c r="F175" s="83"/>
      <c r="P175" s="90" t="s">
        <v>270</v>
      </c>
      <c r="Q175" s="83"/>
      <c r="R175" s="83"/>
      <c r="S175" s="83"/>
      <c r="T175" s="83"/>
      <c r="U175" s="83"/>
    </row>
    <row r="176" spans="2:24" ht="35" customHeight="1" x14ac:dyDescent="0.35">
      <c r="P176" s="87" t="s">
        <v>271</v>
      </c>
      <c r="Q176" s="87"/>
      <c r="R176" s="87" t="s">
        <v>272</v>
      </c>
      <c r="S176" s="87"/>
      <c r="T176" s="87"/>
    </row>
    <row r="177" spans="16:22" ht="30" customHeight="1" x14ac:dyDescent="0.35">
      <c r="P177" s="91">
        <v>0</v>
      </c>
      <c r="Q177" s="92"/>
      <c r="R177" s="93" t="s">
        <v>273</v>
      </c>
      <c r="S177" s="94"/>
      <c r="T177" s="94"/>
    </row>
    <row r="180" spans="16:22" ht="25" customHeight="1" x14ac:dyDescent="0.35">
      <c r="P180" s="66" t="s">
        <v>256</v>
      </c>
      <c r="Q180" s="66" t="s">
        <v>274</v>
      </c>
      <c r="R180" s="66" t="s">
        <v>275</v>
      </c>
      <c r="S180" s="95" t="s">
        <v>8</v>
      </c>
      <c r="T180" s="95"/>
      <c r="U180" s="95"/>
      <c r="V180" s="83"/>
    </row>
    <row r="181" spans="16:22" ht="20" customHeight="1" x14ac:dyDescent="0.35">
      <c r="P181" s="68"/>
      <c r="Q181" s="69"/>
      <c r="R181" s="70" t="str">
        <f>IF(AND(NOT(ISBLANK(Q181)), Dashboard!$P177&gt;0), Q181/Dashboard!$P177, "")</f>
        <v/>
      </c>
      <c r="S181" s="96"/>
      <c r="T181" s="97"/>
      <c r="U181" s="97"/>
      <c r="V181" s="97"/>
    </row>
    <row r="182" spans="16:22" ht="20" customHeight="1" x14ac:dyDescent="0.35">
      <c r="P182" s="68"/>
      <c r="Q182" s="69"/>
      <c r="R182" s="70" t="str">
        <f>IF(AND(NOT(ISBLANK(Q182)), Dashboard!$P177&gt;0), Q182/Dashboard!$P177, "")</f>
        <v/>
      </c>
      <c r="S182" s="96"/>
      <c r="T182" s="97"/>
      <c r="U182" s="97"/>
      <c r="V182" s="97"/>
    </row>
    <row r="183" spans="16:22" ht="20" customHeight="1" x14ac:dyDescent="0.35">
      <c r="P183" s="68"/>
      <c r="Q183" s="69"/>
      <c r="R183" s="70" t="str">
        <f>IF(AND(NOT(ISBLANK(Q183)), Dashboard!$P177&gt;0), Q183/Dashboard!$P177, "")</f>
        <v/>
      </c>
      <c r="S183" s="96"/>
      <c r="T183" s="97"/>
      <c r="U183" s="97"/>
      <c r="V183" s="97"/>
    </row>
    <row r="184" spans="16:22" ht="20" customHeight="1" x14ac:dyDescent="0.35">
      <c r="P184" s="68"/>
      <c r="Q184" s="69"/>
      <c r="R184" s="70" t="str">
        <f>IF(AND(NOT(ISBLANK(Q184)), Dashboard!$P177&gt;0), Q184/Dashboard!$P177, "")</f>
        <v/>
      </c>
      <c r="S184" s="96"/>
      <c r="T184" s="97"/>
      <c r="U184" s="97"/>
      <c r="V184" s="97"/>
    </row>
    <row r="185" spans="16:22" ht="20" customHeight="1" x14ac:dyDescent="0.35">
      <c r="P185" s="68"/>
      <c r="Q185" s="69"/>
      <c r="R185" s="70" t="str">
        <f>IF(AND(NOT(ISBLANK(Q185)), Dashboard!$P177&gt;0), Q185/Dashboard!$P177, "")</f>
        <v/>
      </c>
      <c r="S185" s="96"/>
      <c r="T185" s="97"/>
      <c r="U185" s="97"/>
      <c r="V185" s="97"/>
    </row>
    <row r="186" spans="16:22" ht="20" customHeight="1" x14ac:dyDescent="0.35">
      <c r="P186" s="68"/>
      <c r="Q186" s="69"/>
      <c r="R186" s="70" t="str">
        <f>IF(AND(NOT(ISBLANK(Q186)), Dashboard!$P177&gt;0), Q186/Dashboard!$P177, "")</f>
        <v/>
      </c>
      <c r="S186" s="96"/>
      <c r="T186" s="97"/>
      <c r="U186" s="97"/>
      <c r="V186" s="97"/>
    </row>
    <row r="187" spans="16:22" ht="20" customHeight="1" x14ac:dyDescent="0.35">
      <c r="P187" s="68"/>
      <c r="Q187" s="69"/>
      <c r="R187" s="70" t="str">
        <f>IF(AND(NOT(ISBLANK(Q187)), Dashboard!$P177&gt;0), Q187/Dashboard!$P177, "")</f>
        <v/>
      </c>
      <c r="S187" s="96"/>
      <c r="T187" s="97"/>
      <c r="U187" s="97"/>
      <c r="V187" s="97"/>
    </row>
    <row r="188" spans="16:22" ht="20" customHeight="1" x14ac:dyDescent="0.35">
      <c r="P188" s="68"/>
      <c r="Q188" s="69"/>
      <c r="R188" s="70" t="str">
        <f>IF(AND(NOT(ISBLANK(Q188)), Dashboard!$P177&gt;0), Q188/Dashboard!$P177, "")</f>
        <v/>
      </c>
      <c r="S188" s="96"/>
      <c r="T188" s="97"/>
      <c r="U188" s="97"/>
      <c r="V188" s="97"/>
    </row>
    <row r="189" spans="16:22" ht="20" customHeight="1" x14ac:dyDescent="0.35">
      <c r="P189" s="68"/>
      <c r="Q189" s="69"/>
      <c r="R189" s="70" t="str">
        <f>IF(AND(NOT(ISBLANK(Q189)), Dashboard!$P177&gt;0), Q189/Dashboard!$P177, "")</f>
        <v/>
      </c>
      <c r="S189" s="96"/>
      <c r="T189" s="97"/>
      <c r="U189" s="97"/>
      <c r="V189" s="97"/>
    </row>
    <row r="190" spans="16:22" ht="20" customHeight="1" x14ac:dyDescent="0.35">
      <c r="P190" s="68"/>
      <c r="Q190" s="69"/>
      <c r="R190" s="70" t="str">
        <f>IF(AND(NOT(ISBLANK(Q190)), Dashboard!$P177&gt;0), Q190/Dashboard!$P177, "")</f>
        <v/>
      </c>
      <c r="S190" s="96"/>
      <c r="T190" s="97"/>
      <c r="U190" s="97"/>
      <c r="V190" s="97"/>
    </row>
    <row r="191" spans="16:22" ht="20" customHeight="1" x14ac:dyDescent="0.35">
      <c r="P191" s="68"/>
      <c r="Q191" s="69"/>
      <c r="R191" s="70" t="str">
        <f>IF(AND(NOT(ISBLANK(Q191)), Dashboard!$P177&gt;0), Q191/Dashboard!$P177, "")</f>
        <v/>
      </c>
      <c r="S191" s="96"/>
      <c r="T191" s="97"/>
      <c r="U191" s="97"/>
      <c r="V191" s="97"/>
    </row>
    <row r="192" spans="16:22" ht="20" customHeight="1" x14ac:dyDescent="0.35">
      <c r="P192" s="68"/>
      <c r="Q192" s="69"/>
      <c r="R192" s="70" t="str">
        <f>IF(AND(NOT(ISBLANK(Q192)), Dashboard!$P177&gt;0), Q192/Dashboard!$P177, "")</f>
        <v/>
      </c>
      <c r="S192" s="96"/>
      <c r="T192" s="97"/>
      <c r="U192" s="97"/>
      <c r="V192" s="97"/>
    </row>
    <row r="193" spans="2:22" ht="20" customHeight="1" x14ac:dyDescent="0.35">
      <c r="P193" s="68"/>
      <c r="Q193" s="69"/>
      <c r="R193" s="70" t="str">
        <f>IF(AND(NOT(ISBLANK(Q193)), Dashboard!$P177&gt;0), Q193/Dashboard!$P177, "")</f>
        <v/>
      </c>
      <c r="S193" s="96"/>
      <c r="T193" s="97"/>
      <c r="U193" s="97"/>
      <c r="V193" s="97"/>
    </row>
    <row r="194" spans="2:22" ht="20" customHeight="1" x14ac:dyDescent="0.35">
      <c r="P194" s="68"/>
      <c r="Q194" s="69"/>
      <c r="R194" s="70" t="str">
        <f>IF(AND(NOT(ISBLANK(Q194)), Dashboard!$P177&gt;0), Q194/Dashboard!$P177, "")</f>
        <v/>
      </c>
      <c r="S194" s="96"/>
      <c r="T194" s="97"/>
      <c r="U194" s="97"/>
      <c r="V194" s="97"/>
    </row>
    <row r="195" spans="2:22" ht="20" customHeight="1" x14ac:dyDescent="0.35">
      <c r="P195" s="68"/>
      <c r="Q195" s="69"/>
      <c r="R195" s="70" t="str">
        <f>IF(AND(NOT(ISBLANK(Q195)), Dashboard!$P177&gt;0), Q195/Dashboard!$P177, "")</f>
        <v/>
      </c>
      <c r="S195" s="96"/>
      <c r="T195" s="97"/>
      <c r="U195" s="97"/>
      <c r="V195" s="97"/>
    </row>
    <row r="196" spans="2:22" ht="20" customHeight="1" x14ac:dyDescent="0.35">
      <c r="P196" s="68"/>
      <c r="Q196" s="69"/>
      <c r="R196" s="70" t="str">
        <f>IF(AND(NOT(ISBLANK(Q196)), Dashboard!$P177&gt;0), Q196/Dashboard!$P177, "")</f>
        <v/>
      </c>
      <c r="S196" s="96"/>
      <c r="T196" s="97"/>
      <c r="U196" s="97"/>
      <c r="V196" s="97"/>
    </row>
    <row r="197" spans="2:22" ht="20" customHeight="1" x14ac:dyDescent="0.35">
      <c r="P197" s="68"/>
      <c r="Q197" s="69"/>
      <c r="R197" s="70" t="str">
        <f>IF(AND(NOT(ISBLANK(Q197)), Dashboard!$P177&gt;0), Q197/Dashboard!$P177, "")</f>
        <v/>
      </c>
      <c r="S197" s="96"/>
      <c r="T197" s="97"/>
      <c r="U197" s="97"/>
      <c r="V197" s="97"/>
    </row>
    <row r="198" spans="2:22" ht="20" customHeight="1" x14ac:dyDescent="0.35">
      <c r="P198" s="68"/>
      <c r="Q198" s="69"/>
      <c r="R198" s="70" t="str">
        <f>IF(AND(NOT(ISBLANK(Q198)), Dashboard!$P177&gt;0), Q198/Dashboard!$P177, "")</f>
        <v/>
      </c>
      <c r="S198" s="96"/>
      <c r="T198" s="97"/>
      <c r="U198" s="97"/>
      <c r="V198" s="97"/>
    </row>
    <row r="199" spans="2:22" ht="20" customHeight="1" x14ac:dyDescent="0.35">
      <c r="P199" s="68"/>
      <c r="Q199" s="69"/>
      <c r="R199" s="70" t="str">
        <f>IF(AND(NOT(ISBLANK(Q199)), Dashboard!$P177&gt;0), Q199/Dashboard!$P177, "")</f>
        <v/>
      </c>
      <c r="S199" s="96"/>
      <c r="T199" s="97"/>
      <c r="U199" s="97"/>
      <c r="V199" s="97"/>
    </row>
    <row r="200" spans="2:22" ht="20" customHeight="1" x14ac:dyDescent="0.35">
      <c r="P200" s="68"/>
      <c r="Q200" s="69"/>
      <c r="R200" s="70" t="str">
        <f>IF(AND(NOT(ISBLANK(Q200)), Dashboard!$P177&gt;0), Q200/Dashboard!$P177, "")</f>
        <v/>
      </c>
      <c r="S200" s="96"/>
      <c r="T200" s="97"/>
      <c r="U200" s="97"/>
      <c r="V200" s="97"/>
    </row>
    <row r="204" spans="2:22" ht="32" customHeight="1" x14ac:dyDescent="0.35">
      <c r="B204" s="81" t="s">
        <v>147</v>
      </c>
      <c r="C204" s="81"/>
      <c r="D204" s="81"/>
      <c r="E204" s="81"/>
      <c r="F204" s="81"/>
      <c r="G204" s="81"/>
      <c r="H204" s="81"/>
      <c r="I204" s="8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0:H125">
    <cfRule type="expression" dxfId="32" priority="4">
      <formula>$G120&gt;=0.8</formula>
    </cfRule>
    <cfRule type="expression" dxfId="31" priority="5">
      <formula>AND($G120&gt;=0.5,$G120&lt;0.8)</formula>
    </cfRule>
    <cfRule type="expression" dxfId="30" priority="6">
      <formula>$G120&lt;0.5</formula>
    </cfRule>
  </conditionalFormatting>
  <conditionalFormatting sqref="K120:K125">
    <cfRule type="cellIs" dxfId="29" priority="7" operator="greaterThan">
      <formula>0</formula>
    </cfRule>
  </conditionalFormatting>
  <conditionalFormatting sqref="L120:L125">
    <cfRule type="cellIs" dxfId="28" priority="8" operator="greaterThan">
      <formula>0</formula>
    </cfRule>
  </conditionalFormatting>
  <conditionalFormatting sqref="M120:M125">
    <cfRule type="cellIs" dxfId="27" priority="9" operator="greaterThan">
      <formula>0</formula>
    </cfRule>
  </conditionalFormatting>
  <conditionalFormatting sqref="N120:N125">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7"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27</v>
      </c>
      <c r="D7" s="3" t="s">
        <v>48</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27</v>
      </c>
      <c r="D8" s="3" t="s">
        <v>48</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27</v>
      </c>
      <c r="D9" s="3" t="s">
        <v>48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27</v>
      </c>
      <c r="D10" s="3" t="s">
        <v>48</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27</v>
      </c>
      <c r="D11" s="3" t="s">
        <v>48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27</v>
      </c>
      <c r="D12" s="3" t="s">
        <v>48</v>
      </c>
      <c r="E12" s="4" t="s">
        <v>18</v>
      </c>
      <c r="F12" s="4" t="s">
        <v>19</v>
      </c>
      <c r="G12" s="4" t="s">
        <v>20</v>
      </c>
      <c r="H12" s="4" t="s">
        <v>21</v>
      </c>
      <c r="I12" s="5" t="s">
        <v>21</v>
      </c>
      <c r="J12" s="1" t="s">
        <v>69</v>
      </c>
      <c r="K12" s="1" t="s">
        <v>74</v>
      </c>
      <c r="L12" s="1" t="s">
        <v>75</v>
      </c>
      <c r="M12" s="4" t="str">
        <f t="shared" si="0"/>
        <v>Outstanding</v>
      </c>
      <c r="N12" s="13" t="s">
        <v>21</v>
      </c>
    </row>
    <row r="13" spans="1:14" ht="60" customHeight="1" x14ac:dyDescent="0.35">
      <c r="A13" s="11" t="s">
        <v>76</v>
      </c>
      <c r="B13" s="1" t="s">
        <v>77</v>
      </c>
      <c r="C13" s="2" t="s">
        <v>16</v>
      </c>
      <c r="D13" s="3" t="s">
        <v>48</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27</v>
      </c>
      <c r="D14" s="3" t="s">
        <v>48</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27</v>
      </c>
      <c r="D15" s="3" t="s">
        <v>48</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27</v>
      </c>
      <c r="D16" s="3" t="s">
        <v>48</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27</v>
      </c>
      <c r="D17" s="3" t="s">
        <v>48</v>
      </c>
      <c r="E17" s="4" t="s">
        <v>18</v>
      </c>
      <c r="F17" s="4" t="s">
        <v>19</v>
      </c>
      <c r="G17" s="4" t="s">
        <v>20</v>
      </c>
      <c r="H17" s="4" t="s">
        <v>21</v>
      </c>
      <c r="I17" s="5" t="s">
        <v>21</v>
      </c>
      <c r="J17" s="1" t="s">
        <v>49</v>
      </c>
      <c r="K17" s="1" t="s">
        <v>98</v>
      </c>
      <c r="L17" s="1" t="s">
        <v>99</v>
      </c>
      <c r="M17" s="4" t="str">
        <f t="shared" si="0"/>
        <v>Outstanding</v>
      </c>
      <c r="N17" s="13" t="s">
        <v>21</v>
      </c>
    </row>
    <row r="18" spans="1:14" ht="60" customHeight="1" x14ac:dyDescent="0.35">
      <c r="A18" s="11" t="s">
        <v>100</v>
      </c>
      <c r="B18" s="1" t="s">
        <v>101</v>
      </c>
      <c r="C18" s="2" t="s">
        <v>27</v>
      </c>
      <c r="D18" s="3" t="s">
        <v>17</v>
      </c>
      <c r="E18" s="4" t="s">
        <v>18</v>
      </c>
      <c r="F18" s="4" t="s">
        <v>19</v>
      </c>
      <c r="G18" s="4" t="s">
        <v>20</v>
      </c>
      <c r="H18" s="4" t="s">
        <v>21</v>
      </c>
      <c r="I18" s="5" t="s">
        <v>21</v>
      </c>
      <c r="J18" s="1" t="s">
        <v>22</v>
      </c>
      <c r="K18" s="1" t="s">
        <v>102</v>
      </c>
      <c r="L18" s="1" t="s">
        <v>24</v>
      </c>
      <c r="M18" s="4" t="str">
        <f t="shared" si="0"/>
        <v>Outstanding</v>
      </c>
      <c r="N18" s="13" t="s">
        <v>21</v>
      </c>
    </row>
    <row r="19" spans="1:14" ht="60" customHeight="1" x14ac:dyDescent="0.35">
      <c r="A19" s="11" t="s">
        <v>103</v>
      </c>
      <c r="B19" s="1" t="s">
        <v>104</v>
      </c>
      <c r="C19" s="2" t="s">
        <v>27</v>
      </c>
      <c r="D19" s="3" t="s">
        <v>17</v>
      </c>
      <c r="E19" s="4" t="s">
        <v>18</v>
      </c>
      <c r="F19" s="4" t="s">
        <v>19</v>
      </c>
      <c r="G19" s="4" t="s">
        <v>20</v>
      </c>
      <c r="H19" s="4" t="s">
        <v>21</v>
      </c>
      <c r="I19" s="5" t="s">
        <v>21</v>
      </c>
      <c r="J19" s="1" t="s">
        <v>105</v>
      </c>
      <c r="K19" s="1" t="s">
        <v>106</v>
      </c>
      <c r="L19" s="1" t="s">
        <v>107</v>
      </c>
      <c r="M19" s="4" t="str">
        <f t="shared" si="0"/>
        <v>Outstanding</v>
      </c>
      <c r="N19" s="13" t="s">
        <v>21</v>
      </c>
    </row>
    <row r="20" spans="1:14" ht="60" customHeight="1" x14ac:dyDescent="0.35">
      <c r="A20" s="11" t="s">
        <v>108</v>
      </c>
      <c r="B20" s="1" t="s">
        <v>109</v>
      </c>
      <c r="C20" s="2" t="s">
        <v>27</v>
      </c>
      <c r="D20" s="3" t="s">
        <v>17</v>
      </c>
      <c r="E20" s="4" t="s">
        <v>18</v>
      </c>
      <c r="F20" s="4" t="s">
        <v>19</v>
      </c>
      <c r="G20" s="4" t="s">
        <v>20</v>
      </c>
      <c r="H20" s="4" t="s">
        <v>21</v>
      </c>
      <c r="I20" s="5" t="s">
        <v>21</v>
      </c>
      <c r="J20" s="1" t="s">
        <v>110</v>
      </c>
      <c r="K20" s="1" t="s">
        <v>111</v>
      </c>
      <c r="L20" s="1" t="s">
        <v>112</v>
      </c>
      <c r="M20" s="4" t="str">
        <f t="shared" si="0"/>
        <v>Outstanding</v>
      </c>
      <c r="N20" s="13" t="s">
        <v>21</v>
      </c>
    </row>
    <row r="21" spans="1:14" ht="60" customHeight="1" x14ac:dyDescent="0.35">
      <c r="A21" s="11" t="s">
        <v>113</v>
      </c>
      <c r="B21" s="1" t="s">
        <v>114</v>
      </c>
      <c r="C21" s="2" t="s">
        <v>27</v>
      </c>
      <c r="D21" s="3" t="s">
        <v>17</v>
      </c>
      <c r="E21" s="4" t="s">
        <v>18</v>
      </c>
      <c r="F21" s="4" t="s">
        <v>19</v>
      </c>
      <c r="G21" s="4" t="s">
        <v>20</v>
      </c>
      <c r="H21" s="4" t="s">
        <v>21</v>
      </c>
      <c r="I21" s="5" t="s">
        <v>21</v>
      </c>
      <c r="J21" s="1" t="s">
        <v>115</v>
      </c>
      <c r="K21" s="1" t="s">
        <v>116</v>
      </c>
      <c r="L21" s="1" t="s">
        <v>112</v>
      </c>
      <c r="M21" s="4" t="str">
        <f t="shared" si="0"/>
        <v>Outstanding</v>
      </c>
      <c r="N21" s="13" t="s">
        <v>21</v>
      </c>
    </row>
    <row r="22" spans="1:14" ht="60" customHeight="1" x14ac:dyDescent="0.35">
      <c r="A22" s="11" t="s">
        <v>117</v>
      </c>
      <c r="B22" s="1" t="s">
        <v>118</v>
      </c>
      <c r="C22" s="2" t="s">
        <v>27</v>
      </c>
      <c r="D22" s="3" t="s">
        <v>17</v>
      </c>
      <c r="E22" s="4" t="s">
        <v>18</v>
      </c>
      <c r="F22" s="4" t="s">
        <v>19</v>
      </c>
      <c r="G22" s="4" t="s">
        <v>20</v>
      </c>
      <c r="H22" s="4" t="s">
        <v>21</v>
      </c>
      <c r="I22" s="5" t="s">
        <v>21</v>
      </c>
      <c r="J22" s="1" t="s">
        <v>119</v>
      </c>
      <c r="K22" s="1" t="s">
        <v>120</v>
      </c>
      <c r="L22" s="1" t="s">
        <v>121</v>
      </c>
      <c r="M22" s="4" t="str">
        <f t="shared" si="0"/>
        <v>Outstanding</v>
      </c>
      <c r="N22" s="13" t="s">
        <v>21</v>
      </c>
    </row>
    <row r="23" spans="1:14" ht="60" customHeight="1" x14ac:dyDescent="0.35">
      <c r="A23" s="11" t="s">
        <v>122</v>
      </c>
      <c r="B23" s="1" t="s">
        <v>123</v>
      </c>
      <c r="C23" s="2" t="s">
        <v>27</v>
      </c>
      <c r="D23" s="3" t="s">
        <v>17</v>
      </c>
      <c r="E23" s="4" t="s">
        <v>18</v>
      </c>
      <c r="F23" s="4" t="s">
        <v>19</v>
      </c>
      <c r="G23" s="4" t="s">
        <v>20</v>
      </c>
      <c r="H23" s="4" t="s">
        <v>21</v>
      </c>
      <c r="I23" s="5" t="s">
        <v>21</v>
      </c>
      <c r="J23" s="1" t="s">
        <v>124</v>
      </c>
      <c r="K23" s="1" t="s">
        <v>125</v>
      </c>
      <c r="L23" s="1" t="s">
        <v>126</v>
      </c>
      <c r="M23" s="4" t="str">
        <f t="shared" si="0"/>
        <v>Outstanding</v>
      </c>
      <c r="N23" s="13" t="s">
        <v>21</v>
      </c>
    </row>
    <row r="24" spans="1:14" ht="60" customHeight="1" x14ac:dyDescent="0.35">
      <c r="A24" s="11" t="s">
        <v>127</v>
      </c>
      <c r="B24" s="1" t="s">
        <v>128</v>
      </c>
      <c r="C24" s="2" t="s">
        <v>27</v>
      </c>
      <c r="D24" s="3" t="s">
        <v>17</v>
      </c>
      <c r="E24" s="4" t="s">
        <v>18</v>
      </c>
      <c r="F24" s="4" t="s">
        <v>19</v>
      </c>
      <c r="G24" s="4" t="s">
        <v>20</v>
      </c>
      <c r="H24" s="4" t="s">
        <v>21</v>
      </c>
      <c r="I24" s="5" t="s">
        <v>21</v>
      </c>
      <c r="J24" s="1" t="s">
        <v>129</v>
      </c>
      <c r="K24" s="1" t="s">
        <v>130</v>
      </c>
      <c r="L24" s="1" t="s">
        <v>131</v>
      </c>
      <c r="M24" s="4" t="str">
        <f t="shared" si="0"/>
        <v>Outstanding</v>
      </c>
      <c r="N24" s="13" t="s">
        <v>21</v>
      </c>
    </row>
    <row r="25" spans="1:14" ht="60" customHeight="1" x14ac:dyDescent="0.35">
      <c r="A25" s="11" t="s">
        <v>132</v>
      </c>
      <c r="B25" s="1" t="s">
        <v>133</v>
      </c>
      <c r="C25" s="2" t="s">
        <v>27</v>
      </c>
      <c r="D25" s="3" t="s">
        <v>17</v>
      </c>
      <c r="E25" s="4" t="s">
        <v>18</v>
      </c>
      <c r="F25" s="4" t="s">
        <v>19</v>
      </c>
      <c r="G25" s="4" t="s">
        <v>20</v>
      </c>
      <c r="H25" s="4" t="s">
        <v>21</v>
      </c>
      <c r="I25" s="5" t="s">
        <v>21</v>
      </c>
      <c r="J25" s="1" t="s">
        <v>134</v>
      </c>
      <c r="K25" s="1" t="s">
        <v>135</v>
      </c>
      <c r="L25" s="1" t="s">
        <v>136</v>
      </c>
      <c r="M25" s="4" t="str">
        <f t="shared" si="0"/>
        <v>Outstanding</v>
      </c>
      <c r="N25" s="13" t="s">
        <v>21</v>
      </c>
    </row>
    <row r="26" spans="1:14" ht="60" customHeight="1" x14ac:dyDescent="0.35">
      <c r="A26" s="11" t="s">
        <v>137</v>
      </c>
      <c r="B26" s="1" t="s">
        <v>138</v>
      </c>
      <c r="C26" s="2" t="s">
        <v>27</v>
      </c>
      <c r="D26" s="3" t="s">
        <v>48</v>
      </c>
      <c r="E26" s="4" t="s">
        <v>18</v>
      </c>
      <c r="F26" s="4" t="s">
        <v>19</v>
      </c>
      <c r="G26" s="4" t="s">
        <v>20</v>
      </c>
      <c r="H26" s="4" t="s">
        <v>21</v>
      </c>
      <c r="I26" s="5" t="s">
        <v>21</v>
      </c>
      <c r="J26" s="1" t="s">
        <v>139</v>
      </c>
      <c r="K26" s="1" t="s">
        <v>140</v>
      </c>
      <c r="L26" s="1" t="s">
        <v>141</v>
      </c>
      <c r="M26" s="4" t="str">
        <f t="shared" si="0"/>
        <v>Outstanding</v>
      </c>
      <c r="N26" s="13" t="s">
        <v>21</v>
      </c>
    </row>
    <row r="27" spans="1:14" ht="60" customHeight="1" x14ac:dyDescent="0.35">
      <c r="A27" s="12" t="s">
        <v>142</v>
      </c>
      <c r="B27" s="6" t="s">
        <v>143</v>
      </c>
      <c r="C27" s="7" t="s">
        <v>27</v>
      </c>
      <c r="D27" s="8" t="s">
        <v>48</v>
      </c>
      <c r="E27" s="9" t="s">
        <v>18</v>
      </c>
      <c r="F27" s="9" t="s">
        <v>19</v>
      </c>
      <c r="G27" s="9" t="s">
        <v>20</v>
      </c>
      <c r="H27" s="9" t="s">
        <v>21</v>
      </c>
      <c r="I27" s="10" t="s">
        <v>21</v>
      </c>
      <c r="J27" s="6" t="s">
        <v>144</v>
      </c>
      <c r="K27" s="6" t="s">
        <v>145</v>
      </c>
      <c r="L27" s="6" t="s">
        <v>146</v>
      </c>
      <c r="M27" s="9" t="str">
        <f t="shared" si="0"/>
        <v>Outstanding</v>
      </c>
      <c r="N27" s="14" t="s">
        <v>21</v>
      </c>
    </row>
    <row r="31" spans="1:14" ht="32" customHeight="1" x14ac:dyDescent="0.35">
      <c r="A31" s="81" t="s">
        <v>147</v>
      </c>
      <c r="B31" s="81"/>
      <c r="C31" s="81"/>
      <c r="D31" s="81"/>
    </row>
  </sheetData>
  <mergeCells count="1">
    <mergeCell ref="A31:D31"/>
  </mergeCells>
  <conditionalFormatting sqref="C2:C27">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2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2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2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27" xr:uid="{00000000-0002-0000-0200-000000000000}">
      <formula1>"Must,Should,Could,Won't,Unassigned"</formula1>
    </dataValidation>
    <dataValidation type="list" showErrorMessage="1" errorTitle="Invalid Value" error="Please select a value from the list: Low, Medium, High, Unassessed." sqref="F2:F27" xr:uid="{00000000-0002-0000-0200-000001000000}">
      <formula1>"Low,Medium,High,Unassessed"</formula1>
    </dataValidation>
    <dataValidation type="list" showErrorMessage="1" errorTitle="Invalid Value" error="Please select a value from the list: Phase1, Phase2, Phase3, Phase4, Phase5, Pending." sqref="G2:G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276</v>
      </c>
      <c r="C2" s="98" t="s">
        <v>276</v>
      </c>
      <c r="D2" s="98" t="s">
        <v>276</v>
      </c>
      <c r="E2" s="98" t="s">
        <v>276</v>
      </c>
      <c r="F2" s="98" t="s">
        <v>276</v>
      </c>
      <c r="G2" s="98" t="s">
        <v>276</v>
      </c>
      <c r="H2" s="102" t="s">
        <v>277</v>
      </c>
      <c r="I2" s="102" t="s">
        <v>277</v>
      </c>
      <c r="J2" s="102" t="s">
        <v>277</v>
      </c>
      <c r="K2" s="102" t="s">
        <v>277</v>
      </c>
      <c r="L2" s="102" t="s">
        <v>277</v>
      </c>
      <c r="M2" s="101" t="s">
        <v>278</v>
      </c>
      <c r="N2" s="101" t="s">
        <v>278</v>
      </c>
      <c r="O2" s="103" t="s">
        <v>279</v>
      </c>
      <c r="P2" s="103" t="s">
        <v>279</v>
      </c>
      <c r="Q2" s="99" t="s">
        <v>12</v>
      </c>
      <c r="R2" s="99" t="s">
        <v>12</v>
      </c>
      <c r="S2" s="99" t="s">
        <v>12</v>
      </c>
      <c r="T2" s="100" t="s">
        <v>280</v>
      </c>
    </row>
    <row r="3" spans="2:20" ht="35" customHeight="1" x14ac:dyDescent="0.35">
      <c r="B3" s="71" t="s">
        <v>281</v>
      </c>
      <c r="C3" s="71" t="s">
        <v>282</v>
      </c>
      <c r="D3" s="71" t="s">
        <v>283</v>
      </c>
      <c r="E3" s="71" t="s">
        <v>284</v>
      </c>
      <c r="F3" s="71" t="s">
        <v>285</v>
      </c>
      <c r="G3" s="71" t="s">
        <v>10</v>
      </c>
      <c r="H3" s="72" t="s">
        <v>286</v>
      </c>
      <c r="I3" s="72" t="s">
        <v>287</v>
      </c>
      <c r="J3" s="72" t="s">
        <v>288</v>
      </c>
      <c r="K3" s="72" t="s">
        <v>289</v>
      </c>
      <c r="L3" s="72" t="s">
        <v>220</v>
      </c>
      <c r="M3" s="73" t="s">
        <v>290</v>
      </c>
      <c r="N3" s="73" t="s">
        <v>291</v>
      </c>
      <c r="O3" s="74" t="s">
        <v>292</v>
      </c>
      <c r="P3" s="74" t="s">
        <v>293</v>
      </c>
      <c r="Q3" s="75" t="s">
        <v>12</v>
      </c>
      <c r="R3" s="75" t="s">
        <v>294</v>
      </c>
      <c r="S3" s="75" t="s">
        <v>295</v>
      </c>
      <c r="T3" s="76" t="s">
        <v>296</v>
      </c>
    </row>
    <row r="4" spans="2:20" ht="60" customHeight="1" x14ac:dyDescent="0.35">
      <c r="B4" s="77" t="s">
        <v>297</v>
      </c>
      <c r="C4" s="77" t="s">
        <v>298</v>
      </c>
      <c r="D4" s="77" t="s">
        <v>299</v>
      </c>
      <c r="E4" s="77" t="s">
        <v>300</v>
      </c>
      <c r="F4" s="77" t="s">
        <v>301</v>
      </c>
      <c r="G4" s="77" t="s">
        <v>302</v>
      </c>
      <c r="H4" s="77" t="s">
        <v>303</v>
      </c>
      <c r="I4" s="77" t="s">
        <v>304</v>
      </c>
      <c r="J4" s="77" t="s">
        <v>305</v>
      </c>
      <c r="K4" s="77" t="s">
        <v>306</v>
      </c>
      <c r="L4" s="77" t="s">
        <v>307</v>
      </c>
      <c r="M4" s="77" t="s">
        <v>308</v>
      </c>
      <c r="N4" s="77" t="s">
        <v>309</v>
      </c>
      <c r="O4" s="77" t="s">
        <v>310</v>
      </c>
      <c r="P4" s="77" t="s">
        <v>311</v>
      </c>
      <c r="Q4" s="77" t="s">
        <v>312</v>
      </c>
      <c r="R4" s="77" t="s">
        <v>313</v>
      </c>
      <c r="S4" s="77" t="s">
        <v>314</v>
      </c>
      <c r="T4" s="77" t="s">
        <v>315</v>
      </c>
    </row>
    <row r="5" spans="2:20" ht="60" customHeight="1" x14ac:dyDescent="0.35">
      <c r="B5" s="39" t="s">
        <v>316</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317</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318</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319</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320</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321</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322</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323</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324</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325</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326</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327</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328</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329</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330</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331</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332</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333</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334</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335</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336</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337</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338</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339</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340</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341</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342</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343</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344</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345</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346</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347</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348</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349</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350</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351</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352</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353</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354</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355</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356</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357</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358</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359</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360</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361</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362</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363</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364</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365</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147</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SEL-2740S Security Technical Implementation Guide - SHGIR</dc:title>
  <dc:subject>Generated on: 2026-06-08 11:52:11</dc:subject>
  <dc:creator>Anicet Fopa Tchoffo</dc:creator>
  <cp:keywords>Baseline;Hardening;DISA;STIG</cp:keywords>
  <dc:description>Baseline Developed By: SEL and Defense Information Systems Agency (DISA) for the US DoD</dc:description>
  <cp:lastModifiedBy>Anicet Fopa Tchoffo</cp:lastModifiedBy>
  <dcterms:modified xsi:type="dcterms:W3CDTF">2026-06-08T10:52:16Z</dcterms:modified>
  <cp:category>DISA-STIG</cp:category>
  <cp:contentStatus>Draft</cp:contentStatus>
</cp:coreProperties>
</file>