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9" documentId="11_FB4B77EA93E7C4B528B5F881C05BFC0E38B5A231" xr6:coauthVersionLast="47" xr6:coauthVersionMax="47" xr10:uidLastSave="{D68C4EF8-7C1E-49F2-BF4B-8A8C27BC39CC}"/>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CRF-v2025"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1" l="1"/>
  <c r="G480" i="11"/>
  <c r="G479" i="11"/>
  <c r="G478" i="11"/>
  <c r="G477" i="11"/>
  <c r="G476" i="11"/>
  <c r="G475" i="11"/>
  <c r="G474" i="11"/>
  <c r="G473" i="11"/>
  <c r="G472" i="11"/>
  <c r="G471" i="11"/>
  <c r="G470" i="11"/>
  <c r="G469" i="11"/>
  <c r="G468" i="11"/>
  <c r="G467" i="11"/>
  <c r="G466" i="11"/>
  <c r="G465" i="11"/>
  <c r="G464" i="11"/>
  <c r="G463" i="11"/>
  <c r="G462" i="11"/>
  <c r="G461" i="11"/>
  <c r="G460" i="11"/>
  <c r="G459" i="11"/>
  <c r="G458" i="11"/>
  <c r="G457" i="11"/>
  <c r="G456" i="11"/>
  <c r="G455" i="11"/>
  <c r="G454" i="11"/>
  <c r="G453" i="11"/>
  <c r="G452" i="11"/>
  <c r="G451" i="11"/>
  <c r="G450" i="11"/>
  <c r="G449" i="11"/>
  <c r="G448" i="11"/>
  <c r="G447" i="11"/>
  <c r="G446" i="11"/>
  <c r="G445" i="11"/>
  <c r="G444" i="11"/>
  <c r="G443" i="11"/>
  <c r="G442" i="11"/>
  <c r="G441" i="11"/>
  <c r="G440" i="11"/>
  <c r="G439" i="11"/>
  <c r="G438" i="11"/>
  <c r="G437" i="11"/>
  <c r="G436" i="11"/>
  <c r="G435" i="11"/>
  <c r="G434" i="11"/>
  <c r="G433" i="11"/>
  <c r="G432" i="11"/>
  <c r="G431" i="11"/>
  <c r="G430" i="11"/>
  <c r="G429" i="11"/>
  <c r="G428" i="11"/>
  <c r="G427" i="11"/>
  <c r="G426" i="11"/>
  <c r="G425" i="11"/>
  <c r="G424" i="11"/>
  <c r="G423" i="11"/>
  <c r="G422" i="11"/>
  <c r="G421" i="11"/>
  <c r="G420" i="11"/>
  <c r="G419" i="11"/>
  <c r="G418" i="11"/>
  <c r="G417" i="11"/>
  <c r="G416" i="11"/>
  <c r="G415" i="11"/>
  <c r="G414" i="11"/>
  <c r="G413" i="11"/>
  <c r="G412" i="11"/>
  <c r="G411" i="11"/>
  <c r="G410" i="11"/>
  <c r="G409" i="11"/>
  <c r="G408" i="11"/>
  <c r="G407" i="11"/>
  <c r="G406" i="11"/>
  <c r="G405" i="11"/>
  <c r="G404" i="11"/>
  <c r="G403" i="11"/>
  <c r="G402" i="11"/>
  <c r="G401" i="11"/>
  <c r="G400" i="11"/>
  <c r="G399" i="11"/>
  <c r="G398" i="11"/>
  <c r="G397" i="11"/>
  <c r="G396" i="11"/>
  <c r="G395" i="11"/>
  <c r="G394" i="11"/>
  <c r="G393" i="11"/>
  <c r="G392" i="11"/>
  <c r="G391" i="11"/>
  <c r="G390" i="11"/>
  <c r="G389" i="11"/>
  <c r="G388" i="11"/>
  <c r="G387" i="11"/>
  <c r="G386" i="11"/>
  <c r="G385" i="11"/>
  <c r="G384" i="11"/>
  <c r="G383" i="11"/>
  <c r="G382" i="11"/>
  <c r="G381" i="11"/>
  <c r="G380" i="11"/>
  <c r="G379" i="11"/>
  <c r="G378" i="11"/>
  <c r="G377" i="11"/>
  <c r="G376" i="11"/>
  <c r="G375" i="11"/>
  <c r="G374" i="11"/>
  <c r="G373" i="11"/>
  <c r="G372" i="11"/>
  <c r="G371" i="11"/>
  <c r="G370" i="11"/>
  <c r="G369" i="11"/>
  <c r="G368" i="11"/>
  <c r="G367" i="11"/>
  <c r="G366" i="11"/>
  <c r="G365" i="11"/>
  <c r="G364" i="11"/>
  <c r="G363" i="11"/>
  <c r="G362" i="11"/>
  <c r="G361" i="11"/>
  <c r="G360" i="11"/>
  <c r="G359" i="11"/>
  <c r="G358" i="11"/>
  <c r="G357" i="11"/>
  <c r="G356" i="11"/>
  <c r="G355" i="11"/>
  <c r="G354" i="11"/>
  <c r="G353" i="11"/>
  <c r="G352" i="11"/>
  <c r="G351" i="11"/>
  <c r="G350" i="11"/>
  <c r="G349" i="11"/>
  <c r="G348" i="11"/>
  <c r="G347" i="11"/>
  <c r="G346" i="11"/>
  <c r="G345" i="11"/>
  <c r="G344" i="11"/>
  <c r="G343" i="11"/>
  <c r="G342" i="11"/>
  <c r="G341" i="11"/>
  <c r="G340" i="11"/>
  <c r="G339" i="11"/>
  <c r="G338" i="11"/>
  <c r="G337" i="11"/>
  <c r="G336" i="11"/>
  <c r="G335" i="11"/>
  <c r="G334" i="11"/>
  <c r="G333" i="11"/>
  <c r="G332" i="11"/>
  <c r="G331" i="11"/>
  <c r="G330" i="11"/>
  <c r="G329" i="11"/>
  <c r="G328" i="11"/>
  <c r="G327" i="11"/>
  <c r="G326" i="11"/>
  <c r="G325" i="11"/>
  <c r="G324" i="11"/>
  <c r="G323" i="11"/>
  <c r="G322" i="11"/>
  <c r="G321" i="11"/>
  <c r="G320" i="11"/>
  <c r="G319" i="11"/>
  <c r="G318" i="11"/>
  <c r="G317" i="11"/>
  <c r="G316" i="11"/>
  <c r="G315" i="11"/>
  <c r="G314" i="11"/>
  <c r="G313" i="11"/>
  <c r="G312" i="11"/>
  <c r="G311" i="11"/>
  <c r="G310" i="11"/>
  <c r="G309" i="11"/>
  <c r="G308" i="11"/>
  <c r="G307" i="11"/>
  <c r="G306" i="11"/>
  <c r="G305" i="11"/>
  <c r="G304" i="11"/>
  <c r="G303" i="11"/>
  <c r="G302" i="11"/>
  <c r="G301" i="11"/>
  <c r="G300" i="11"/>
  <c r="G299" i="11"/>
  <c r="G298" i="11"/>
  <c r="G297" i="11"/>
  <c r="G296" i="11"/>
  <c r="G295" i="11"/>
  <c r="G294" i="11"/>
  <c r="G293" i="11"/>
  <c r="G292" i="11"/>
  <c r="G291" i="11"/>
  <c r="G290" i="11"/>
  <c r="G289" i="11"/>
  <c r="G288" i="11"/>
  <c r="G287" i="11"/>
  <c r="G286" i="11"/>
  <c r="G285" i="11"/>
  <c r="G284" i="11"/>
  <c r="G283" i="11"/>
  <c r="G282" i="11"/>
  <c r="G281" i="11"/>
  <c r="G280" i="11"/>
  <c r="G279" i="11"/>
  <c r="G278" i="11"/>
  <c r="G277" i="11"/>
  <c r="G276" i="11"/>
  <c r="G275" i="11"/>
  <c r="G274" i="11"/>
  <c r="G273" i="11"/>
  <c r="G272" i="11"/>
  <c r="G271" i="11"/>
  <c r="G270" i="11"/>
  <c r="G269" i="11"/>
  <c r="G268" i="11"/>
  <c r="G267" i="11"/>
  <c r="G266" i="11"/>
  <c r="G265" i="11"/>
  <c r="G264" i="11"/>
  <c r="G263" i="11"/>
  <c r="G262" i="11"/>
  <c r="G261" i="11"/>
  <c r="G260" i="11"/>
  <c r="G259" i="11"/>
  <c r="G258" i="11"/>
  <c r="G257" i="11"/>
  <c r="G256" i="11"/>
  <c r="G255" i="11"/>
  <c r="G254" i="11"/>
  <c r="G253" i="11"/>
  <c r="G252" i="11"/>
  <c r="G251" i="11"/>
  <c r="G250" i="11"/>
  <c r="G249" i="11"/>
  <c r="G248" i="11"/>
  <c r="G247" i="11"/>
  <c r="G246" i="11"/>
  <c r="G245" i="11"/>
  <c r="G244" i="11"/>
  <c r="G243" i="11"/>
  <c r="G242" i="11"/>
  <c r="G241" i="11"/>
  <c r="G240" i="11"/>
  <c r="G239" i="11"/>
  <c r="G238" i="11"/>
  <c r="G237" i="11"/>
  <c r="G236" i="11"/>
  <c r="G235" i="11"/>
  <c r="G234" i="11"/>
  <c r="G233" i="11"/>
  <c r="G232" i="11"/>
  <c r="G231" i="11"/>
  <c r="G230" i="11"/>
  <c r="G229" i="11"/>
  <c r="G228" i="11"/>
  <c r="G227" i="11"/>
  <c r="G226" i="11"/>
  <c r="G225" i="11"/>
  <c r="G224" i="11"/>
  <c r="G223" i="11"/>
  <c r="G222" i="11"/>
  <c r="G221" i="11"/>
  <c r="G220" i="11"/>
  <c r="G219" i="11"/>
  <c r="G218" i="11"/>
  <c r="G217" i="11"/>
  <c r="G216" i="11"/>
  <c r="G215" i="11"/>
  <c r="G214" i="11"/>
  <c r="G213" i="11"/>
  <c r="G212" i="11"/>
  <c r="G211" i="11"/>
  <c r="G210" i="11"/>
  <c r="G209" i="11"/>
  <c r="G208" i="11"/>
  <c r="G207" i="11"/>
  <c r="G206" i="11"/>
  <c r="G205" i="11"/>
  <c r="G204" i="11"/>
  <c r="G203" i="11"/>
  <c r="G202" i="11"/>
  <c r="G201" i="11"/>
  <c r="G200" i="11"/>
  <c r="G199" i="11"/>
  <c r="G198" i="11"/>
  <c r="G197" i="11"/>
  <c r="G196" i="11"/>
  <c r="G195" i="11"/>
  <c r="G194" i="11"/>
  <c r="G193" i="11"/>
  <c r="G192" i="11"/>
  <c r="G191" i="11"/>
  <c r="G190" i="11"/>
  <c r="G189" i="11"/>
  <c r="G188" i="11"/>
  <c r="G187" i="11"/>
  <c r="G186" i="11"/>
  <c r="G185" i="11"/>
  <c r="G184" i="11"/>
  <c r="G183" i="11"/>
  <c r="G182" i="11"/>
  <c r="G181" i="11"/>
  <c r="G180" i="11"/>
  <c r="G179" i="11"/>
  <c r="G178" i="11"/>
  <c r="G177" i="11"/>
  <c r="G176" i="11"/>
  <c r="G175" i="11"/>
  <c r="G174" i="11"/>
  <c r="G173" i="11"/>
  <c r="G172" i="11"/>
  <c r="G171" i="11"/>
  <c r="G170" i="11"/>
  <c r="G169" i="11"/>
  <c r="G168" i="11"/>
  <c r="G167" i="11"/>
  <c r="G166" i="11"/>
  <c r="G165" i="11"/>
  <c r="G164" i="11"/>
  <c r="G163" i="11"/>
  <c r="G162" i="11"/>
  <c r="G161" i="11"/>
  <c r="G160" i="11"/>
  <c r="G159" i="11"/>
  <c r="G158" i="11"/>
  <c r="G157" i="11"/>
  <c r="G156" i="11"/>
  <c r="G155" i="11"/>
  <c r="G154" i="11"/>
  <c r="G153" i="11"/>
  <c r="G152" i="11"/>
  <c r="G151" i="11"/>
  <c r="G150" i="11"/>
  <c r="G149" i="11"/>
  <c r="G148" i="11"/>
  <c r="G147" i="11"/>
  <c r="G146" i="11"/>
  <c r="G145" i="11"/>
  <c r="G144" i="11"/>
  <c r="G143" i="11"/>
  <c r="G142" i="11"/>
  <c r="G141" i="11"/>
  <c r="G140" i="11"/>
  <c r="G139" i="11"/>
  <c r="G138" i="11"/>
  <c r="G137" i="11"/>
  <c r="G136" i="11"/>
  <c r="G135" i="11"/>
  <c r="G134" i="11"/>
  <c r="G133" i="11"/>
  <c r="G132" i="11"/>
  <c r="G131" i="11"/>
  <c r="G130" i="11"/>
  <c r="G129" i="11"/>
  <c r="G128" i="11"/>
  <c r="G127" i="11"/>
  <c r="G126" i="11"/>
  <c r="G125" i="11"/>
  <c r="G124" i="11"/>
  <c r="G123" i="11"/>
  <c r="G122" i="11"/>
  <c r="G121" i="11"/>
  <c r="G120" i="11"/>
  <c r="G119" i="11"/>
  <c r="G118" i="11"/>
  <c r="G117" i="11"/>
  <c r="G116" i="11"/>
  <c r="G115" i="11"/>
  <c r="G114" i="11"/>
  <c r="G113" i="11"/>
  <c r="G112" i="11"/>
  <c r="G111" i="11"/>
  <c r="G110" i="11"/>
  <c r="G109" i="11"/>
  <c r="G108" i="11"/>
  <c r="G107" i="11"/>
  <c r="G106" i="11"/>
  <c r="G105" i="11"/>
  <c r="G104" i="11"/>
  <c r="G103" i="11"/>
  <c r="G102" i="11"/>
  <c r="G101" i="11"/>
  <c r="G100" i="11"/>
  <c r="G99" i="11"/>
  <c r="G98" i="11"/>
  <c r="G97" i="11"/>
  <c r="G96" i="11"/>
  <c r="G95" i="11"/>
  <c r="G94" i="11"/>
  <c r="G93" i="11"/>
  <c r="G92" i="11"/>
  <c r="G91" i="11"/>
  <c r="G90" i="11"/>
  <c r="G89" i="11"/>
  <c r="G88" i="11"/>
  <c r="G87" i="11"/>
  <c r="G86" i="11"/>
  <c r="G85" i="11"/>
  <c r="G84" i="11"/>
  <c r="G83" i="11"/>
  <c r="G82" i="11"/>
  <c r="G81" i="11"/>
  <c r="G80" i="11"/>
  <c r="G79" i="11"/>
  <c r="G78" i="11"/>
  <c r="G77" i="11"/>
  <c r="G76" i="11"/>
  <c r="G75" i="11"/>
  <c r="G74" i="11"/>
  <c r="G73" i="11"/>
  <c r="G72" i="11"/>
  <c r="G71" i="11"/>
  <c r="G70" i="11"/>
  <c r="G69" i="11"/>
  <c r="G68" i="11"/>
  <c r="G67" i="11"/>
  <c r="G66" i="11"/>
  <c r="G65" i="11"/>
  <c r="G64" i="11"/>
  <c r="G63" i="11"/>
  <c r="G62" i="11"/>
  <c r="G61" i="11"/>
  <c r="G60" i="11"/>
  <c r="G59" i="11"/>
  <c r="G58" i="11"/>
  <c r="G57" i="11"/>
  <c r="G56" i="11"/>
  <c r="G55" i="11"/>
  <c r="G54" i="11"/>
  <c r="G53" i="11"/>
  <c r="G52" i="11"/>
  <c r="G51" i="11"/>
  <c r="G50" i="11"/>
  <c r="G49" i="11"/>
  <c r="G48" i="11"/>
  <c r="G47" i="11"/>
  <c r="G46" i="11"/>
  <c r="G45" i="11"/>
  <c r="G44" i="11"/>
  <c r="G43" i="11"/>
  <c r="G42" i="11"/>
  <c r="G41" i="11"/>
  <c r="G40" i="11"/>
  <c r="G39" i="11"/>
  <c r="G38" i="11"/>
  <c r="G37" i="11"/>
  <c r="G36" i="11"/>
  <c r="G35" i="11"/>
  <c r="G34" i="11"/>
  <c r="G33" i="11"/>
  <c r="G32" i="11"/>
  <c r="G31" i="11"/>
  <c r="G30" i="11"/>
  <c r="G29" i="11"/>
  <c r="G28" i="11"/>
  <c r="G27" i="11"/>
  <c r="G26" i="11"/>
  <c r="G25" i="11"/>
  <c r="G24" i="11"/>
  <c r="G23" i="11"/>
  <c r="G22" i="11"/>
  <c r="G21" i="11"/>
  <c r="G20" i="11"/>
  <c r="G19" i="11"/>
  <c r="G18" i="11"/>
  <c r="G17" i="11"/>
  <c r="G16" i="11"/>
  <c r="G15" i="11"/>
  <c r="G14" i="11"/>
  <c r="G13" i="11"/>
  <c r="G12" i="11"/>
  <c r="G11" i="11"/>
  <c r="G10" i="11"/>
  <c r="G9" i="11"/>
  <c r="G8" i="11"/>
  <c r="G7" i="11"/>
  <c r="G6" i="11"/>
  <c r="G5" i="11"/>
  <c r="G4" i="11"/>
  <c r="G3" i="11"/>
  <c r="G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84" i="1"/>
  <c r="L83" i="1"/>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F112" i="3" s="1"/>
  <c r="L12" i="1"/>
  <c r="L11" i="1"/>
  <c r="L10" i="1"/>
  <c r="L9" i="1"/>
  <c r="L8" i="1"/>
  <c r="L7" i="1"/>
  <c r="L6" i="1"/>
  <c r="L5" i="1"/>
  <c r="L4" i="1"/>
  <c r="L3" i="1"/>
  <c r="L2" i="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E73" i="3"/>
  <c r="D73" i="3"/>
  <c r="C73" i="3"/>
  <c r="F73" i="3" s="1"/>
  <c r="F72" i="3"/>
  <c r="D80" i="3" s="1"/>
  <c r="E72" i="3"/>
  <c r="D72" i="3"/>
  <c r="C72" i="3"/>
  <c r="E71" i="3"/>
  <c r="D71" i="3"/>
  <c r="C71" i="3"/>
  <c r="W123" i="3" s="1"/>
  <c r="E70" i="3"/>
  <c r="D70" i="3"/>
  <c r="C70" i="3"/>
  <c r="U123" i="3" s="1"/>
  <c r="F69" i="3"/>
  <c r="T152" i="3" s="1"/>
  <c r="E69" i="3"/>
  <c r="D69" i="3"/>
  <c r="C69" i="3"/>
  <c r="S123" i="3" s="1"/>
  <c r="E54" i="3"/>
  <c r="D54" i="3"/>
  <c r="C54" i="3"/>
  <c r="F54" i="3" s="1"/>
  <c r="E53" i="3"/>
  <c r="D53" i="3"/>
  <c r="C53" i="3"/>
  <c r="F53" i="3" s="1"/>
  <c r="E52" i="3"/>
  <c r="D52" i="3"/>
  <c r="C52" i="3"/>
  <c r="F52" i="3" s="1"/>
  <c r="E34" i="3"/>
  <c r="F34" i="3" s="1"/>
  <c r="D34" i="3"/>
  <c r="C34" i="3"/>
  <c r="E33" i="3"/>
  <c r="D33" i="3"/>
  <c r="F33" i="3" s="1"/>
  <c r="C33" i="3"/>
  <c r="E32" i="3"/>
  <c r="D32" i="3"/>
  <c r="C32" i="3"/>
  <c r="F32" i="3" s="1"/>
  <c r="E31" i="3"/>
  <c r="D31" i="3"/>
  <c r="C31" i="3"/>
  <c r="F31" i="3" s="1"/>
  <c r="E30" i="3"/>
  <c r="D30" i="3"/>
  <c r="C30" i="3"/>
  <c r="F30" i="3" s="1"/>
  <c r="E29" i="3"/>
  <c r="D29" i="3"/>
  <c r="C29" i="3"/>
  <c r="F29" i="3" s="1"/>
  <c r="E16" i="3"/>
  <c r="D16" i="3"/>
  <c r="C16" i="3"/>
  <c r="F16" i="3" s="1"/>
  <c r="C9" i="3"/>
  <c r="D9" i="3" s="1"/>
  <c r="C8" i="3"/>
  <c r="D8" i="3" s="1"/>
  <c r="C7" i="3"/>
  <c r="D7" i="3" s="1"/>
  <c r="E60" i="3" l="1"/>
  <c r="D60" i="3"/>
  <c r="C60" i="3"/>
  <c r="E98" i="3"/>
  <c r="D98" i="3"/>
  <c r="C98" i="3"/>
  <c r="E97" i="3"/>
  <c r="D97" i="3"/>
  <c r="C97" i="3"/>
  <c r="E99" i="3"/>
  <c r="D99" i="3"/>
  <c r="C99" i="3"/>
  <c r="C41" i="3"/>
  <c r="E41" i="3"/>
  <c r="D41" i="3"/>
  <c r="G112" i="3"/>
  <c r="E100" i="3"/>
  <c r="D100" i="3"/>
  <c r="C100" i="3"/>
  <c r="E43" i="3"/>
  <c r="C43" i="3"/>
  <c r="D43" i="3"/>
  <c r="E58" i="3"/>
  <c r="D58" i="3"/>
  <c r="C58" i="3"/>
  <c r="E42" i="3"/>
  <c r="D42" i="3"/>
  <c r="C42" i="3"/>
  <c r="R152" i="3"/>
  <c r="R147" i="3"/>
  <c r="R142" i="3"/>
  <c r="R137" i="3"/>
  <c r="R132" i="3"/>
  <c r="R127" i="3"/>
  <c r="R151" i="3"/>
  <c r="R146" i="3"/>
  <c r="R141" i="3"/>
  <c r="R136" i="3"/>
  <c r="R131" i="3"/>
  <c r="R126" i="3"/>
  <c r="E20" i="3"/>
  <c r="D20" i="3"/>
  <c r="R155" i="3"/>
  <c r="R150" i="3"/>
  <c r="R145" i="3"/>
  <c r="R140" i="3"/>
  <c r="R135" i="3"/>
  <c r="R130" i="3"/>
  <c r="R125" i="3"/>
  <c r="C20" i="3"/>
  <c r="R154" i="3"/>
  <c r="R149" i="3"/>
  <c r="R144" i="3"/>
  <c r="R139" i="3"/>
  <c r="R134" i="3"/>
  <c r="R129" i="3"/>
  <c r="R153" i="3"/>
  <c r="R148" i="3"/>
  <c r="R143" i="3"/>
  <c r="R138" i="3"/>
  <c r="R133" i="3"/>
  <c r="R128" i="3"/>
  <c r="E81" i="3"/>
  <c r="D81" i="3"/>
  <c r="C81" i="3"/>
  <c r="D40" i="3"/>
  <c r="C40" i="3"/>
  <c r="E40" i="3"/>
  <c r="D38" i="3"/>
  <c r="C38" i="3"/>
  <c r="E38" i="3"/>
  <c r="E59" i="3"/>
  <c r="D59" i="3"/>
  <c r="C59" i="3"/>
  <c r="D39" i="3"/>
  <c r="C39" i="3"/>
  <c r="E39" i="3"/>
  <c r="T128" i="3"/>
  <c r="T133" i="3"/>
  <c r="T138" i="3"/>
  <c r="T143" i="3"/>
  <c r="T148" i="3"/>
  <c r="T153" i="3"/>
  <c r="C80" i="3"/>
  <c r="F71" i="3"/>
  <c r="E80" i="3"/>
  <c r="Q123" i="3"/>
  <c r="T129" i="3"/>
  <c r="T134" i="3"/>
  <c r="T139" i="3"/>
  <c r="T144" i="3"/>
  <c r="T149" i="3"/>
  <c r="T154" i="3"/>
  <c r="F70" i="3"/>
  <c r="T125" i="3"/>
  <c r="T130" i="3"/>
  <c r="T135" i="3"/>
  <c r="T140" i="3"/>
  <c r="T145" i="3"/>
  <c r="T150" i="3"/>
  <c r="T155" i="3"/>
  <c r="C77" i="3"/>
  <c r="T126" i="3"/>
  <c r="T131" i="3"/>
  <c r="T136" i="3"/>
  <c r="T141" i="3"/>
  <c r="T146" i="3"/>
  <c r="T151" i="3"/>
  <c r="D77" i="3"/>
  <c r="E77" i="3"/>
  <c r="T127" i="3"/>
  <c r="T132" i="3"/>
  <c r="T137" i="3"/>
  <c r="T142" i="3"/>
  <c r="T147" i="3"/>
  <c r="V152" i="3" l="1"/>
  <c r="V147" i="3"/>
  <c r="V142" i="3"/>
  <c r="V137" i="3"/>
  <c r="V132" i="3"/>
  <c r="V127" i="3"/>
  <c r="E78" i="3"/>
  <c r="D78" i="3"/>
  <c r="V151" i="3"/>
  <c r="V146" i="3"/>
  <c r="V141" i="3"/>
  <c r="V136" i="3"/>
  <c r="V131" i="3"/>
  <c r="V126" i="3"/>
  <c r="V155" i="3"/>
  <c r="V150" i="3"/>
  <c r="V145" i="3"/>
  <c r="V140" i="3"/>
  <c r="V135" i="3"/>
  <c r="V130" i="3"/>
  <c r="V125" i="3"/>
  <c r="V154" i="3"/>
  <c r="V149" i="3"/>
  <c r="V144" i="3"/>
  <c r="V139" i="3"/>
  <c r="V134" i="3"/>
  <c r="V129" i="3"/>
  <c r="C78" i="3"/>
  <c r="V153" i="3"/>
  <c r="V148" i="3"/>
  <c r="V143" i="3"/>
  <c r="V138" i="3"/>
  <c r="V133" i="3"/>
  <c r="V128" i="3"/>
  <c r="X151" i="3"/>
  <c r="X146" i="3"/>
  <c r="X141" i="3"/>
  <c r="X136" i="3"/>
  <c r="X131" i="3"/>
  <c r="X126" i="3"/>
  <c r="X155" i="3"/>
  <c r="X150" i="3"/>
  <c r="X145" i="3"/>
  <c r="X140" i="3"/>
  <c r="X135" i="3"/>
  <c r="X130" i="3"/>
  <c r="X125" i="3"/>
  <c r="X154" i="3"/>
  <c r="X149" i="3"/>
  <c r="X144" i="3"/>
  <c r="X139" i="3"/>
  <c r="X134" i="3"/>
  <c r="X129" i="3"/>
  <c r="D79" i="3"/>
  <c r="X153" i="3"/>
  <c r="X148" i="3"/>
  <c r="X143" i="3"/>
  <c r="X138" i="3"/>
  <c r="X133" i="3"/>
  <c r="X128" i="3"/>
  <c r="E79" i="3"/>
  <c r="X152" i="3"/>
  <c r="X147" i="3"/>
  <c r="X142" i="3"/>
  <c r="X137" i="3"/>
  <c r="X132" i="3"/>
  <c r="X127" i="3"/>
  <c r="C79"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1" authorId="0" shapeId="0" xr:uid="{00000000-0006-0000-0400-000001000000}">
      <text>
        <r>
          <rPr>
            <sz val="11"/>
            <rFont val="Calibri"/>
          </rPr>
          <t>OpenShift must contain only container images for those capabilities being offered by the container platform.</t>
        </r>
      </text>
    </comment>
    <comment ref="J13" authorId="0" shapeId="0" xr:uid="{00000000-0006-0000-0400-000002000000}">
      <text>
        <r>
          <rPr>
            <sz val="11"/>
            <rFont val="Calibri"/>
          </rPr>
          <t>OpenShift must verify container images.</t>
        </r>
      </text>
    </comment>
    <comment ref="K13" authorId="0" shapeId="0" xr:uid="{00000000-0006-0000-0400-000003000000}">
      <text>
        <r>
          <rPr>
            <sz val="11"/>
            <rFont val="Calibri"/>
          </rPr>
          <t>OpenShift must contain the latest images with most recent updates and execute within the container platform runtime as authorized by IAVM, CTOs, DTMs, and STIGs.</t>
        </r>
      </text>
    </comment>
    <comment ref="J19" authorId="0" shapeId="0" xr:uid="{00000000-0006-0000-0400-000004000000}">
      <text>
        <r>
          <rPr>
            <sz val="11"/>
            <rFont val="Calibri"/>
          </rPr>
          <t>OpenShift must protect audit logs from any type of unauthorized access.</t>
        </r>
      </text>
    </comment>
    <comment ref="K19" authorId="0" shapeId="0" xr:uid="{00000000-0006-0000-0400-00000D000000}">
      <text>
        <r>
          <rPr>
            <sz val="11"/>
            <rFont val="Calibri"/>
          </rPr>
          <t>OpenShift must protect system journal file from any type of unauthorized access by setting file permissions.</t>
        </r>
      </text>
    </comment>
    <comment ref="L19" authorId="0" shapeId="0" xr:uid="{00000000-0006-0000-0400-000005000000}">
      <text>
        <r>
          <rPr>
            <sz val="11"/>
            <rFont val="Calibri"/>
          </rPr>
          <t>OpenShift must protect system journal file from any type of unauthorized access by setting owner permissions.</t>
        </r>
      </text>
    </comment>
    <comment ref="M19" authorId="0" shapeId="0" xr:uid="{00000000-0006-0000-0400-000006000000}">
      <text>
        <r>
          <rPr>
            <sz val="11"/>
            <rFont val="Calibri"/>
          </rPr>
          <t>OpenShift must protect log directory from any type of unauthorized access by setting file permissions.</t>
        </r>
      </text>
    </comment>
    <comment ref="N19" authorId="0" shapeId="0" xr:uid="{00000000-0006-0000-0400-000007000000}">
      <text>
        <r>
          <rPr>
            <sz val="11"/>
            <rFont val="Calibri"/>
          </rPr>
          <t>OpenShift must protect log directory from any type of unauthorized access by setting owner permissions.</t>
        </r>
      </text>
    </comment>
    <comment ref="O19" authorId="0" shapeId="0" xr:uid="{00000000-0006-0000-0400-000008000000}">
      <text>
        <r>
          <rPr>
            <sz val="11"/>
            <rFont val="Calibri"/>
          </rPr>
          <t>OpenShift must protect pod log files from any type of unauthorized access by setting owner permissions.</t>
        </r>
      </text>
    </comment>
    <comment ref="P19" authorId="0" shapeId="0" xr:uid="{00000000-0006-0000-0400-000009000000}">
      <text>
        <r>
          <rPr>
            <sz val="11"/>
            <rFont val="Calibri"/>
          </rPr>
          <t>OpenShift must protect audit information from unauthorized modification.</t>
        </r>
      </text>
    </comment>
    <comment ref="Q19" authorId="0" shapeId="0" xr:uid="{00000000-0006-0000-0400-00000A000000}">
      <text>
        <r>
          <rPr>
            <sz val="11"/>
            <rFont val="Calibri"/>
          </rPr>
          <t>OpenShift must protect audit tools from unauthorized access.</t>
        </r>
      </text>
    </comment>
    <comment ref="R19" authorId="0" shapeId="0" xr:uid="{00000000-0006-0000-0400-00000B000000}">
      <text>
        <r>
          <rPr>
            <sz val="11"/>
            <rFont val="Calibri"/>
          </rPr>
          <t>OpenShift must set the sticky bit for world-writable directories.</t>
        </r>
      </text>
    </comment>
    <comment ref="S19" authorId="0" shapeId="0" xr:uid="{00000000-0006-0000-0400-00000C000000}">
      <text>
        <r>
          <rPr>
            <sz val="11"/>
            <rFont val="Calibri"/>
          </rPr>
          <t>OpenShift must restrict access to the kernel buffer.</t>
        </r>
      </text>
    </comment>
    <comment ref="J26" authorId="0" shapeId="0" xr:uid="{00000000-0006-0000-0400-00000E000000}">
      <text>
        <r>
          <rPr>
            <sz val="11"/>
            <rFont val="Calibri"/>
          </rPr>
          <t>OpenShift must use TLS 1.2 or greater for secure container image transport from trusted sources.</t>
        </r>
      </text>
    </comment>
    <comment ref="K26" authorId="0" shapeId="0" xr:uid="{00000000-0006-0000-0400-00000F000000}">
      <text>
        <r>
          <rPr>
            <sz val="11"/>
            <rFont val="Calibri"/>
          </rPr>
          <t>OpenShift must use TLS 1.2 or greater for secure communication.</t>
        </r>
      </text>
    </comment>
    <comment ref="L26" authorId="0" shapeId="0" xr:uid="{00000000-0006-0000-0400-000010000000}">
      <text>
        <r>
          <rPr>
            <sz val="11"/>
            <rFont val="Calibri"/>
          </rPr>
          <t>OpenShift must protect authenticity of communications sessions with the use of FIPS-validated 140-2 or 140-3 validated cryptography.</t>
        </r>
      </text>
    </comment>
    <comment ref="M26" authorId="0" shapeId="0" xr:uid="{00000000-0006-0000-0400-000011000000}">
      <text>
        <r>
          <rPr>
            <sz val="11"/>
            <rFont val="Calibri"/>
          </rPr>
          <t>OpenShift must protect the confidentiality and integrity of transmitted information.</t>
        </r>
      </text>
    </comment>
    <comment ref="J27" authorId="0" shapeId="0" xr:uid="{00000000-0006-0000-0400-000012000000}">
      <text>
        <r>
          <rPr>
            <sz val="11"/>
            <rFont val="Calibri"/>
          </rPr>
          <t>OpenShift keystore must implement encryption to prevent unauthorized disclosure of information at rest within the container platform.</t>
        </r>
      </text>
    </comment>
    <comment ref="J35" authorId="0" shapeId="0" xr:uid="{00000000-0006-0000-0400-000013000000}">
      <text>
        <r>
          <rPr>
            <sz val="11"/>
            <rFont val="Calibri"/>
          </rPr>
          <t>OpenShift runtime must enforce ports, protocols, and services that adhere to the PPSM CAL.</t>
        </r>
      </text>
    </comment>
    <comment ref="J38" authorId="0" shapeId="0" xr:uid="{00000000-0006-0000-0400-000014000000}">
      <text>
        <r>
          <rPr>
            <sz val="11"/>
            <rFont val="Calibri"/>
          </rPr>
          <t>The kubeadmin account must be disabled.</t>
        </r>
      </text>
    </comment>
    <comment ref="J39" authorId="0" shapeId="0" xr:uid="{00000000-0006-0000-0400-000015000000}">
      <text>
        <r>
          <rPr>
            <sz val="11"/>
            <rFont val="Calibri"/>
          </rPr>
          <t>OpenShift must disable virtual syscalls.</t>
        </r>
      </text>
    </comment>
    <comment ref="K39" authorId="0" shapeId="0" xr:uid="{00000000-0006-0000-0400-000016000000}">
      <text>
        <r>
          <rPr>
            <sz val="11"/>
            <rFont val="Calibri"/>
          </rPr>
          <t>Red Hat Enterprise Linux CoreOS (RHCOS) must disable SSHD service.</t>
        </r>
      </text>
    </comment>
    <comment ref="L39" authorId="0" shapeId="0" xr:uid="{00000000-0006-0000-0400-000017000000}">
      <text>
        <r>
          <rPr>
            <sz val="11"/>
            <rFont val="Calibri"/>
          </rPr>
          <t>Red Hat Enterprise Linux CoreOS (RHCOS) must disable USB Storage kernel module.</t>
        </r>
      </text>
    </comment>
    <comment ref="J48" authorId="0" shapeId="0" xr:uid="{00000000-0006-0000-0400-000018000000}">
      <text>
        <r>
          <rPr>
            <sz val="11"/>
            <rFont val="Calibri"/>
          </rPr>
          <t>OpenShift must disable root and terminate network connections.</t>
        </r>
      </text>
    </comment>
    <comment ref="K48" authorId="0" shapeId="0" xr:uid="{00000000-0006-0000-0400-000019000000}">
      <text>
        <r>
          <rPr>
            <sz val="11"/>
            <rFont val="Calibri"/>
          </rPr>
          <t>Container images instantiated by OpenShift must execute using least privileges.</t>
        </r>
      </text>
    </comment>
    <comment ref="L48" authorId="0" shapeId="0" xr:uid="{00000000-0006-0000-0400-00001A000000}">
      <text>
        <r>
          <rPr>
            <sz val="11"/>
            <rFont val="Calibri"/>
          </rPr>
          <t>Vulnerability scanning applications must implement privileged access authorization to all OpenShift components, containers, and container images for selected organization-defined vulnerability scanning activities.</t>
        </r>
      </text>
    </comment>
    <comment ref="J50" authorId="0" shapeId="0" xr:uid="{00000000-0006-0000-0400-00001B000000}">
      <text>
        <r>
          <rPr>
            <sz val="11"/>
            <rFont val="Calibri"/>
          </rPr>
          <t>OpenShift must use a centralized user management solution to support account management functions.</t>
        </r>
      </text>
    </comment>
    <comment ref="J54" authorId="0" shapeId="0" xr:uid="{00000000-0006-0000-0400-00001C000000}">
      <text>
        <r>
          <rPr>
            <sz val="11"/>
            <rFont val="Calibri"/>
          </rPr>
          <t>OpenShift must use multifactor authentication for network access to accounts.</t>
        </r>
      </text>
    </comment>
    <comment ref="J56" authorId="0" shapeId="0" xr:uid="{00000000-0006-0000-0400-00001D000000}">
      <text>
        <r>
          <rPr>
            <sz val="11"/>
            <rFont val="Calibri"/>
          </rPr>
          <t>OpenShift must use multifactor authentication for network access to accounts.</t>
        </r>
      </text>
    </comment>
    <comment ref="J58" authorId="0" shapeId="0" xr:uid="{00000000-0006-0000-0400-00001E000000}">
      <text>
        <r>
          <rPr>
            <sz val="11"/>
            <rFont val="Calibri"/>
          </rPr>
          <t>OpenShift must use a centralized user management solution to support account management functions.</t>
        </r>
      </text>
    </comment>
    <comment ref="K58" authorId="0" shapeId="0" xr:uid="{00000000-0006-0000-0400-00001F000000}">
      <text>
        <r>
          <rPr>
            <sz val="11"/>
            <rFont val="Calibri"/>
          </rPr>
          <t>OpenShift must use FIPS validated LDAP or OpenIDConnect.</t>
        </r>
      </text>
    </comment>
    <comment ref="J59" authorId="0" shapeId="0" xr:uid="{00000000-0006-0000-0400-000020000000}">
      <text>
        <r>
          <rPr>
            <sz val="11"/>
            <rFont val="Calibri"/>
          </rPr>
          <t>OpenShift role-based access controls (RBAC) must be enforced.</t>
        </r>
      </text>
    </comment>
    <comment ref="K59" authorId="0" shapeId="0" xr:uid="{00000000-0006-0000-0400-000021000000}">
      <text>
        <r>
          <rPr>
            <sz val="11"/>
            <rFont val="Calibri"/>
          </rPr>
          <t>OpenShift must enforce access restrictions and support auditing of the enforcement actions.</t>
        </r>
      </text>
    </comment>
    <comment ref="J64" authorId="0" shapeId="0" xr:uid="{00000000-0006-0000-0400-000022000000}">
      <text>
        <r>
          <rPr>
            <sz val="11"/>
            <rFont val="Calibri"/>
          </rPr>
          <t>OpenShift must contain the latest images with most recent updates and execute within the container platform runtime as authorized by IAVM, CTOs, DTMs, and STIGs.</t>
        </r>
      </text>
    </comment>
    <comment ref="K64" authorId="0" shapeId="0" xr:uid="{00000000-0006-0000-0400-000023000000}">
      <text>
        <r>
          <rPr>
            <sz val="11"/>
            <rFont val="Calibri"/>
          </rPr>
          <t>OpenShift runtime must have updates installed within the period directed by an authoritative source (e.g., IAVM, CTOs, DTMs, and STIGs).</t>
        </r>
      </text>
    </comment>
    <comment ref="J65" authorId="0" shapeId="0" xr:uid="{00000000-0006-0000-0400-000024000000}">
      <text>
        <r>
          <rPr>
            <sz val="11"/>
            <rFont val="Calibri"/>
          </rPr>
          <t>OpenShift must continuously scan components, containers, and images for vulnerabilities.</t>
        </r>
      </text>
    </comment>
    <comment ref="J66" authorId="0" shapeId="0" xr:uid="{00000000-0006-0000-0400-000025000000}">
      <text>
        <r>
          <rPr>
            <sz val="11"/>
            <rFont val="Calibri"/>
          </rPr>
          <t>OpenShift must continuously scan components, containers, and images for vulnerabilities.</t>
        </r>
      </text>
    </comment>
    <comment ref="J67" authorId="0" shapeId="0" xr:uid="{00000000-0006-0000-0400-000026000000}">
      <text>
        <r>
          <rPr>
            <sz val="11"/>
            <rFont val="Calibri"/>
          </rPr>
          <t>OpenShift must remove old components after updated versions have been installed.</t>
        </r>
      </text>
    </comment>
    <comment ref="J70" authorId="0" shapeId="0" xr:uid="{00000000-0006-0000-0400-000027000000}">
      <text>
        <r>
          <rPr>
            <sz val="11"/>
            <rFont val="Calibri"/>
          </rPr>
          <t>OpenShift must automatically audit account creation.</t>
        </r>
      </text>
    </comment>
    <comment ref="K70" authorId="0" shapeId="0" xr:uid="{00000000-0006-0000-0400-00002C000000}">
      <text>
        <r>
          <rPr>
            <sz val="11"/>
            <rFont val="Calibri"/>
          </rPr>
          <t>OpenShift must automatically audit account modification.</t>
        </r>
      </text>
    </comment>
    <comment ref="L70" authorId="0" shapeId="0" xr:uid="{00000000-0006-0000-0400-00002D000000}">
      <text>
        <r>
          <rPr>
            <sz val="11"/>
            <rFont val="Calibri"/>
          </rPr>
          <t>OpenShift must generate audit rules to capture account related actions.</t>
        </r>
      </text>
    </comment>
    <comment ref="M70" authorId="0" shapeId="0" xr:uid="{00000000-0006-0000-0400-00002E000000}">
      <text>
        <r>
          <rPr>
            <sz val="11"/>
            <rFont val="Calibri"/>
          </rPr>
          <t>Open Shift must automatically audit account removal actions.</t>
        </r>
      </text>
    </comment>
    <comment ref="N70" authorId="0" shapeId="0" xr:uid="{00000000-0006-0000-0400-00002F000000}">
      <text>
        <r>
          <rPr>
            <sz val="11"/>
            <rFont val="Calibri"/>
          </rPr>
          <t>OpenShift must generate audit records for all DOD-defined auditable events within all components in the platform.</t>
        </r>
      </text>
    </comment>
    <comment ref="O70" authorId="0" shapeId="0" xr:uid="{00000000-0006-0000-0400-000030000000}">
      <text>
        <r>
          <rPr>
            <sz val="11"/>
            <rFont val="Calibri"/>
          </rPr>
          <t>OpenShift must generate audit records when successful/unsuccessful attempts to access privileges occur.</t>
        </r>
      </text>
    </comment>
    <comment ref="P70" authorId="0" shapeId="0" xr:uid="{00000000-0006-0000-0400-000031000000}">
      <text>
        <r>
          <rPr>
            <sz val="11"/>
            <rFont val="Calibri"/>
          </rPr>
          <t>Red Hat Enterprise Linux CoreOS (RHCOS) must initiate session audits at system startup.</t>
        </r>
      </text>
    </comment>
    <comment ref="Q70" authorId="0" shapeId="0" xr:uid="{00000000-0006-0000-0400-000032000000}">
      <text>
        <r>
          <rPr>
            <sz val="11"/>
            <rFont val="Calibri"/>
          </rPr>
          <t>OpenShift must generate audit records when successful/unsuccessful attempts to modify privileges occur.</t>
        </r>
      </text>
    </comment>
    <comment ref="R70" authorId="0" shapeId="0" xr:uid="{00000000-0006-0000-0400-000033000000}">
      <text>
        <r>
          <rPr>
            <sz val="11"/>
            <rFont val="Calibri"/>
          </rPr>
          <t>OpenShift must generate audit records when successful/unsuccessful attempts to modify security objects occur.</t>
        </r>
      </text>
    </comment>
    <comment ref="S70" authorId="0" shapeId="0" xr:uid="{00000000-0006-0000-0400-000034000000}">
      <text>
        <r>
          <rPr>
            <sz val="11"/>
            <rFont val="Calibri"/>
          </rPr>
          <t>OpenShift must generate audit records when successful/unsuccessful attempts to delete privileges occur.</t>
        </r>
      </text>
    </comment>
    <comment ref="T70" authorId="0" shapeId="0" xr:uid="{00000000-0006-0000-0400-000028000000}">
      <text>
        <r>
          <rPr>
            <sz val="11"/>
            <rFont val="Calibri"/>
          </rPr>
          <t>OpenShift must generate audit records when successful/unsuccessful attempts to delete security objects occur.</t>
        </r>
      </text>
    </comment>
    <comment ref="U70" authorId="0" shapeId="0" xr:uid="{00000000-0006-0000-0400-000029000000}">
      <text>
        <r>
          <rPr>
            <sz val="11"/>
            <rFont val="Calibri"/>
          </rPr>
          <t>OpenShift must generate audit records when successful/unsuccessful logon attempts occur.</t>
        </r>
      </text>
    </comment>
    <comment ref="V70" authorId="0" shapeId="0" xr:uid="{00000000-0006-0000-0400-00002A000000}">
      <text>
        <r>
          <rPr>
            <sz val="11"/>
            <rFont val="Calibri"/>
          </rPr>
          <t>Red Hat Enterprise Linux CoreOS (RHCOS) must be configured to audit the loading and unloading of dynamic kernel modules.</t>
        </r>
      </text>
    </comment>
    <comment ref="W70" authorId="0" shapeId="0" xr:uid="{00000000-0006-0000-0400-00002B000000}">
      <text>
        <r>
          <rPr>
            <sz val="11"/>
            <rFont val="Calibri"/>
          </rPr>
          <t>OpenShift must generate audit records when concurrent logons from different workstations and systems occur.</t>
        </r>
      </text>
    </comment>
    <comment ref="J71" authorId="0" shapeId="0" xr:uid="{00000000-0006-0000-0400-000035000000}">
      <text>
        <r>
          <rPr>
            <sz val="11"/>
            <rFont val="Calibri"/>
          </rPr>
          <t>Red Hat Enterprise Linux CoreOS (RHCOS) must allocate audit record storage capacity to store at least one weeks</t>
        </r>
        <r>
          <rPr>
            <sz val="11"/>
            <color rgb="FF000000"/>
            <rFont val="Calibri"/>
          </rPr>
          <t>'</t>
        </r>
        <r>
          <rPr>
            <sz val="11"/>
            <color rgb="FF000000"/>
            <rFont val="Calibri"/>
          </rPr>
          <t xml:space="preserve"> worth of audit records, when audit records are not immediately sent to a central audit record storage facility.</t>
        </r>
      </text>
    </comment>
    <comment ref="J72" authorId="0" shapeId="0" xr:uid="{00000000-0006-0000-0400-000036000000}">
      <text>
        <r>
          <rPr>
            <sz val="11"/>
            <rFont val="Calibri"/>
          </rPr>
          <t>OpenShift must use internal system clocks to generate audit record time stamps.</t>
        </r>
      </text>
    </comment>
    <comment ref="K72" authorId="0" shapeId="0" xr:uid="{00000000-0006-0000-0400-000037000000}">
      <text>
        <r>
          <rPr>
            <sz val="11"/>
            <rFont val="Calibri"/>
          </rPr>
          <t>The Red Hat Enterprise Linux CoreOS (RHCOS) chrony Daemon must use multiple NTP servers to generate audit record time stamps.</t>
        </r>
      </text>
    </comment>
    <comment ref="J73" authorId="0" shapeId="0" xr:uid="{00000000-0006-0000-0400-000038000000}">
      <text>
        <r>
          <rPr>
            <sz val="11"/>
            <rFont val="Calibri"/>
          </rPr>
          <t>OpenShift must generate audit rules to capture account related actions.</t>
        </r>
      </text>
    </comment>
    <comment ref="K73" authorId="0" shapeId="0" xr:uid="{00000000-0006-0000-0400-000039000000}">
      <text>
        <r>
          <rPr>
            <sz val="11"/>
            <rFont val="Calibri"/>
          </rPr>
          <t>OpenShift must generate audit records for all DOD-defined auditable events within all components in the platform.</t>
        </r>
      </text>
    </comment>
    <comment ref="L73" authorId="0" shapeId="0" xr:uid="{00000000-0006-0000-0400-00003A000000}">
      <text>
        <r>
          <rPr>
            <sz val="11"/>
            <rFont val="Calibri"/>
          </rPr>
          <t>OpenShift must generate audit records when successful/unsuccessful attempts to access privileges occur.</t>
        </r>
      </text>
    </comment>
    <comment ref="M73" authorId="0" shapeId="0" xr:uid="{00000000-0006-0000-0400-00003B000000}">
      <text>
        <r>
          <rPr>
            <sz val="11"/>
            <rFont val="Calibri"/>
          </rPr>
          <t>All audit records must identify what type of event has occurred within OpenShift.</t>
        </r>
      </text>
    </comment>
    <comment ref="N73" authorId="0" shapeId="0" xr:uid="{00000000-0006-0000-0400-00003C000000}">
      <text>
        <r>
          <rPr>
            <sz val="11"/>
            <rFont val="Calibri"/>
          </rPr>
          <t>OpenShift audit records must have a date and time association with all events.</t>
        </r>
      </text>
    </comment>
    <comment ref="O73" authorId="0" shapeId="0" xr:uid="{00000000-0006-0000-0400-00003D000000}">
      <text>
        <r>
          <rPr>
            <sz val="11"/>
            <rFont val="Calibri"/>
          </rPr>
          <t>All audit records must generate the event results within OpenShift.</t>
        </r>
      </text>
    </comment>
    <comment ref="P73" authorId="0" shapeId="0" xr:uid="{00000000-0006-0000-0400-00003E000000}">
      <text>
        <r>
          <rPr>
            <sz val="11"/>
            <rFont val="Calibri"/>
          </rPr>
          <t>OpenShift must generate audit records when successful/unsuccessful attempts to modify privileges occur.</t>
        </r>
      </text>
    </comment>
    <comment ref="Q73" authorId="0" shapeId="0" xr:uid="{00000000-0006-0000-0400-00003F000000}">
      <text>
        <r>
          <rPr>
            <sz val="11"/>
            <rFont val="Calibri"/>
          </rPr>
          <t>OpenShift must generate audit records when successful/unsuccessful attempts to modify security objects occur.</t>
        </r>
      </text>
    </comment>
    <comment ref="R73" authorId="0" shapeId="0" xr:uid="{00000000-0006-0000-0400-000040000000}">
      <text>
        <r>
          <rPr>
            <sz val="11"/>
            <rFont val="Calibri"/>
          </rPr>
          <t>OpenShift must generate audit records when successful/unsuccessful attempts to delete privileges occur.</t>
        </r>
      </text>
    </comment>
    <comment ref="S73" authorId="0" shapeId="0" xr:uid="{00000000-0006-0000-0400-000041000000}">
      <text>
        <r>
          <rPr>
            <sz val="11"/>
            <rFont val="Calibri"/>
          </rPr>
          <t>OpenShift must generate audit records when successful/unsuccessful attempts to delete security objects occur.</t>
        </r>
      </text>
    </comment>
    <comment ref="T73" authorId="0" shapeId="0" xr:uid="{00000000-0006-0000-0400-000042000000}">
      <text>
        <r>
          <rPr>
            <sz val="11"/>
            <rFont val="Calibri"/>
          </rPr>
          <t>OpenShift must generate audit records when successful/unsuccessful logon attempts occur.</t>
        </r>
      </text>
    </comment>
    <comment ref="U73" authorId="0" shapeId="0" xr:uid="{00000000-0006-0000-0400-000043000000}">
      <text>
        <r>
          <rPr>
            <sz val="11"/>
            <rFont val="Calibri"/>
          </rPr>
          <t>Red Hat Enterprise Linux CoreOS (RHCOS) must be configured to audit the loading and unloading of dynamic kernel modules.</t>
        </r>
      </text>
    </comment>
    <comment ref="V73" authorId="0" shapeId="0" xr:uid="{00000000-0006-0000-0400-000044000000}">
      <text>
        <r>
          <rPr>
            <sz val="11"/>
            <rFont val="Calibri"/>
          </rPr>
          <t>OpenShift audit records must record user access start and end times.</t>
        </r>
      </text>
    </comment>
    <comment ref="W73" authorId="0" shapeId="0" xr:uid="{00000000-0006-0000-0400-000045000000}">
      <text>
        <r>
          <rPr>
            <sz val="11"/>
            <rFont val="Calibri"/>
          </rPr>
          <t>OpenShift must generate audit records when concurrent logons from different workstations and systems occur.</t>
        </r>
      </text>
    </comment>
    <comment ref="J77" authorId="0" shapeId="0" xr:uid="{00000000-0006-0000-0400-000046000000}">
      <text>
        <r>
          <rPr>
            <sz val="11"/>
            <rFont val="Calibri"/>
          </rPr>
          <t>OpenShift components must provide the ability to send audit logs to a central enterprise repository for review and analysis.</t>
        </r>
      </text>
    </comment>
    <comment ref="J105" authorId="0" shapeId="0" xr:uid="{00000000-0006-0000-0400-000047000000}">
      <text>
        <r>
          <rPr>
            <sz val="11"/>
            <rFont val="Calibri"/>
          </rPr>
          <t>OpenShift must enforce network policy on the namespace for controlling the flow of information within the container platform based on organization-defined information flow control policies.</t>
        </r>
      </text>
    </comment>
    <comment ref="K105" authorId="0" shapeId="0" xr:uid="{00000000-0006-0000-0400-000048000000}">
      <text>
        <r>
          <rPr>
            <sz val="11"/>
            <rFont val="Calibri"/>
          </rPr>
          <t>OpenShift must enforce approved authorizations for controlling the flow of information within the container platform based on organization-defined information flow control policies.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3" authorId="0" shapeId="0" xr:uid="{00000000-0006-0000-0500-000001000000}">
      <text>
        <r>
          <rPr>
            <sz val="11"/>
            <rFont val="Calibri"/>
          </rPr>
          <t>OpenShift must use a centralized user management solution to support account management functions.</t>
        </r>
      </text>
    </comment>
    <comment ref="H6" authorId="0" shapeId="0" xr:uid="{00000000-0006-0000-0500-000002000000}">
      <text>
        <r>
          <rPr>
            <sz val="11"/>
            <rFont val="Calibri"/>
          </rPr>
          <t>OpenShift runtime must isolate security functions from nonsecurity functions.</t>
        </r>
      </text>
    </comment>
    <comment ref="I6" authorId="0" shapeId="0" xr:uid="{00000000-0006-0000-0500-000003000000}">
      <text>
        <r>
          <rPr>
            <sz val="11"/>
            <rFont val="Calibri"/>
          </rPr>
          <t>Container images instantiated by OpenShift must execute using least privileges.</t>
        </r>
      </text>
    </comment>
    <comment ref="H7" authorId="0" shapeId="0" xr:uid="{00000000-0006-0000-0500-000004000000}">
      <text>
        <r>
          <rPr>
            <sz val="11"/>
            <rFont val="Calibri"/>
          </rPr>
          <t>OpenShift must automatically audit account creation.</t>
        </r>
      </text>
    </comment>
    <comment ref="I7" authorId="0" shapeId="0" xr:uid="{00000000-0006-0000-0500-00001A000000}">
      <text>
        <r>
          <rPr>
            <sz val="11"/>
            <rFont val="Calibri"/>
          </rPr>
          <t>OpenShift must automatically audit account modification.</t>
        </r>
      </text>
    </comment>
    <comment ref="J7" authorId="0" shapeId="0" xr:uid="{00000000-0006-0000-0500-000005000000}">
      <text>
        <r>
          <rPr>
            <sz val="11"/>
            <rFont val="Calibri"/>
          </rPr>
          <t>OpenShift must generate audit rules to capture account related actions.</t>
        </r>
      </text>
    </comment>
    <comment ref="K7" authorId="0" shapeId="0" xr:uid="{00000000-0006-0000-0500-000006000000}">
      <text>
        <r>
          <rPr>
            <sz val="11"/>
            <rFont val="Calibri"/>
          </rPr>
          <t>Open Shift must automatically audit account removal actions.</t>
        </r>
      </text>
    </comment>
    <comment ref="L7" authorId="0" shapeId="0" xr:uid="{00000000-0006-0000-0500-000007000000}">
      <text>
        <r>
          <rPr>
            <sz val="11"/>
            <rFont val="Calibri"/>
          </rPr>
          <t>OpenShift must generate audit records for all DOD-defined auditable events within all components in the platform.</t>
        </r>
      </text>
    </comment>
    <comment ref="M7" authorId="0" shapeId="0" xr:uid="{00000000-0006-0000-0500-000008000000}">
      <text>
        <r>
          <rPr>
            <sz val="11"/>
            <rFont val="Calibri"/>
          </rPr>
          <t>OpenShift must generate audit records when successful/unsuccessful attempts to access privileges occur.</t>
        </r>
      </text>
    </comment>
    <comment ref="N7" authorId="0" shapeId="0" xr:uid="{00000000-0006-0000-0500-000009000000}">
      <text>
        <r>
          <rPr>
            <sz val="11"/>
            <rFont val="Calibri"/>
          </rPr>
          <t>Red Hat Enterprise Linux CoreOS (RHCOS) must initiate session audits at system startup.</t>
        </r>
      </text>
    </comment>
    <comment ref="O7" authorId="0" shapeId="0" xr:uid="{00000000-0006-0000-0500-00000A000000}">
      <text>
        <r>
          <rPr>
            <sz val="11"/>
            <rFont val="Calibri"/>
          </rPr>
          <t>OpenShift must take appropriate action upon an audit failure.</t>
        </r>
      </text>
    </comment>
    <comment ref="P7" authorId="0" shapeId="0" xr:uid="{00000000-0006-0000-0500-00000B000000}">
      <text>
        <r>
          <rPr>
            <sz val="11"/>
            <rFont val="Calibri"/>
          </rPr>
          <t>OpenShift components must provide the ability to send audit logs to a central enterprise repository for review and analysis.</t>
        </r>
      </text>
    </comment>
    <comment ref="Q7" authorId="0" shapeId="0" xr:uid="{00000000-0006-0000-0500-00000C000000}">
      <text>
        <r>
          <rPr>
            <sz val="11"/>
            <rFont val="Calibri"/>
          </rPr>
          <t>OpenShift must protect audit logs from any type of unauthorized access.</t>
        </r>
      </text>
    </comment>
    <comment ref="R7" authorId="0" shapeId="0" xr:uid="{00000000-0006-0000-0500-00000D000000}">
      <text>
        <r>
          <rPr>
            <sz val="11"/>
            <rFont val="Calibri"/>
          </rPr>
          <t>OpenShift must protect audit information from unauthorized modification.</t>
        </r>
      </text>
    </comment>
    <comment ref="S7" authorId="0" shapeId="0" xr:uid="{00000000-0006-0000-0500-00000E000000}">
      <text>
        <r>
          <rPr>
            <sz val="11"/>
            <rFont val="Calibri"/>
          </rPr>
          <t>OpenShift must prevent unauthorized changes to logon UIDs.</t>
        </r>
      </text>
    </comment>
    <comment ref="T7" authorId="0" shapeId="0" xr:uid="{00000000-0006-0000-0500-00000F000000}">
      <text>
        <r>
          <rPr>
            <sz val="11"/>
            <rFont val="Calibri"/>
          </rPr>
          <t>OpenShift must protect audit tools from unauthorized access.</t>
        </r>
      </text>
    </comment>
    <comment ref="U7" authorId="0" shapeId="0" xr:uid="{00000000-0006-0000-0500-000010000000}">
      <text>
        <r>
          <rPr>
            <sz val="11"/>
            <rFont val="Calibri"/>
          </rPr>
          <t>OpenShift must use FIPS-validated cryptographic mechanisms to protect the integrity of log information.</t>
        </r>
      </text>
    </comment>
    <comment ref="V7" authorId="0" shapeId="0" xr:uid="{00000000-0006-0000-0500-000011000000}">
      <text>
        <r>
          <rPr>
            <sz val="11"/>
            <rFont val="Calibri"/>
          </rPr>
          <t>Red Hat Enterprise Linux CoreOS (RHCOS) must allocate audit record storage capacity to store at least one weeks</t>
        </r>
        <r>
          <rPr>
            <sz val="11"/>
            <color rgb="FF000000"/>
            <rFont val="Calibri"/>
          </rPr>
          <t>'</t>
        </r>
        <r>
          <rPr>
            <sz val="11"/>
            <color rgb="FF000000"/>
            <rFont val="Calibri"/>
          </rPr>
          <t xml:space="preserve"> worth of audit records, when audit records are not immediately sent to a central audit record storage facility.</t>
        </r>
      </text>
    </comment>
    <comment ref="W7" authorId="0" shapeId="0" xr:uid="{00000000-0006-0000-0500-000012000000}">
      <text>
        <r>
          <rPr>
            <sz val="11"/>
            <rFont val="Calibri"/>
          </rPr>
          <t>OpenShift must configure Alert Manger Receivers to notify SA and ISSO of all audit failure events requiring real-time alerts.</t>
        </r>
      </text>
    </comment>
    <comment ref="X7" authorId="0" shapeId="0" xr:uid="{00000000-0006-0000-0500-000013000000}">
      <text>
        <r>
          <rPr>
            <sz val="11"/>
            <rFont val="Calibri"/>
          </rPr>
          <t>OpenShift must generate audit records when successful/unsuccessful attempts to modify privileges occur.</t>
        </r>
      </text>
    </comment>
    <comment ref="Y7" authorId="0" shapeId="0" xr:uid="{00000000-0006-0000-0500-000014000000}">
      <text>
        <r>
          <rPr>
            <sz val="11"/>
            <rFont val="Calibri"/>
          </rPr>
          <t>OpenShift must generate audit records when successful/unsuccessful attempts to modify security objects occur.</t>
        </r>
      </text>
    </comment>
    <comment ref="Z7" authorId="0" shapeId="0" xr:uid="{00000000-0006-0000-0500-000015000000}">
      <text>
        <r>
          <rPr>
            <sz val="11"/>
            <rFont val="Calibri"/>
          </rPr>
          <t>OpenShift must generate audit records when successful/unsuccessful attempts to delete privileges occur.</t>
        </r>
      </text>
    </comment>
    <comment ref="AA7" authorId="0" shapeId="0" xr:uid="{00000000-0006-0000-0500-000016000000}">
      <text>
        <r>
          <rPr>
            <sz val="11"/>
            <rFont val="Calibri"/>
          </rPr>
          <t>OpenShift must generate audit records when successful/unsuccessful attempts to delete security objects occur.</t>
        </r>
      </text>
    </comment>
    <comment ref="AB7" authorId="0" shapeId="0" xr:uid="{00000000-0006-0000-0500-000017000000}">
      <text>
        <r>
          <rPr>
            <sz val="11"/>
            <rFont val="Calibri"/>
          </rPr>
          <t>OpenShift must generate audit records when successful/unsuccessful logon attempts occur.</t>
        </r>
      </text>
    </comment>
    <comment ref="AC7" authorId="0" shapeId="0" xr:uid="{00000000-0006-0000-0500-000018000000}">
      <text>
        <r>
          <rPr>
            <sz val="11"/>
            <rFont val="Calibri"/>
          </rPr>
          <t>Red Hat Enterprise Linux CoreOS (RHCOS) must be configured to audit the loading and unloading of dynamic kernel modules.</t>
        </r>
      </text>
    </comment>
    <comment ref="AD7" authorId="0" shapeId="0" xr:uid="{00000000-0006-0000-0500-000019000000}">
      <text>
        <r>
          <rPr>
            <sz val="11"/>
            <rFont val="Calibri"/>
          </rPr>
          <t>OpenShift must generate audit records when concurrent logons from different workstations and systems occur.</t>
        </r>
      </text>
    </comment>
    <comment ref="H10" authorId="0" shapeId="0" xr:uid="{00000000-0006-0000-0500-00001B000000}">
      <text>
        <r>
          <rPr>
            <sz val="11"/>
            <rFont val="Calibri"/>
          </rPr>
          <t>OpenShift must verify container images.</t>
        </r>
      </text>
    </comment>
    <comment ref="I10" authorId="0" shapeId="0" xr:uid="{00000000-0006-0000-0500-00001C000000}">
      <text>
        <r>
          <rPr>
            <sz val="11"/>
            <rFont val="Calibri"/>
          </rPr>
          <t>OpenShift must prevent the installation of patches, service packs, device drivers, or operating system components without verification they have been digitally signed using a certificate that is recognized and approved by the organization.</t>
        </r>
      </text>
    </comment>
    <comment ref="J10" authorId="0" shapeId="0" xr:uid="{00000000-0006-0000-0500-00001D000000}">
      <text>
        <r>
          <rPr>
            <sz val="11"/>
            <rFont val="Calibri"/>
          </rPr>
          <t>OpenShift must use FIPS-validated SHA-2 or higher hash function for digital signature generation and verification (nonlegacy use).</t>
        </r>
      </text>
    </comment>
    <comment ref="H14" authorId="0" shapeId="0" xr:uid="{00000000-0006-0000-0500-00001E000000}">
      <text>
        <r>
          <rPr>
            <sz val="11"/>
            <rFont val="Calibri"/>
          </rPr>
          <t>OpenShift must contain only container images for those capabilities being offered by the container platform.</t>
        </r>
      </text>
    </comment>
    <comment ref="I14" authorId="0" shapeId="0" xr:uid="{00000000-0006-0000-0500-00001F000000}">
      <text>
        <r>
          <rPr>
            <sz val="11"/>
            <rFont val="Calibri"/>
          </rPr>
          <t>OpenShift must disable virtual syscalls.</t>
        </r>
      </text>
    </comment>
    <comment ref="J14" authorId="0" shapeId="0" xr:uid="{00000000-0006-0000-0500-000020000000}">
      <text>
        <r>
          <rPr>
            <sz val="11"/>
            <rFont val="Calibri"/>
          </rPr>
          <t>Red Hat Enterprise Linux CoreOS (RHCOS) must disable SSHD service.</t>
        </r>
      </text>
    </comment>
    <comment ref="K14" authorId="0" shapeId="0" xr:uid="{00000000-0006-0000-0500-000021000000}">
      <text>
        <r>
          <rPr>
            <sz val="11"/>
            <rFont val="Calibri"/>
          </rPr>
          <t>Red Hat Enterprise Linux CoreOS (RHCOS) must disable USB Storage kernel module.</t>
        </r>
      </text>
    </comment>
    <comment ref="H16" authorId="0" shapeId="0" xr:uid="{00000000-0006-0000-0500-000022000000}">
      <text>
        <r>
          <rPr>
            <sz val="11"/>
            <rFont val="Calibri"/>
          </rPr>
          <t>OpenShift must use TLS 1.2 or greater for secure container image transport from trusted sources.</t>
        </r>
      </text>
    </comment>
    <comment ref="I16" authorId="0" shapeId="0" xr:uid="{00000000-0006-0000-0500-000023000000}">
      <text>
        <r>
          <rPr>
            <sz val="11"/>
            <rFont val="Calibri"/>
          </rPr>
          <t>OpenShift must use TLS 1.2 or greater for secure communication.</t>
        </r>
      </text>
    </comment>
    <comment ref="J16" authorId="0" shapeId="0" xr:uid="{00000000-0006-0000-0500-000024000000}">
      <text>
        <r>
          <rPr>
            <sz val="11"/>
            <rFont val="Calibri"/>
          </rPr>
          <t>OpenShift must use FIPS-validated cryptographic mechanisms to protect the integrity of log information.</t>
        </r>
      </text>
    </comment>
    <comment ref="K16" authorId="0" shapeId="0" xr:uid="{00000000-0006-0000-0500-000025000000}">
      <text>
        <r>
          <rPr>
            <sz val="11"/>
            <rFont val="Calibri"/>
          </rPr>
          <t>OpenShift must use FIPS validated LDAP or OpenIDConnect.</t>
        </r>
      </text>
    </comment>
    <comment ref="L16" authorId="0" shapeId="0" xr:uid="{00000000-0006-0000-0500-000026000000}">
      <text>
        <r>
          <rPr>
            <sz val="11"/>
            <rFont val="Calibri"/>
          </rPr>
          <t>OpenShift must protect authenticity of communications sessions with the use of FIPS-validated 140-2 or 140-3 validated cryptography.</t>
        </r>
      </text>
    </comment>
    <comment ref="M16" authorId="0" shapeId="0" xr:uid="{00000000-0006-0000-0500-000027000000}">
      <text>
        <r>
          <rPr>
            <sz val="11"/>
            <rFont val="Calibri"/>
          </rPr>
          <t>OpenShift keystore must implement encryption to prevent unauthorized disclosure of information at rest within the container platform.</t>
        </r>
      </text>
    </comment>
    <comment ref="N16" authorId="0" shapeId="0" xr:uid="{00000000-0006-0000-0500-000028000000}">
      <text>
        <r>
          <rPr>
            <sz val="11"/>
            <rFont val="Calibri"/>
          </rPr>
          <t>OpenShift must protect the confidentiality and integrity of transmitted information.</t>
        </r>
      </text>
    </comment>
    <comment ref="H19" authorId="0" shapeId="0" xr:uid="{00000000-0006-0000-0500-000029000000}">
      <text>
        <r>
          <rPr>
            <sz val="11"/>
            <rFont val="Calibri"/>
          </rPr>
          <t>OpenShift must disable virtual syscalls.</t>
        </r>
      </text>
    </comment>
    <comment ref="I19" authorId="0" shapeId="0" xr:uid="{00000000-0006-0000-0500-00002A000000}">
      <text>
        <r>
          <rPr>
            <sz val="11"/>
            <rFont val="Calibri"/>
          </rPr>
          <t>OpenShift must enable poisoning of SLUB/SLAB objects.</t>
        </r>
      </text>
    </comment>
    <comment ref="J19" authorId="0" shapeId="0" xr:uid="{00000000-0006-0000-0500-00002B000000}">
      <text>
        <r>
          <rPr>
            <sz val="11"/>
            <rFont val="Calibri"/>
          </rPr>
          <t>Red Hat Enterprise Linux CoreOS (RHCOS) must implement nonexecutable data to protect its memory from unauthorized code execution.</t>
        </r>
      </text>
    </comment>
    <comment ref="K19" authorId="0" shapeId="0" xr:uid="{00000000-0006-0000-0500-00002C000000}">
      <text>
        <r>
          <rPr>
            <sz val="11"/>
            <rFont val="Calibri"/>
          </rPr>
          <t>Red Hat Enterprise Linux CoreOS (RHCOS) must implement ASLR (Address Space Layout Randomization) from unauthorized code execution.</t>
        </r>
      </text>
    </comment>
    <comment ref="H20" authorId="0" shapeId="0" xr:uid="{00000000-0006-0000-0500-00002D000000}">
      <text>
        <r>
          <rPr>
            <sz val="11"/>
            <rFont val="Calibri"/>
          </rPr>
          <t>OpenShift runtime must enforce ports, protocols, and services that adhere to the PPSM CAL.</t>
        </r>
      </text>
    </comment>
    <comment ref="I20" authorId="0" shapeId="0" xr:uid="{00000000-0006-0000-0500-00002E000000}">
      <text>
        <r>
          <rPr>
            <sz val="11"/>
            <rFont val="Calibri"/>
          </rPr>
          <t>OpenShift must restrict individuals</t>
        </r>
        <r>
          <rPr>
            <sz val="11"/>
            <color rgb="FF000000"/>
            <rFont val="Calibri"/>
          </rPr>
          <t>'</t>
        </r>
        <r>
          <rPr>
            <sz val="11"/>
            <color rgb="FF000000"/>
            <rFont val="Calibri"/>
          </rPr>
          <t xml:space="preserve"> ability to launch organization-defined denial-of-service (DOS) attacks against other information systems by rate-limiting.</t>
        </r>
      </text>
    </comment>
    <comment ref="H21" authorId="0" shapeId="0" xr:uid="{00000000-0006-0000-0500-00002F000000}">
      <text>
        <r>
          <rPr>
            <sz val="11"/>
            <rFont val="Calibri"/>
          </rPr>
          <t>Red Hat Enterprise Linux CoreOS (RHCOS) must disable SSHD service.</t>
        </r>
      </text>
    </comment>
    <comment ref="H22" authorId="0" shapeId="0" xr:uid="{00000000-0006-0000-0500-000030000000}">
      <text>
        <r>
          <rPr>
            <sz val="11"/>
            <rFont val="Calibri"/>
          </rPr>
          <t>Red Hat Enterprise Linux CoreOS (RHCOS) must use USBGuard for hosts that include a USB Controller.</t>
        </r>
      </text>
    </comment>
    <comment ref="H23" authorId="0" shapeId="0" xr:uid="{00000000-0006-0000-0500-000031000000}">
      <text>
        <r>
          <rPr>
            <sz val="11"/>
            <rFont val="Calibri"/>
          </rPr>
          <t>OpenShift must contain only container images for those capabilities being offered by the container platform.</t>
        </r>
      </text>
    </comment>
    <comment ref="H24" authorId="0" shapeId="0" xr:uid="{00000000-0006-0000-0500-000032000000}">
      <text>
        <r>
          <rPr>
            <sz val="11"/>
            <rFont val="Calibri"/>
          </rPr>
          <t>OpenShift must use multifactor authentication for network access to accounts.</t>
        </r>
      </text>
    </comment>
    <comment ref="I24" authorId="0" shapeId="0" xr:uid="{00000000-0006-0000-0500-000033000000}">
      <text>
        <r>
          <rPr>
            <sz val="11"/>
            <rFont val="Calibri"/>
          </rPr>
          <t>OpenShift must use FIPS-validated SHA-1 or higher hash function to provide replay-resistant authentication mechanisms for network access to privileged accounts.</t>
        </r>
      </text>
    </comment>
    <comment ref="H26" authorId="0" shapeId="0" xr:uid="{00000000-0006-0000-0500-000034000000}">
      <text>
        <r>
          <rPr>
            <sz val="11"/>
            <rFont val="Calibri"/>
          </rPr>
          <t>OpenShift must enforce network policy on the namespace for controlling the flow of information within the container platform based on organization-defined information flow control policies.</t>
        </r>
      </text>
    </comment>
    <comment ref="I26" authorId="0" shapeId="0" xr:uid="{00000000-0006-0000-0500-000035000000}">
      <text>
        <r>
          <rPr>
            <sz val="11"/>
            <rFont val="Calibri"/>
          </rPr>
          <t>OpenShift must enforce approved authorizations for controlling the flow of information within the container platform based on organization-defined information flow control policies.</t>
        </r>
      </text>
    </comment>
    <comment ref="J26" authorId="0" shapeId="0" xr:uid="{00000000-0006-0000-0500-000036000000}">
      <text>
        <r>
          <rPr>
            <sz val="11"/>
            <rFont val="Calibri"/>
          </rPr>
          <t>OpenShift runtime must enforce ports, protocols, and services that adhere to the PPSM CAL.</t>
        </r>
      </text>
    </comment>
    <comment ref="H31" authorId="0" shapeId="0" xr:uid="{00000000-0006-0000-0500-000037000000}">
      <text>
        <r>
          <rPr>
            <sz val="11"/>
            <rFont val="Calibri"/>
          </rPr>
          <t>The kubeadmin account must be disabled.</t>
        </r>
      </text>
    </comment>
    <comment ref="I31" authorId="0" shapeId="0" xr:uid="{00000000-0006-0000-0500-000038000000}">
      <text>
        <r>
          <rPr>
            <sz val="11"/>
            <rFont val="Calibri"/>
          </rPr>
          <t>OpenShift must disable root and terminate network connections.</t>
        </r>
      </text>
    </comment>
    <comment ref="J31" authorId="0" shapeId="0" xr:uid="{00000000-0006-0000-0500-000039000000}">
      <text>
        <r>
          <rPr>
            <sz val="11"/>
            <rFont val="Calibri"/>
          </rPr>
          <t>Container images instantiated by OpenShift must execute using least privileges.</t>
        </r>
      </text>
    </comment>
    <comment ref="K31" authorId="0" shapeId="0" xr:uid="{00000000-0006-0000-0500-00003A000000}">
      <text>
        <r>
          <rPr>
            <sz val="11"/>
            <rFont val="Calibri"/>
          </rPr>
          <t>Vulnerability scanning applications must implement privileged access authorization to all OpenShift components, containers, and container images for selected organization-defined vulnerability scanning activities.</t>
        </r>
      </text>
    </comment>
    <comment ref="H34" authorId="0" shapeId="0" xr:uid="{00000000-0006-0000-0500-00003B000000}">
      <text>
        <r>
          <rPr>
            <sz val="11"/>
            <rFont val="Calibri"/>
          </rPr>
          <t>OpenShift must protect audit logs from any type of unauthorized access.</t>
        </r>
      </text>
    </comment>
    <comment ref="I34" authorId="0" shapeId="0" xr:uid="{00000000-0006-0000-0500-00003C000000}">
      <text>
        <r>
          <rPr>
            <sz val="11"/>
            <rFont val="Calibri"/>
          </rPr>
          <t>OpenShift must protect system journal file from any type of unauthorized access by setting file permissions.</t>
        </r>
      </text>
    </comment>
    <comment ref="J34" authorId="0" shapeId="0" xr:uid="{00000000-0006-0000-0500-00003D000000}">
      <text>
        <r>
          <rPr>
            <sz val="11"/>
            <rFont val="Calibri"/>
          </rPr>
          <t>OpenShift must protect system journal file from any type of unauthorized access by setting owner permissions.</t>
        </r>
      </text>
    </comment>
    <comment ref="K34" authorId="0" shapeId="0" xr:uid="{00000000-0006-0000-0500-00003E000000}">
      <text>
        <r>
          <rPr>
            <sz val="11"/>
            <rFont val="Calibri"/>
          </rPr>
          <t>OpenShift must protect log directory from any type of unauthorized access by setting file permissions.</t>
        </r>
      </text>
    </comment>
    <comment ref="L34" authorId="0" shapeId="0" xr:uid="{00000000-0006-0000-0500-00003F000000}">
      <text>
        <r>
          <rPr>
            <sz val="11"/>
            <rFont val="Calibri"/>
          </rPr>
          <t>OpenShift must protect log directory from any type of unauthorized access by setting owner permissions.</t>
        </r>
      </text>
    </comment>
    <comment ref="M34" authorId="0" shapeId="0" xr:uid="{00000000-0006-0000-0500-000040000000}">
      <text>
        <r>
          <rPr>
            <sz val="11"/>
            <rFont val="Calibri"/>
          </rPr>
          <t>OpenShift must protect pod log files from any type of unauthorized access by setting owner permissions.</t>
        </r>
      </text>
    </comment>
    <comment ref="N34" authorId="0" shapeId="0" xr:uid="{00000000-0006-0000-0500-000041000000}">
      <text>
        <r>
          <rPr>
            <sz val="11"/>
            <rFont val="Calibri"/>
          </rPr>
          <t>OpenShift must protect audit information from unauthorized modification.</t>
        </r>
      </text>
    </comment>
    <comment ref="O34" authorId="0" shapeId="0" xr:uid="{00000000-0006-0000-0500-000042000000}">
      <text>
        <r>
          <rPr>
            <sz val="11"/>
            <rFont val="Calibri"/>
          </rPr>
          <t>OpenShift must protect audit tools from unauthorized access.</t>
        </r>
      </text>
    </comment>
    <comment ref="P34" authorId="0" shapeId="0" xr:uid="{00000000-0006-0000-0500-000043000000}">
      <text>
        <r>
          <rPr>
            <sz val="11"/>
            <rFont val="Calibri"/>
          </rPr>
          <t>OpenShift must set the sticky bit for world-writable directories.</t>
        </r>
      </text>
    </comment>
    <comment ref="Q34" authorId="0" shapeId="0" xr:uid="{00000000-0006-0000-0500-000044000000}">
      <text>
        <r>
          <rPr>
            <sz val="11"/>
            <rFont val="Calibri"/>
          </rPr>
          <t>OpenShift must restrict access to the kernel buffer.</t>
        </r>
      </text>
    </comment>
    <comment ref="H41" authorId="0" shapeId="0" xr:uid="{00000000-0006-0000-0500-000045000000}">
      <text>
        <r>
          <rPr>
            <sz val="11"/>
            <rFont val="Calibri"/>
          </rPr>
          <t>OpenShift must remove old components after updated versions have been installed.</t>
        </r>
      </text>
    </comment>
    <comment ref="I41" authorId="0" shapeId="0" xr:uid="{00000000-0006-0000-0500-000046000000}">
      <text>
        <r>
          <rPr>
            <sz val="11"/>
            <rFont val="Calibri"/>
          </rPr>
          <t>OpenShift must contain the latest images with most recent updates and execute within the container platform runtime as authorized by IAVM, CTOs, DTMs, and STIGs.</t>
        </r>
      </text>
    </comment>
    <comment ref="J41" authorId="0" shapeId="0" xr:uid="{00000000-0006-0000-0500-000047000000}">
      <text>
        <r>
          <rPr>
            <sz val="11"/>
            <rFont val="Calibri"/>
          </rPr>
          <t>OpenShift runtime must have updates installed within the period directed by an authoritative source (e.g., IAVM, CTOs, DTMs, and STIGs).</t>
        </r>
      </text>
    </comment>
    <comment ref="H43" authorId="0" shapeId="0" xr:uid="{00000000-0006-0000-0500-000048000000}">
      <text>
        <r>
          <rPr>
            <sz val="11"/>
            <rFont val="Calibri"/>
          </rPr>
          <t>OpenShift must use a centralized user management solution to support account management functions.</t>
        </r>
      </text>
    </comment>
    <comment ref="I43" authorId="0" shapeId="0" xr:uid="{00000000-0006-0000-0500-000049000000}">
      <text>
        <r>
          <rPr>
            <sz val="11"/>
            <rFont val="Calibri"/>
          </rPr>
          <t>The kubeadmin account must be disabled.</t>
        </r>
      </text>
    </comment>
    <comment ref="J43" authorId="0" shapeId="0" xr:uid="{00000000-0006-0000-0500-00004A000000}">
      <text>
        <r>
          <rPr>
            <sz val="11"/>
            <rFont val="Calibri"/>
          </rPr>
          <t>OpenShift role-based access controls (RBAC) must be enforced.</t>
        </r>
      </text>
    </comment>
    <comment ref="K43" authorId="0" shapeId="0" xr:uid="{00000000-0006-0000-0500-00004B000000}">
      <text>
        <r>
          <rPr>
            <sz val="11"/>
            <rFont val="Calibri"/>
          </rPr>
          <t>OpenShift must enforce access restrictions and support auditing of the enforcement actions.</t>
        </r>
      </text>
    </comment>
    <comment ref="H45" authorId="0" shapeId="0" xr:uid="{00000000-0006-0000-0500-00004C000000}">
      <text>
        <r>
          <rPr>
            <sz val="11"/>
            <rFont val="Calibri"/>
          </rPr>
          <t>OpenShift must continuously scan components, containers, and images for vulnerabilities.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OpenShift must use a centralized user management solution to support account management functions.</t>
        </r>
      </text>
    </comment>
    <comment ref="K3" authorId="0" shapeId="0" xr:uid="{00000000-0006-0000-0600-000002000000}">
      <text>
        <r>
          <rPr>
            <sz val="11"/>
            <rFont val="Calibri"/>
          </rPr>
          <t>The kubeadmin account must be disabled.</t>
        </r>
      </text>
    </comment>
    <comment ref="J4" authorId="0" shapeId="0" xr:uid="{00000000-0006-0000-0600-000003000000}">
      <text>
        <r>
          <rPr>
            <sz val="11"/>
            <rFont val="Calibri"/>
          </rPr>
          <t>OpenShift role-based access controls (RBAC) must be enforced.</t>
        </r>
      </text>
    </comment>
    <comment ref="K4" authorId="0" shapeId="0" xr:uid="{00000000-0006-0000-0600-000004000000}">
      <text>
        <r>
          <rPr>
            <sz val="11"/>
            <rFont val="Calibri"/>
          </rPr>
          <t>OpenShift must enforce access restrictions and support auditing of the enforcement actions.</t>
        </r>
      </text>
    </comment>
    <comment ref="J5" authorId="0" shapeId="0" xr:uid="{00000000-0006-0000-0600-000005000000}">
      <text>
        <r>
          <rPr>
            <sz val="11"/>
            <rFont val="Calibri"/>
          </rPr>
          <t>OpenShift must enforce network policy on the namespace for controlling the flow of information within the container platform based on organization-defined information flow control policies.</t>
        </r>
      </text>
    </comment>
    <comment ref="K5" authorId="0" shapeId="0" xr:uid="{00000000-0006-0000-0600-000006000000}">
      <text>
        <r>
          <rPr>
            <sz val="11"/>
            <rFont val="Calibri"/>
          </rPr>
          <t>OpenShift must enforce approved authorizations for controlling the flow of information within the container platform based on organization-defined information flow control policies.</t>
        </r>
      </text>
    </comment>
    <comment ref="J7" authorId="0" shapeId="0" xr:uid="{00000000-0006-0000-0600-000007000000}">
      <text>
        <r>
          <rPr>
            <sz val="11"/>
            <rFont val="Calibri"/>
          </rPr>
          <t>OpenShift role-based access controls (RBAC) must be enforced.</t>
        </r>
      </text>
    </comment>
    <comment ref="K7" authorId="0" shapeId="0" xr:uid="{00000000-0006-0000-0600-00000B000000}">
      <text>
        <r>
          <rPr>
            <sz val="11"/>
            <rFont val="Calibri"/>
          </rPr>
          <t>OpenShift must restrict access to the kernel buffer.</t>
        </r>
      </text>
    </comment>
    <comment ref="L7" authorId="0" shapeId="0" xr:uid="{00000000-0006-0000-0600-000008000000}">
      <text>
        <r>
          <rPr>
            <sz val="11"/>
            <rFont val="Calibri"/>
          </rPr>
          <t>OpenShift must prevent kernel profiling.</t>
        </r>
      </text>
    </comment>
    <comment ref="M7" authorId="0" shapeId="0" xr:uid="{00000000-0006-0000-0600-000009000000}">
      <text>
        <r>
          <rPr>
            <sz val="11"/>
            <rFont val="Calibri"/>
          </rPr>
          <t>Container images instantiated by OpenShift must execute using least privileges.</t>
        </r>
      </text>
    </comment>
    <comment ref="N7" authorId="0" shapeId="0" xr:uid="{00000000-0006-0000-0600-00000A000000}">
      <text>
        <r>
          <rPr>
            <sz val="11"/>
            <rFont val="Calibri"/>
          </rPr>
          <t>Vulnerability scanning applications must implement privileged access authorization to all OpenShift components, containers, and container images for selected organization-defined vulnerability scanning activities.</t>
        </r>
      </text>
    </comment>
    <comment ref="J8" authorId="0" shapeId="0" xr:uid="{00000000-0006-0000-0600-00000C000000}">
      <text>
        <r>
          <rPr>
            <sz val="11"/>
            <rFont val="Calibri"/>
          </rPr>
          <t>OpenShift must disable root and terminate network connections.</t>
        </r>
      </text>
    </comment>
    <comment ref="K8" authorId="0" shapeId="0" xr:uid="{00000000-0006-0000-0600-00000D000000}">
      <text>
        <r>
          <rPr>
            <sz val="11"/>
            <rFont val="Calibri"/>
          </rPr>
          <t>Container images instantiated by OpenShift must execute using least privileges.</t>
        </r>
      </text>
    </comment>
    <comment ref="J9" authorId="0" shapeId="0" xr:uid="{00000000-0006-0000-0600-00000E000000}">
      <text>
        <r>
          <rPr>
            <sz val="11"/>
            <rFont val="Calibri"/>
          </rPr>
          <t>OpenShift must separate user functionality (including user interface services) from information system management functionality.</t>
        </r>
      </text>
    </comment>
    <comment ref="J11" authorId="0" shapeId="0" xr:uid="{00000000-0006-0000-0600-00000F000000}">
      <text>
        <r>
          <rPr>
            <sz val="11"/>
            <rFont val="Calibri"/>
          </rPr>
          <t>OpenShift must display the Standard Mandatory DOD Notice and Consent Banner before granting access to platform components.</t>
        </r>
      </text>
    </comment>
    <comment ref="J13" authorId="0" shapeId="0" xr:uid="{00000000-0006-0000-0600-000010000000}">
      <text>
        <r>
          <rPr>
            <sz val="11"/>
            <rFont val="Calibri"/>
          </rPr>
          <t>OpenShift must disable root and terminate network connections.</t>
        </r>
      </text>
    </comment>
    <comment ref="K13" authorId="0" shapeId="0" xr:uid="{00000000-0006-0000-0600-000011000000}">
      <text>
        <r>
          <rPr>
            <sz val="11"/>
            <rFont val="Calibri"/>
          </rPr>
          <t>OpenShift must terminate all network connections associated with a communications session at the end of the session, or as follows: for in-band management sessions (privileged sessions), the session must be terminated after 10 minutes of inactivity.</t>
        </r>
      </text>
    </comment>
    <comment ref="L13" authorId="0" shapeId="0" xr:uid="{00000000-0006-0000-0600-000012000000}">
      <text>
        <r>
          <rPr>
            <sz val="11"/>
            <rFont val="Calibri"/>
          </rPr>
          <t>OpenShift must display an explicit logout message indicating the reliable termination of authenticated communication sessions.</t>
        </r>
      </text>
    </comment>
    <comment ref="M13" authorId="0" shapeId="0" xr:uid="{00000000-0006-0000-0600-000013000000}">
      <text>
        <r>
          <rPr>
            <sz val="11"/>
            <rFont val="Calibri"/>
          </rPr>
          <t>OpenShift must set server token max age no greater than eight hours.</t>
        </r>
      </text>
    </comment>
    <comment ref="J23" authorId="0" shapeId="0" xr:uid="{00000000-0006-0000-0600-000014000000}">
      <text>
        <r>
          <rPr>
            <sz val="11"/>
            <rFont val="Calibri"/>
          </rPr>
          <t>OpenShift must automatically audit account creation.</t>
        </r>
      </text>
    </comment>
    <comment ref="K23" authorId="0" shapeId="0" xr:uid="{00000000-0006-0000-0600-00001E000000}">
      <text>
        <r>
          <rPr>
            <sz val="11"/>
            <rFont val="Calibri"/>
          </rPr>
          <t>OpenShift must automatically audit account modification.</t>
        </r>
      </text>
    </comment>
    <comment ref="L23" authorId="0" shapeId="0" xr:uid="{00000000-0006-0000-0600-00001F000000}">
      <text>
        <r>
          <rPr>
            <sz val="11"/>
            <rFont val="Calibri"/>
          </rPr>
          <t>OpenShift must generate audit rules to capture account related actions.</t>
        </r>
      </text>
    </comment>
    <comment ref="M23" authorId="0" shapeId="0" xr:uid="{00000000-0006-0000-0600-000020000000}">
      <text>
        <r>
          <rPr>
            <sz val="11"/>
            <rFont val="Calibri"/>
          </rPr>
          <t>Open Shift must automatically audit account removal actions.</t>
        </r>
      </text>
    </comment>
    <comment ref="N23" authorId="0" shapeId="0" xr:uid="{00000000-0006-0000-0600-000021000000}">
      <text>
        <r>
          <rPr>
            <sz val="11"/>
            <rFont val="Calibri"/>
          </rPr>
          <t>OpenShift must generate audit records for all DOD-defined auditable events within all components in the platform.</t>
        </r>
      </text>
    </comment>
    <comment ref="O23" authorId="0" shapeId="0" xr:uid="{00000000-0006-0000-0600-000015000000}">
      <text>
        <r>
          <rPr>
            <sz val="11"/>
            <rFont val="Calibri"/>
          </rPr>
          <t>OpenShift must generate audit records when successful/unsuccessful attempts to access privileges occur.</t>
        </r>
      </text>
    </comment>
    <comment ref="P23" authorId="0" shapeId="0" xr:uid="{00000000-0006-0000-0600-000016000000}">
      <text>
        <r>
          <rPr>
            <sz val="11"/>
            <rFont val="Calibri"/>
          </rPr>
          <t>OpenShift must enforce access restrictions and support auditing of the enforcement actions.</t>
        </r>
      </text>
    </comment>
    <comment ref="Q23" authorId="0" shapeId="0" xr:uid="{00000000-0006-0000-0600-000017000000}">
      <text>
        <r>
          <rPr>
            <sz val="11"/>
            <rFont val="Calibri"/>
          </rPr>
          <t>OpenShift must generate audit records when successful/unsuccessful attempts to modify privileges occur.</t>
        </r>
      </text>
    </comment>
    <comment ref="R23" authorId="0" shapeId="0" xr:uid="{00000000-0006-0000-0600-000018000000}">
      <text>
        <r>
          <rPr>
            <sz val="11"/>
            <rFont val="Calibri"/>
          </rPr>
          <t>OpenShift must generate audit records when successful/unsuccessful attempts to modify security objects occur.</t>
        </r>
      </text>
    </comment>
    <comment ref="S23" authorId="0" shapeId="0" xr:uid="{00000000-0006-0000-0600-000019000000}">
      <text>
        <r>
          <rPr>
            <sz val="11"/>
            <rFont val="Calibri"/>
          </rPr>
          <t>OpenShift must generate audit records when successful/unsuccessful attempts to delete privileges occur.</t>
        </r>
      </text>
    </comment>
    <comment ref="T23" authorId="0" shapeId="0" xr:uid="{00000000-0006-0000-0600-00001A000000}">
      <text>
        <r>
          <rPr>
            <sz val="11"/>
            <rFont val="Calibri"/>
          </rPr>
          <t>OpenShift must generate audit records when successful/unsuccessful attempts to delete security objects occur.</t>
        </r>
      </text>
    </comment>
    <comment ref="U23" authorId="0" shapeId="0" xr:uid="{00000000-0006-0000-0600-00001B000000}">
      <text>
        <r>
          <rPr>
            <sz val="11"/>
            <rFont val="Calibri"/>
          </rPr>
          <t>OpenShift must generate audit records when successful/unsuccessful logon attempts occur.</t>
        </r>
      </text>
    </comment>
    <comment ref="V23" authorId="0" shapeId="0" xr:uid="{00000000-0006-0000-0600-00001C000000}">
      <text>
        <r>
          <rPr>
            <sz val="11"/>
            <rFont val="Calibri"/>
          </rPr>
          <t>Red Hat Enterprise Linux CoreOS (RHCOS) must be configured to audit the loading and unloading of dynamic kernel modules.</t>
        </r>
      </text>
    </comment>
    <comment ref="W23" authorId="0" shapeId="0" xr:uid="{00000000-0006-0000-0600-00001D000000}">
      <text>
        <r>
          <rPr>
            <sz val="11"/>
            <rFont val="Calibri"/>
          </rPr>
          <t>OpenShift must generate audit records when concurrent logons from different workstations and systems occur.</t>
        </r>
      </text>
    </comment>
    <comment ref="J24" authorId="0" shapeId="0" xr:uid="{00000000-0006-0000-0600-000022000000}">
      <text>
        <r>
          <rPr>
            <sz val="11"/>
            <rFont val="Calibri"/>
          </rPr>
          <t>OpenShift must automatically audit account creation.</t>
        </r>
      </text>
    </comment>
    <comment ref="K24" authorId="0" shapeId="0" xr:uid="{00000000-0006-0000-0600-000023000000}">
      <text>
        <r>
          <rPr>
            <sz val="11"/>
            <rFont val="Calibri"/>
          </rPr>
          <t>OpenShift must automatically audit account modification.</t>
        </r>
      </text>
    </comment>
    <comment ref="L24" authorId="0" shapeId="0" xr:uid="{00000000-0006-0000-0600-000024000000}">
      <text>
        <r>
          <rPr>
            <sz val="11"/>
            <rFont val="Calibri"/>
          </rPr>
          <t>Open Shift must automatically audit account removal actions.</t>
        </r>
      </text>
    </comment>
    <comment ref="M24" authorId="0" shapeId="0" xr:uid="{00000000-0006-0000-0600-000025000000}">
      <text>
        <r>
          <rPr>
            <sz val="11"/>
            <rFont val="Calibri"/>
          </rPr>
          <t>OpenShift must generate audit records for all DOD-defined auditable events within all components in the platform.</t>
        </r>
      </text>
    </comment>
    <comment ref="N24" authorId="0" shapeId="0" xr:uid="{00000000-0006-0000-0600-000026000000}">
      <text>
        <r>
          <rPr>
            <sz val="11"/>
            <rFont val="Calibri"/>
          </rPr>
          <t>OpenShift must generate audit records when successful/unsuccessful attempts to access privileges occur.</t>
        </r>
      </text>
    </comment>
    <comment ref="O24" authorId="0" shapeId="0" xr:uid="{00000000-0006-0000-0600-000027000000}">
      <text>
        <r>
          <rPr>
            <sz val="11"/>
            <rFont val="Calibri"/>
          </rPr>
          <t>All audit records must identify what type of event has occurred within OpenShift.</t>
        </r>
      </text>
    </comment>
    <comment ref="P24" authorId="0" shapeId="0" xr:uid="{00000000-0006-0000-0600-000028000000}">
      <text>
        <r>
          <rPr>
            <sz val="11"/>
            <rFont val="Calibri"/>
          </rPr>
          <t>OpenShift audit records must have a date and time association with all events.</t>
        </r>
      </text>
    </comment>
    <comment ref="Q24" authorId="0" shapeId="0" xr:uid="{00000000-0006-0000-0600-000029000000}">
      <text>
        <r>
          <rPr>
            <sz val="11"/>
            <rFont val="Calibri"/>
          </rPr>
          <t>All audit records must generate the event results within OpenShift.</t>
        </r>
      </text>
    </comment>
    <comment ref="R24" authorId="0" shapeId="0" xr:uid="{00000000-0006-0000-0600-00002A000000}">
      <text>
        <r>
          <rPr>
            <sz val="11"/>
            <rFont val="Calibri"/>
          </rPr>
          <t>OpenShift must generate audit records when successful/unsuccessful attempts to modify privileges occur.</t>
        </r>
      </text>
    </comment>
    <comment ref="S24" authorId="0" shapeId="0" xr:uid="{00000000-0006-0000-0600-00002B000000}">
      <text>
        <r>
          <rPr>
            <sz val="11"/>
            <rFont val="Calibri"/>
          </rPr>
          <t>OpenShift must generate audit records when successful/unsuccessful attempts to modify security objects occur.</t>
        </r>
      </text>
    </comment>
    <comment ref="T24" authorId="0" shapeId="0" xr:uid="{00000000-0006-0000-0600-00002C000000}">
      <text>
        <r>
          <rPr>
            <sz val="11"/>
            <rFont val="Calibri"/>
          </rPr>
          <t>OpenShift must generate audit records when successful/unsuccessful attempts to delete privileges occur.</t>
        </r>
      </text>
    </comment>
    <comment ref="U24" authorId="0" shapeId="0" xr:uid="{00000000-0006-0000-0600-00002D000000}">
      <text>
        <r>
          <rPr>
            <sz val="11"/>
            <rFont val="Calibri"/>
          </rPr>
          <t>OpenShift must generate audit records when successful/unsuccessful attempts to delete security objects occur.</t>
        </r>
      </text>
    </comment>
    <comment ref="V24" authorId="0" shapeId="0" xr:uid="{00000000-0006-0000-0600-00002E000000}">
      <text>
        <r>
          <rPr>
            <sz val="11"/>
            <rFont val="Calibri"/>
          </rPr>
          <t>OpenShift must generate audit records when successful/unsuccessful logon attempts occur.</t>
        </r>
      </text>
    </comment>
    <comment ref="W24" authorId="0" shapeId="0" xr:uid="{00000000-0006-0000-0600-00002F000000}">
      <text>
        <r>
          <rPr>
            <sz val="11"/>
            <rFont val="Calibri"/>
          </rPr>
          <t>OpenShift audit records must record user access start and end times.</t>
        </r>
      </text>
    </comment>
    <comment ref="J25" authorId="0" shapeId="0" xr:uid="{00000000-0006-0000-0600-000030000000}">
      <text>
        <r>
          <rPr>
            <sz val="11"/>
            <rFont val="Calibri"/>
          </rPr>
          <t>OpenShift must generate audit rules to capture account related actions.</t>
        </r>
      </text>
    </comment>
    <comment ref="K25" authorId="0" shapeId="0" xr:uid="{00000000-0006-0000-0600-000031000000}">
      <text>
        <r>
          <rPr>
            <sz val="11"/>
            <rFont val="Calibri"/>
          </rPr>
          <t>OpenShift must generate audit records for all DOD-defined auditable events within all components in the platform.</t>
        </r>
      </text>
    </comment>
    <comment ref="L25" authorId="0" shapeId="0" xr:uid="{00000000-0006-0000-0600-000032000000}">
      <text>
        <r>
          <rPr>
            <sz val="11"/>
            <rFont val="Calibri"/>
          </rPr>
          <t>Red Hat Enterprise Linux CoreOS (RHCOS) must initiate session audits at system startup.</t>
        </r>
      </text>
    </comment>
    <comment ref="J26" authorId="0" shapeId="0" xr:uid="{00000000-0006-0000-0600-000033000000}">
      <text>
        <r>
          <rPr>
            <sz val="11"/>
            <rFont val="Calibri"/>
          </rPr>
          <t>OpenShift must take appropriate action upon an audit failure.</t>
        </r>
      </text>
    </comment>
    <comment ref="K26" authorId="0" shapeId="0" xr:uid="{00000000-0006-0000-0600-000034000000}">
      <text>
        <r>
          <rPr>
            <sz val="11"/>
            <rFont val="Calibri"/>
          </rPr>
          <t>Red Hat Enterprise Linux CoreOS (RHCOS) must allocate audit record storage capacity to store at least one weeks</t>
        </r>
        <r>
          <rPr>
            <sz val="11"/>
            <color rgb="FF000000"/>
            <rFont val="Calibri"/>
          </rPr>
          <t>'</t>
        </r>
        <r>
          <rPr>
            <sz val="11"/>
            <color rgb="FF000000"/>
            <rFont val="Calibri"/>
          </rPr>
          <t xml:space="preserve"> worth of audit records, when audit records are not immediately sent to a central audit record storage facility.</t>
        </r>
      </text>
    </comment>
    <comment ref="L26" authorId="0" shapeId="0" xr:uid="{00000000-0006-0000-0600-000035000000}">
      <text>
        <r>
          <rPr>
            <sz val="11"/>
            <rFont val="Calibri"/>
          </rPr>
          <t>OpenShift must configure Alert Manger Receivers to notify SA and ISSO of all audit failure events requiring real-time alerts.</t>
        </r>
      </text>
    </comment>
    <comment ref="J29" authorId="0" shapeId="0" xr:uid="{00000000-0006-0000-0600-000036000000}">
      <text>
        <r>
          <rPr>
            <sz val="11"/>
            <rFont val="Calibri"/>
          </rPr>
          <t>OpenShift audit records must have a date and time association with all events.</t>
        </r>
      </text>
    </comment>
    <comment ref="K29" authorId="0" shapeId="0" xr:uid="{00000000-0006-0000-0600-000037000000}">
      <text>
        <r>
          <rPr>
            <sz val="11"/>
            <rFont val="Calibri"/>
          </rPr>
          <t>OpenShift must use internal system clocks to generate audit record time stamps.</t>
        </r>
      </text>
    </comment>
    <comment ref="L29" authorId="0" shapeId="0" xr:uid="{00000000-0006-0000-0600-000038000000}">
      <text>
        <r>
          <rPr>
            <sz val="11"/>
            <rFont val="Calibri"/>
          </rPr>
          <t>The Red Hat Enterprise Linux CoreOS (RHCOS) chrony Daemon must use multiple NTP servers to generate audit record time stamps.</t>
        </r>
      </text>
    </comment>
    <comment ref="J30" authorId="0" shapeId="0" xr:uid="{00000000-0006-0000-0600-000039000000}">
      <text>
        <r>
          <rPr>
            <sz val="11"/>
            <rFont val="Calibri"/>
          </rPr>
          <t>OpenShift components must provide the ability to send audit logs to a central enterprise repository for review and analysis.</t>
        </r>
      </text>
    </comment>
    <comment ref="K30" authorId="0" shapeId="0" xr:uid="{00000000-0006-0000-0600-00003A000000}">
      <text>
        <r>
          <rPr>
            <sz val="11"/>
            <rFont val="Calibri"/>
          </rPr>
          <t>OpenShift must protect audit logs from any type of unauthorized access.</t>
        </r>
      </text>
    </comment>
    <comment ref="L30" authorId="0" shapeId="0" xr:uid="{00000000-0006-0000-0600-00003B000000}">
      <text>
        <r>
          <rPr>
            <sz val="11"/>
            <rFont val="Calibri"/>
          </rPr>
          <t>OpenShift must protect system journal file from any type of unauthorized access by setting file permissions.</t>
        </r>
      </text>
    </comment>
    <comment ref="M30" authorId="0" shapeId="0" xr:uid="{00000000-0006-0000-0600-00003C000000}">
      <text>
        <r>
          <rPr>
            <sz val="11"/>
            <rFont val="Calibri"/>
          </rPr>
          <t>OpenShift must protect system journal file from any type of unauthorized access by setting owner permissions.</t>
        </r>
      </text>
    </comment>
    <comment ref="N30" authorId="0" shapeId="0" xr:uid="{00000000-0006-0000-0600-00003D000000}">
      <text>
        <r>
          <rPr>
            <sz val="11"/>
            <rFont val="Calibri"/>
          </rPr>
          <t>OpenShift must protect log directory from any type of unauthorized access by setting file permissions.</t>
        </r>
      </text>
    </comment>
    <comment ref="O30" authorId="0" shapeId="0" xr:uid="{00000000-0006-0000-0600-00003E000000}">
      <text>
        <r>
          <rPr>
            <sz val="11"/>
            <rFont val="Calibri"/>
          </rPr>
          <t>OpenShift must protect log directory from any type of unauthorized access by setting owner permissions.</t>
        </r>
      </text>
    </comment>
    <comment ref="P30" authorId="0" shapeId="0" xr:uid="{00000000-0006-0000-0600-00003F000000}">
      <text>
        <r>
          <rPr>
            <sz val="11"/>
            <rFont val="Calibri"/>
          </rPr>
          <t>OpenShift must protect pod log files from any type of unauthorized access by setting owner permissions.</t>
        </r>
      </text>
    </comment>
    <comment ref="Q30" authorId="0" shapeId="0" xr:uid="{00000000-0006-0000-0600-000040000000}">
      <text>
        <r>
          <rPr>
            <sz val="11"/>
            <rFont val="Calibri"/>
          </rPr>
          <t>OpenShift must protect audit information from unauthorized modification.</t>
        </r>
      </text>
    </comment>
    <comment ref="R30" authorId="0" shapeId="0" xr:uid="{00000000-0006-0000-0600-000041000000}">
      <text>
        <r>
          <rPr>
            <sz val="11"/>
            <rFont val="Calibri"/>
          </rPr>
          <t>OpenShift must prevent unauthorized changes to logon UIDs.</t>
        </r>
      </text>
    </comment>
    <comment ref="S30" authorId="0" shapeId="0" xr:uid="{00000000-0006-0000-0600-000042000000}">
      <text>
        <r>
          <rPr>
            <sz val="11"/>
            <rFont val="Calibri"/>
          </rPr>
          <t>OpenShift must protect audit tools from unauthorized access.</t>
        </r>
      </text>
    </comment>
    <comment ref="T30" authorId="0" shapeId="0" xr:uid="{00000000-0006-0000-0600-000043000000}">
      <text>
        <r>
          <rPr>
            <sz val="11"/>
            <rFont val="Calibri"/>
          </rPr>
          <t>OpenShift must use FIPS-validated cryptographic mechanisms to protect the integrity of log information.</t>
        </r>
      </text>
    </comment>
    <comment ref="J37" authorId="0" shapeId="0" xr:uid="{00000000-0006-0000-0600-000044000000}">
      <text>
        <r>
          <rPr>
            <sz val="11"/>
            <rFont val="Calibri"/>
          </rPr>
          <t>OpenShift must contain only container images for those capabilities being offered by the container platform.</t>
        </r>
      </text>
    </comment>
    <comment ref="K37" authorId="0" shapeId="0" xr:uid="{00000000-0006-0000-0600-000045000000}">
      <text>
        <r>
          <rPr>
            <sz val="11"/>
            <rFont val="Calibri"/>
          </rPr>
          <t>OpenShift must separate user functionality (including user interface services) from information system management functionality.</t>
        </r>
      </text>
    </comment>
    <comment ref="L37" authorId="0" shapeId="0" xr:uid="{00000000-0006-0000-0600-000046000000}">
      <text>
        <r>
          <rPr>
            <sz val="11"/>
            <rFont val="Calibri"/>
          </rPr>
          <t>OpenShift runtime must isolate security functions from nonsecurity functions.</t>
        </r>
      </text>
    </comment>
    <comment ref="M37" authorId="0" shapeId="0" xr:uid="{00000000-0006-0000-0600-000047000000}">
      <text>
        <r>
          <rPr>
            <sz val="11"/>
            <rFont val="Calibri"/>
          </rPr>
          <t>OpenShift must disable virtual syscalls.</t>
        </r>
      </text>
    </comment>
    <comment ref="N37" authorId="0" shapeId="0" xr:uid="{00000000-0006-0000-0600-000048000000}">
      <text>
        <r>
          <rPr>
            <sz val="11"/>
            <rFont val="Calibri"/>
          </rPr>
          <t>OpenShift must prevent kernel profiling.</t>
        </r>
      </text>
    </comment>
    <comment ref="O37" authorId="0" shapeId="0" xr:uid="{00000000-0006-0000-0600-000049000000}">
      <text>
        <r>
          <rPr>
            <sz val="11"/>
            <rFont val="Calibri"/>
          </rPr>
          <t>Red Hat Enterprise Linux CoreOS (RHCOS) must disable SSHD service.</t>
        </r>
      </text>
    </comment>
    <comment ref="P37" authorId="0" shapeId="0" xr:uid="{00000000-0006-0000-0600-00004A000000}">
      <text>
        <r>
          <rPr>
            <sz val="11"/>
            <rFont val="Calibri"/>
          </rPr>
          <t>Red Hat Enterprise Linux CoreOS (RHCOS) must disable USB Storage kernel module.</t>
        </r>
      </text>
    </comment>
    <comment ref="J38" authorId="0" shapeId="0" xr:uid="{00000000-0006-0000-0600-00004B000000}">
      <text>
        <r>
          <rPr>
            <sz val="11"/>
            <rFont val="Calibri"/>
          </rPr>
          <t>OpenShift must verify container images.</t>
        </r>
      </text>
    </comment>
    <comment ref="J43" authorId="0" shapeId="0" xr:uid="{00000000-0006-0000-0600-00004C000000}">
      <text>
        <r>
          <rPr>
            <sz val="11"/>
            <rFont val="Calibri"/>
          </rPr>
          <t>OpenShift must prevent unauthorized changes to logon UIDs.</t>
        </r>
      </text>
    </comment>
    <comment ref="K43" authorId="0" shapeId="0" xr:uid="{00000000-0006-0000-0600-00004D000000}">
      <text>
        <r>
          <rPr>
            <sz val="11"/>
            <rFont val="Calibri"/>
          </rPr>
          <t>OpenShift must use FIPS validated LDAP or OpenIDConnect.</t>
        </r>
      </text>
    </comment>
    <comment ref="J45" authorId="0" shapeId="0" xr:uid="{00000000-0006-0000-0600-00004E000000}">
      <text>
        <r>
          <rPr>
            <sz val="11"/>
            <rFont val="Calibri"/>
          </rPr>
          <t>OpenShift must use multifactor authentication for network access to accounts.</t>
        </r>
      </text>
    </comment>
    <comment ref="J46" authorId="0" shapeId="0" xr:uid="{00000000-0006-0000-0600-00004F000000}">
      <text>
        <r>
          <rPr>
            <sz val="11"/>
            <rFont val="Calibri"/>
          </rPr>
          <t>OpenShift must use FIPS-validated SHA-1 or higher hash function to provide replay-resistant authentication mechanisms for network access to privileged accounts.</t>
        </r>
      </text>
    </comment>
    <comment ref="J67" authorId="0" shapeId="0" xr:uid="{00000000-0006-0000-0600-000050000000}">
      <text>
        <r>
          <rPr>
            <sz val="11"/>
            <rFont val="Calibri"/>
          </rPr>
          <t>Red Hat Enterprise Linux CoreOS (RHCOS) must disable USB Storage kernel module.</t>
        </r>
      </text>
    </comment>
    <comment ref="K67" authorId="0" shapeId="0" xr:uid="{00000000-0006-0000-0600-000051000000}">
      <text>
        <r>
          <rPr>
            <sz val="11"/>
            <rFont val="Calibri"/>
          </rPr>
          <t>Red Hat Enterprise Linux CoreOS (RHCOS) must use USBGuard for hosts that include a USB Controller.</t>
        </r>
      </text>
    </comment>
    <comment ref="J80" authorId="0" shapeId="0" xr:uid="{00000000-0006-0000-0600-000052000000}">
      <text>
        <r>
          <rPr>
            <sz val="11"/>
            <rFont val="Calibri"/>
          </rPr>
          <t>OpenShift must continuously scan components, containers, and images for vulnerabilities.</t>
        </r>
      </text>
    </comment>
    <comment ref="J85" authorId="0" shapeId="0" xr:uid="{00000000-0006-0000-0600-000053000000}">
      <text>
        <r>
          <rPr>
            <sz val="11"/>
            <rFont val="Calibri"/>
          </rPr>
          <t>The Compliance Operator must be configured.</t>
        </r>
      </text>
    </comment>
    <comment ref="K85" authorId="0" shapeId="0" xr:uid="{00000000-0006-0000-0600-000054000000}">
      <text>
        <r>
          <rPr>
            <sz val="11"/>
            <rFont val="Calibri"/>
          </rPr>
          <t>OpenShift must perform verification of the correct operation of security functions: upon startup and/or restart; upon command by a user with privileged access; and/or every 30 days.</t>
        </r>
      </text>
    </comment>
    <comment ref="J89" authorId="0" shapeId="0" xr:uid="{00000000-0006-0000-0600-000055000000}">
      <text>
        <r>
          <rPr>
            <sz val="11"/>
            <rFont val="Calibri"/>
          </rPr>
          <t>OpenShift must prevent unauthorized and unintended information transfer via shared system resources and enable page poisoning.</t>
        </r>
      </text>
    </comment>
    <comment ref="K89" authorId="0" shapeId="0" xr:uid="{00000000-0006-0000-0600-000056000000}">
      <text>
        <r>
          <rPr>
            <sz val="11"/>
            <rFont val="Calibri"/>
          </rPr>
          <t>OpenShift must enable poisoning of SLUB/SLAB objects.</t>
        </r>
      </text>
    </comment>
    <comment ref="L89" authorId="0" shapeId="0" xr:uid="{00000000-0006-0000-0600-000057000000}">
      <text>
        <r>
          <rPr>
            <sz val="11"/>
            <rFont val="Calibri"/>
          </rPr>
          <t>OpenShift must set the sticky bit for world-writable directories.</t>
        </r>
      </text>
    </comment>
    <comment ref="J90" authorId="0" shapeId="0" xr:uid="{00000000-0006-0000-0600-000058000000}">
      <text>
        <r>
          <rPr>
            <sz val="11"/>
            <rFont val="Calibri"/>
          </rPr>
          <t>OpenShift must enforce network policy on the namespace for controlling the flow of information within the container platform based on organization-defined information flow control policies.</t>
        </r>
      </text>
    </comment>
    <comment ref="K90" authorId="0" shapeId="0" xr:uid="{00000000-0006-0000-0600-000059000000}">
      <text>
        <r>
          <rPr>
            <sz val="11"/>
            <rFont val="Calibri"/>
          </rPr>
          <t>OpenShift must enforce approved authorizations for controlling the flow of information within the container platform based on organization-defined information flow control policies.</t>
        </r>
      </text>
    </comment>
    <comment ref="L90" authorId="0" shapeId="0" xr:uid="{00000000-0006-0000-0600-00005A000000}">
      <text>
        <r>
          <rPr>
            <sz val="11"/>
            <rFont val="Calibri"/>
          </rPr>
          <t>OpenShift runtime must enforce ports, protocols, and services that adhere to the PPSM CAL.</t>
        </r>
      </text>
    </comment>
    <comment ref="J91" authorId="0" shapeId="0" xr:uid="{00000000-0006-0000-0600-00005B000000}">
      <text>
        <r>
          <rPr>
            <sz val="11"/>
            <rFont val="Calibri"/>
          </rPr>
          <t>OpenShift must use TLS 1.2 or greater for secure container image transport from trusted sources.</t>
        </r>
      </text>
    </comment>
    <comment ref="K91" authorId="0" shapeId="0" xr:uid="{00000000-0006-0000-0600-00005C000000}">
      <text>
        <r>
          <rPr>
            <sz val="11"/>
            <rFont val="Calibri"/>
          </rPr>
          <t>OpenShift must use TLS 1.2 or greater for secure communication.</t>
        </r>
      </text>
    </comment>
    <comment ref="L91" authorId="0" shapeId="0" xr:uid="{00000000-0006-0000-0600-00005D000000}">
      <text>
        <r>
          <rPr>
            <sz val="11"/>
            <rFont val="Calibri"/>
          </rPr>
          <t>OpenShift must use FIPS validated LDAP or OpenIDConnect.</t>
        </r>
      </text>
    </comment>
    <comment ref="M91" authorId="0" shapeId="0" xr:uid="{00000000-0006-0000-0600-00005E000000}">
      <text>
        <r>
          <rPr>
            <sz val="11"/>
            <rFont val="Calibri"/>
          </rPr>
          <t>OpenShift must protect authenticity of communications sessions with the use of FIPS-validated 140-2 or 140-3 validated cryptography.</t>
        </r>
      </text>
    </comment>
    <comment ref="N91" authorId="0" shapeId="0" xr:uid="{00000000-0006-0000-0600-00005F000000}">
      <text>
        <r>
          <rPr>
            <sz val="11"/>
            <rFont val="Calibri"/>
          </rPr>
          <t>OpenShift must protect the confidentiality and integrity of transmitted information.</t>
        </r>
      </text>
    </comment>
    <comment ref="J92" authorId="0" shapeId="0" xr:uid="{00000000-0006-0000-0600-000060000000}">
      <text>
        <r>
          <rPr>
            <sz val="11"/>
            <rFont val="Calibri"/>
          </rPr>
          <t>OpenShift must terminate all network connections associated with a communications session at the end of the session, or as follows: for in-band management sessions (privileged sessions), the session must be terminated after 10 minutes of inactivity.</t>
        </r>
      </text>
    </comment>
    <comment ref="K92" authorId="0" shapeId="0" xr:uid="{00000000-0006-0000-0600-000061000000}">
      <text>
        <r>
          <rPr>
            <sz val="11"/>
            <rFont val="Calibri"/>
          </rPr>
          <t>OpenShift must display an explicit logout message indicating the reliable termination of authenticated communication sessions.</t>
        </r>
      </text>
    </comment>
    <comment ref="L92" authorId="0" shapeId="0" xr:uid="{00000000-0006-0000-0600-000062000000}">
      <text>
        <r>
          <rPr>
            <sz val="11"/>
            <rFont val="Calibri"/>
          </rPr>
          <t>OpenShift must set server token max age no greater than eight hours.</t>
        </r>
      </text>
    </comment>
    <comment ref="J94" authorId="0" shapeId="0" xr:uid="{00000000-0006-0000-0600-000063000000}">
      <text>
        <r>
          <rPr>
            <sz val="11"/>
            <rFont val="Calibri"/>
          </rPr>
          <t>OpenShift must use FIPS-validated cryptographic mechanisms to protect the integrity of log information.</t>
        </r>
      </text>
    </comment>
    <comment ref="K94" authorId="0" shapeId="0" xr:uid="{00000000-0006-0000-0600-000064000000}">
      <text>
        <r>
          <rPr>
            <sz val="11"/>
            <rFont val="Calibri"/>
          </rPr>
          <t>OpenShift must use FIPS-validated SHA-1 or higher hash function to provide replay-resistant authentication mechanisms for network access to privileged accounts.</t>
        </r>
      </text>
    </comment>
    <comment ref="L94" authorId="0" shapeId="0" xr:uid="{00000000-0006-0000-0600-000065000000}">
      <text>
        <r>
          <rPr>
            <sz val="11"/>
            <rFont val="Calibri"/>
          </rPr>
          <t>OpenShift must use FIPS validated LDAP or OpenIDConnect.</t>
        </r>
      </text>
    </comment>
    <comment ref="M94" authorId="0" shapeId="0" xr:uid="{00000000-0006-0000-0600-000066000000}">
      <text>
        <r>
          <rPr>
            <sz val="11"/>
            <rFont val="Calibri"/>
          </rPr>
          <t>OpenShift must protect authenticity of communications sessions with the use of FIPS-validated 140-2 or 140-3 validated cryptography.</t>
        </r>
      </text>
    </comment>
    <comment ref="N94" authorId="0" shapeId="0" xr:uid="{00000000-0006-0000-0600-000067000000}">
      <text>
        <r>
          <rPr>
            <sz val="11"/>
            <rFont val="Calibri"/>
          </rPr>
          <t>OpenShift keystore must implement encryption to prevent unauthorized disclosure of information at rest within the container platform.</t>
        </r>
      </text>
    </comment>
    <comment ref="O94" authorId="0" shapeId="0" xr:uid="{00000000-0006-0000-0600-000068000000}">
      <text>
        <r>
          <rPr>
            <sz val="11"/>
            <rFont val="Calibri"/>
          </rPr>
          <t>OpenShift must use FIPS-validated SHA-2 or higher hash function for digital signature generation and verification (nonlegacy use).</t>
        </r>
      </text>
    </comment>
    <comment ref="J97" authorId="0" shapeId="0" xr:uid="{00000000-0006-0000-0600-000069000000}">
      <text>
        <r>
          <rPr>
            <sz val="11"/>
            <rFont val="Calibri"/>
          </rPr>
          <t>OpenShift must protect authenticity of communications sessions with the use of FIPS-validated 140-2 or 140-3 validated cryptography.</t>
        </r>
      </text>
    </comment>
    <comment ref="J99" authorId="0" shapeId="0" xr:uid="{00000000-0006-0000-0600-00006A000000}">
      <text>
        <r>
          <rPr>
            <sz val="11"/>
            <rFont val="Calibri"/>
          </rPr>
          <t>OpenShift must remove old components after updated versions have been installed.</t>
        </r>
      </text>
    </comment>
    <comment ref="K99" authorId="0" shapeId="0" xr:uid="{00000000-0006-0000-0600-00006B000000}">
      <text>
        <r>
          <rPr>
            <sz val="11"/>
            <rFont val="Calibri"/>
          </rPr>
          <t>OpenShift must contain the latest images with most recent updates and execute within the container platform runtime as authorized by IAVM, CTOs, DTMs, and STIGs.</t>
        </r>
      </text>
    </comment>
    <comment ref="L99" authorId="0" shapeId="0" xr:uid="{00000000-0006-0000-0600-00006C000000}">
      <text>
        <r>
          <rPr>
            <sz val="11"/>
            <rFont val="Calibri"/>
          </rPr>
          <t>OpenShift runtime must have updates installed within the period directed by an authoritative source (e.g., IAVM, CTOs, DTMs, and STIGs).</t>
        </r>
      </text>
    </comment>
    <comment ref="J102" authorId="0" shapeId="0" xr:uid="{00000000-0006-0000-0600-00006D000000}">
      <text>
        <r>
          <rPr>
            <sz val="11"/>
            <rFont val="Calibri"/>
          </rPr>
          <t>OpenShift must perform verification of the correct operation of security functions: upon startup and/or restart; upon command by a user with privileged access; and/or every 30 days.</t>
        </r>
      </text>
    </comment>
    <comment ref="J107" authorId="0" shapeId="0" xr:uid="{00000000-0006-0000-0600-00006E000000}">
      <text>
        <r>
          <rPr>
            <sz val="11"/>
            <rFont val="Calibri"/>
          </rPr>
          <t>OpenShift must display the Standard Mandatory DOD Notice and Consent Banner before granting access to platform components.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OpenShift must use a centralized user management solution to support account management functions.</t>
        </r>
      </text>
    </comment>
    <comment ref="I89" authorId="0" shapeId="0" xr:uid="{00000000-0006-0000-0700-000002000000}">
      <text>
        <r>
          <rPr>
            <sz val="11"/>
            <rFont val="Calibri"/>
          </rPr>
          <t>The kubeadmin account must be disabled.</t>
        </r>
      </text>
    </comment>
    <comment ref="H91" authorId="0" shapeId="0" xr:uid="{00000000-0006-0000-0700-000003000000}">
      <text>
        <r>
          <rPr>
            <sz val="11"/>
            <rFont val="Calibri"/>
          </rPr>
          <t>OpenShift must prevent unauthorized changes to logon UIDs.</t>
        </r>
      </text>
    </comment>
    <comment ref="I91" authorId="0" shapeId="0" xr:uid="{00000000-0006-0000-0700-000006000000}">
      <text>
        <r>
          <rPr>
            <sz val="11"/>
            <rFont val="Calibri"/>
          </rPr>
          <t>OpenShift must use multifactor authentication for network access to accounts.</t>
        </r>
      </text>
    </comment>
    <comment ref="J91" authorId="0" shapeId="0" xr:uid="{00000000-0006-0000-0700-000004000000}">
      <text>
        <r>
          <rPr>
            <sz val="11"/>
            <rFont val="Calibri"/>
          </rPr>
          <t>OpenShift must use FIPS-validated SHA-1 or higher hash function to provide replay-resistant authentication mechanisms for network access to privileged accounts.</t>
        </r>
      </text>
    </comment>
    <comment ref="K91" authorId="0" shapeId="0" xr:uid="{00000000-0006-0000-0700-000005000000}">
      <text>
        <r>
          <rPr>
            <sz val="11"/>
            <rFont val="Calibri"/>
          </rPr>
          <t>OpenShift must use FIPS validated LDAP or OpenIDConnect.</t>
        </r>
      </text>
    </comment>
    <comment ref="H93" authorId="0" shapeId="0" xr:uid="{00000000-0006-0000-0700-000007000000}">
      <text>
        <r>
          <rPr>
            <sz val="11"/>
            <rFont val="Calibri"/>
          </rPr>
          <t>OpenShift role-based access controls (RBAC) must be enforced.</t>
        </r>
      </text>
    </comment>
    <comment ref="I93" authorId="0" shapeId="0" xr:uid="{00000000-0006-0000-0700-00000E000000}">
      <text>
        <r>
          <rPr>
            <sz val="11"/>
            <rFont val="Calibri"/>
          </rPr>
          <t>OpenShift must disable root and terminate network connections.</t>
        </r>
      </text>
    </comment>
    <comment ref="J93" authorId="0" shapeId="0" xr:uid="{00000000-0006-0000-0700-00000F000000}">
      <text>
        <r>
          <rPr>
            <sz val="11"/>
            <rFont val="Calibri"/>
          </rPr>
          <t>OpenShift must terminate all network connections associated with a communications session at the end of the session, or as follows: for in-band management sessions (privileged sessions), the session must be terminated after 10 minutes of inactivity.</t>
        </r>
      </text>
    </comment>
    <comment ref="K93" authorId="0" shapeId="0" xr:uid="{00000000-0006-0000-0700-000010000000}">
      <text>
        <r>
          <rPr>
            <sz val="11"/>
            <rFont val="Calibri"/>
          </rPr>
          <t>OpenShift must set the sticky bit for world-writable directories.</t>
        </r>
      </text>
    </comment>
    <comment ref="L93" authorId="0" shapeId="0" xr:uid="{00000000-0006-0000-0700-000008000000}">
      <text>
        <r>
          <rPr>
            <sz val="11"/>
            <rFont val="Calibri"/>
          </rPr>
          <t>OpenShift must restrict access to the kernel buffer.</t>
        </r>
      </text>
    </comment>
    <comment ref="M93" authorId="0" shapeId="0" xr:uid="{00000000-0006-0000-0700-000009000000}">
      <text>
        <r>
          <rPr>
            <sz val="11"/>
            <rFont val="Calibri"/>
          </rPr>
          <t>OpenShift must display an explicit logout message indicating the reliable termination of authenticated communication sessions.</t>
        </r>
      </text>
    </comment>
    <comment ref="N93" authorId="0" shapeId="0" xr:uid="{00000000-0006-0000-0700-00000A000000}">
      <text>
        <r>
          <rPr>
            <sz val="11"/>
            <rFont val="Calibri"/>
          </rPr>
          <t>Container images instantiated by OpenShift must execute using least privileges.</t>
        </r>
      </text>
    </comment>
    <comment ref="O93" authorId="0" shapeId="0" xr:uid="{00000000-0006-0000-0700-00000B000000}">
      <text>
        <r>
          <rPr>
            <sz val="11"/>
            <rFont val="Calibri"/>
          </rPr>
          <t>OpenShift must enforce access restrictions and support auditing of the enforcement actions.</t>
        </r>
      </text>
    </comment>
    <comment ref="P93" authorId="0" shapeId="0" xr:uid="{00000000-0006-0000-0700-00000C000000}">
      <text>
        <r>
          <rPr>
            <sz val="11"/>
            <rFont val="Calibri"/>
          </rPr>
          <t>OpenShift must set server token max age no greater than eight hours.</t>
        </r>
      </text>
    </comment>
    <comment ref="Q93" authorId="0" shapeId="0" xr:uid="{00000000-0006-0000-0700-00000D000000}">
      <text>
        <r>
          <rPr>
            <sz val="11"/>
            <rFont val="Calibri"/>
          </rPr>
          <t>Vulnerability scanning applications must implement privileged access authorization to all OpenShift components, containers, and container images for selected organization-defined vulnerability scanning activities.</t>
        </r>
      </text>
    </comment>
    <comment ref="H110" authorId="0" shapeId="0" xr:uid="{00000000-0006-0000-0700-000011000000}">
      <text>
        <r>
          <rPr>
            <sz val="11"/>
            <rFont val="Calibri"/>
          </rPr>
          <t>OpenShift keystore must implement encryption to prevent unauthorized disclosure of information at rest within the container platform.</t>
        </r>
      </text>
    </comment>
    <comment ref="H111" authorId="0" shapeId="0" xr:uid="{00000000-0006-0000-0700-000012000000}">
      <text>
        <r>
          <rPr>
            <sz val="11"/>
            <rFont val="Calibri"/>
          </rPr>
          <t>OpenShift must use TLS 1.2 or greater for secure container image transport from trusted sources.</t>
        </r>
      </text>
    </comment>
    <comment ref="I111" authorId="0" shapeId="0" xr:uid="{00000000-0006-0000-0700-000013000000}">
      <text>
        <r>
          <rPr>
            <sz val="11"/>
            <rFont val="Calibri"/>
          </rPr>
          <t>OpenShift must use TLS 1.2 or greater for secure communication.</t>
        </r>
      </text>
    </comment>
    <comment ref="J111" authorId="0" shapeId="0" xr:uid="{00000000-0006-0000-0700-000014000000}">
      <text>
        <r>
          <rPr>
            <sz val="11"/>
            <rFont val="Calibri"/>
          </rPr>
          <t>OpenShift must protect authenticity of communications sessions with the use of FIPS-validated 140-2 or 140-3 validated cryptography.</t>
        </r>
      </text>
    </comment>
    <comment ref="K111" authorId="0" shapeId="0" xr:uid="{00000000-0006-0000-0700-000015000000}">
      <text>
        <r>
          <rPr>
            <sz val="11"/>
            <rFont val="Calibri"/>
          </rPr>
          <t>OpenShift must protect the confidentiality and integrity of transmitted information.</t>
        </r>
      </text>
    </comment>
    <comment ref="H113" authorId="0" shapeId="0" xr:uid="{00000000-0006-0000-0700-000016000000}">
      <text>
        <r>
          <rPr>
            <sz val="11"/>
            <rFont val="Calibri"/>
          </rPr>
          <t>OpenShift must restrict individuals the ability to launch organizational-defined Denial-of-Service (DOS) attacks against other information systems by setting a default Resource Quota.</t>
        </r>
      </text>
    </comment>
    <comment ref="I113" authorId="0" shapeId="0" xr:uid="{00000000-0006-0000-0700-000017000000}">
      <text>
        <r>
          <rPr>
            <sz val="11"/>
            <rFont val="Calibri"/>
          </rPr>
          <t>OpenShift must restrict individuals</t>
        </r>
        <r>
          <rPr>
            <sz val="11"/>
            <color rgb="FF000000"/>
            <rFont val="Calibri"/>
          </rPr>
          <t>'</t>
        </r>
        <r>
          <rPr>
            <sz val="11"/>
            <color rgb="FF000000"/>
            <rFont val="Calibri"/>
          </rPr>
          <t xml:space="preserve"> ability to launch organization-defined denial-of-service (DOS) attacks against other information systems by rate-limiting.</t>
        </r>
      </text>
    </comment>
    <comment ref="J113" authorId="0" shapeId="0" xr:uid="{00000000-0006-0000-0700-000018000000}">
      <text>
        <r>
          <rPr>
            <sz val="11"/>
            <rFont val="Calibri"/>
          </rPr>
          <t>OpenShift must protect against or limit the effects of all types of Denial-of-Service (DoS) attacks by employing organization-defined security safeguards by including a default resource quota.</t>
        </r>
      </text>
    </comment>
    <comment ref="K113" authorId="0" shapeId="0" xr:uid="{00000000-0006-0000-0700-000019000000}">
      <text>
        <r>
          <rPr>
            <sz val="11"/>
            <rFont val="Calibri"/>
          </rPr>
          <t>OpenShift must protect against or limit the effects of all types of Denial-of-Service (DoS) attacks by defining resource quotas on a namespace.</t>
        </r>
      </text>
    </comment>
    <comment ref="H115" authorId="0" shapeId="0" xr:uid="{00000000-0006-0000-0700-00001A000000}">
      <text>
        <r>
          <rPr>
            <sz val="11"/>
            <rFont val="Calibri"/>
          </rPr>
          <t>OpenShift must use FIPS-validated cryptographic mechanisms to protect the integrity of log information.</t>
        </r>
      </text>
    </comment>
    <comment ref="I115" authorId="0" shapeId="0" xr:uid="{00000000-0006-0000-0700-00001B000000}">
      <text>
        <r>
          <rPr>
            <sz val="11"/>
            <rFont val="Calibri"/>
          </rPr>
          <t>OpenShift must verify container images.</t>
        </r>
      </text>
    </comment>
    <comment ref="J115" authorId="0" shapeId="0" xr:uid="{00000000-0006-0000-0700-00001C000000}">
      <text>
        <r>
          <rPr>
            <sz val="11"/>
            <rFont val="Calibri"/>
          </rPr>
          <t>OpenShift must prevent the installation of patches, service packs, device drivers, or operating system components without verification they have been digitally signed using a certificate that is recognized and approved by the organization.</t>
        </r>
      </text>
    </comment>
    <comment ref="K115" authorId="0" shapeId="0" xr:uid="{00000000-0006-0000-0700-00001D000000}">
      <text>
        <r>
          <rPr>
            <sz val="11"/>
            <rFont val="Calibri"/>
          </rPr>
          <t>OpenShift must use FIPS-validated SHA-2 or higher hash function for digital signature generation and verification (nonlegacy use).</t>
        </r>
      </text>
    </comment>
    <comment ref="H143" authorId="0" shapeId="0" xr:uid="{00000000-0006-0000-0700-00001E000000}">
      <text>
        <r>
          <rPr>
            <sz val="11"/>
            <rFont val="Calibri"/>
          </rPr>
          <t>OpenShift must remove old components after updated versions have been installed.</t>
        </r>
      </text>
    </comment>
    <comment ref="I143" authorId="0" shapeId="0" xr:uid="{00000000-0006-0000-0700-00001F000000}">
      <text>
        <r>
          <rPr>
            <sz val="11"/>
            <rFont val="Calibri"/>
          </rPr>
          <t>OpenShift must contain the latest images with most recent updates and execute within the container platform runtime as authorized by IAVM, CTOs, DTMs, and STIGs.</t>
        </r>
      </text>
    </comment>
    <comment ref="J143" authorId="0" shapeId="0" xr:uid="{00000000-0006-0000-0700-000020000000}">
      <text>
        <r>
          <rPr>
            <sz val="11"/>
            <rFont val="Calibri"/>
          </rPr>
          <t>OpenShift runtime must have updates installed within the period directed by an authoritative source (e.g., IAVM, CTOs, DTMs, and STIGs).</t>
        </r>
      </text>
    </comment>
    <comment ref="H145" authorId="0" shapeId="0" xr:uid="{00000000-0006-0000-0700-000021000000}">
      <text>
        <r>
          <rPr>
            <sz val="11"/>
            <rFont val="Calibri"/>
          </rPr>
          <t>OpenShift must automatically audit account creation.</t>
        </r>
      </text>
    </comment>
    <comment ref="I145" authorId="0" shapeId="0" xr:uid="{00000000-0006-0000-0700-000027000000}">
      <text>
        <r>
          <rPr>
            <sz val="11"/>
            <rFont val="Calibri"/>
          </rPr>
          <t>OpenShift must automatically audit account modification.</t>
        </r>
      </text>
    </comment>
    <comment ref="J145" authorId="0" shapeId="0" xr:uid="{00000000-0006-0000-0700-000028000000}">
      <text>
        <r>
          <rPr>
            <sz val="11"/>
            <rFont val="Calibri"/>
          </rPr>
          <t>OpenShift must generate audit rules to capture account related actions.</t>
        </r>
      </text>
    </comment>
    <comment ref="K145" authorId="0" shapeId="0" xr:uid="{00000000-0006-0000-0700-000029000000}">
      <text>
        <r>
          <rPr>
            <sz val="11"/>
            <rFont val="Calibri"/>
          </rPr>
          <t>Open Shift must automatically audit account removal actions.</t>
        </r>
      </text>
    </comment>
    <comment ref="L145" authorId="0" shapeId="0" xr:uid="{00000000-0006-0000-0700-00002A000000}">
      <text>
        <r>
          <rPr>
            <sz val="11"/>
            <rFont val="Calibri"/>
          </rPr>
          <t>OpenShift must generate audit records for all DOD-defined auditable events within all components in the platform.</t>
        </r>
      </text>
    </comment>
    <comment ref="M145" authorId="0" shapeId="0" xr:uid="{00000000-0006-0000-0700-00002B000000}">
      <text>
        <r>
          <rPr>
            <sz val="11"/>
            <rFont val="Calibri"/>
          </rPr>
          <t>OpenShift must generate audit records when successful/unsuccessful attempts to access privileges occur.</t>
        </r>
      </text>
    </comment>
    <comment ref="N145" authorId="0" shapeId="0" xr:uid="{00000000-0006-0000-0700-00002C000000}">
      <text>
        <r>
          <rPr>
            <sz val="11"/>
            <rFont val="Calibri"/>
          </rPr>
          <t>Red Hat Enterprise Linux CoreOS (RHCOS) must initiate session audits at system startup.</t>
        </r>
      </text>
    </comment>
    <comment ref="O145" authorId="0" shapeId="0" xr:uid="{00000000-0006-0000-0700-00002D000000}">
      <text>
        <r>
          <rPr>
            <sz val="11"/>
            <rFont val="Calibri"/>
          </rPr>
          <t>OpenShift components must provide the ability to send audit logs to a central enterprise repository for review and analysis.</t>
        </r>
      </text>
    </comment>
    <comment ref="P145" authorId="0" shapeId="0" xr:uid="{00000000-0006-0000-0700-00002E000000}">
      <text>
        <r>
          <rPr>
            <sz val="11"/>
            <rFont val="Calibri"/>
          </rPr>
          <t>OpenShift must generate audit records when successful/unsuccessful attempts to modify privileges occur.</t>
        </r>
      </text>
    </comment>
    <comment ref="Q145" authorId="0" shapeId="0" xr:uid="{00000000-0006-0000-0700-00002F000000}">
      <text>
        <r>
          <rPr>
            <sz val="11"/>
            <rFont val="Calibri"/>
          </rPr>
          <t>OpenShift must generate audit records when successful/unsuccessful attempts to modify security objects occur.</t>
        </r>
      </text>
    </comment>
    <comment ref="R145" authorId="0" shapeId="0" xr:uid="{00000000-0006-0000-0700-000022000000}">
      <text>
        <r>
          <rPr>
            <sz val="11"/>
            <rFont val="Calibri"/>
          </rPr>
          <t>OpenShift must generate audit records when successful/unsuccessful attempts to delete privileges occur.</t>
        </r>
      </text>
    </comment>
    <comment ref="S145" authorId="0" shapeId="0" xr:uid="{00000000-0006-0000-0700-000023000000}">
      <text>
        <r>
          <rPr>
            <sz val="11"/>
            <rFont val="Calibri"/>
          </rPr>
          <t>OpenShift must generate audit records when successful/unsuccessful attempts to delete security objects occur.</t>
        </r>
      </text>
    </comment>
    <comment ref="T145" authorId="0" shapeId="0" xr:uid="{00000000-0006-0000-0700-000024000000}">
      <text>
        <r>
          <rPr>
            <sz val="11"/>
            <rFont val="Calibri"/>
          </rPr>
          <t>OpenShift must generate audit records when successful/unsuccessful logon attempts occur.</t>
        </r>
      </text>
    </comment>
    <comment ref="U145" authorId="0" shapeId="0" xr:uid="{00000000-0006-0000-0700-000025000000}">
      <text>
        <r>
          <rPr>
            <sz val="11"/>
            <rFont val="Calibri"/>
          </rPr>
          <t>Red Hat Enterprise Linux CoreOS (RHCOS) must be configured to audit the loading and unloading of dynamic kernel modules.</t>
        </r>
      </text>
    </comment>
    <comment ref="V145" authorId="0" shapeId="0" xr:uid="{00000000-0006-0000-0700-000026000000}">
      <text>
        <r>
          <rPr>
            <sz val="11"/>
            <rFont val="Calibri"/>
          </rPr>
          <t>OpenShift must generate audit records when concurrent logons from different workstations and systems occur.</t>
        </r>
      </text>
    </comment>
    <comment ref="H146" authorId="0" shapeId="0" xr:uid="{00000000-0006-0000-0700-000030000000}">
      <text>
        <r>
          <rPr>
            <sz val="11"/>
            <rFont val="Calibri"/>
          </rPr>
          <t>OpenShift must verify container images.</t>
        </r>
      </text>
    </comment>
    <comment ref="I146" authorId="0" shapeId="0" xr:uid="{00000000-0006-0000-0700-000031000000}">
      <text>
        <r>
          <rPr>
            <sz val="11"/>
            <rFont val="Calibri"/>
          </rPr>
          <t>OpenShift must contain only container images for those capabilities being offered by the container platform.</t>
        </r>
      </text>
    </comment>
    <comment ref="J146" authorId="0" shapeId="0" xr:uid="{00000000-0006-0000-0700-000032000000}">
      <text>
        <r>
          <rPr>
            <sz val="11"/>
            <rFont val="Calibri"/>
          </rPr>
          <t>OpenShift must prevent the installation of patches, service packs, device drivers, or operating system components without verification they have been digitally signed using a certificate that is recognized and approved by the organization.</t>
        </r>
      </text>
    </comment>
    <comment ref="H149" authorId="0" shapeId="0" xr:uid="{00000000-0006-0000-0700-000033000000}">
      <text>
        <r>
          <rPr>
            <sz val="11"/>
            <rFont val="Calibri"/>
          </rPr>
          <t>OpenShift must automatically audit account creation.</t>
        </r>
      </text>
    </comment>
    <comment ref="I149" authorId="0" shapeId="0" xr:uid="{00000000-0006-0000-0700-000046000000}">
      <text>
        <r>
          <rPr>
            <sz val="11"/>
            <rFont val="Calibri"/>
          </rPr>
          <t>OpenShift must automatically audit account modification.</t>
        </r>
      </text>
    </comment>
    <comment ref="J149" authorId="0" shapeId="0" xr:uid="{00000000-0006-0000-0700-000047000000}">
      <text>
        <r>
          <rPr>
            <sz val="11"/>
            <rFont val="Calibri"/>
          </rPr>
          <t>OpenShift must generate audit rules to capture account related actions.</t>
        </r>
      </text>
    </comment>
    <comment ref="K149" authorId="0" shapeId="0" xr:uid="{00000000-0006-0000-0700-000048000000}">
      <text>
        <r>
          <rPr>
            <sz val="11"/>
            <rFont val="Calibri"/>
          </rPr>
          <t>Open Shift must automatically audit account removal actions.</t>
        </r>
      </text>
    </comment>
    <comment ref="L149" authorId="0" shapeId="0" xr:uid="{00000000-0006-0000-0700-000049000000}">
      <text>
        <r>
          <rPr>
            <sz val="11"/>
            <rFont val="Calibri"/>
          </rPr>
          <t>OpenShift must generate audit records for all DOD-defined auditable events within all components in the platform.</t>
        </r>
      </text>
    </comment>
    <comment ref="M149" authorId="0" shapeId="0" xr:uid="{00000000-0006-0000-0700-00004A000000}">
      <text>
        <r>
          <rPr>
            <sz val="11"/>
            <rFont val="Calibri"/>
          </rPr>
          <t>OpenShift must generate audit records when successful/unsuccessful attempts to access privileges occur.</t>
        </r>
      </text>
    </comment>
    <comment ref="N149" authorId="0" shapeId="0" xr:uid="{00000000-0006-0000-0700-00004B000000}">
      <text>
        <r>
          <rPr>
            <sz val="11"/>
            <rFont val="Calibri"/>
          </rPr>
          <t>Red Hat Enterprise Linux CoreOS (RHCOS) must initiate session audits at system startup.</t>
        </r>
      </text>
    </comment>
    <comment ref="O149" authorId="0" shapeId="0" xr:uid="{00000000-0006-0000-0700-00004C000000}">
      <text>
        <r>
          <rPr>
            <sz val="11"/>
            <rFont val="Calibri"/>
          </rPr>
          <t>All audit records must identify what type of event has occurred within OpenShift.</t>
        </r>
      </text>
    </comment>
    <comment ref="P149" authorId="0" shapeId="0" xr:uid="{00000000-0006-0000-0700-00004D000000}">
      <text>
        <r>
          <rPr>
            <sz val="11"/>
            <rFont val="Calibri"/>
          </rPr>
          <t>OpenShift audit records must have a date and time association with all events.</t>
        </r>
      </text>
    </comment>
    <comment ref="Q149" authorId="0" shapeId="0" xr:uid="{00000000-0006-0000-0700-00004E000000}">
      <text>
        <r>
          <rPr>
            <sz val="11"/>
            <rFont val="Calibri"/>
          </rPr>
          <t>All audit records must generate the event results within OpenShift.</t>
        </r>
      </text>
    </comment>
    <comment ref="R149" authorId="0" shapeId="0" xr:uid="{00000000-0006-0000-0700-00004F000000}">
      <text>
        <r>
          <rPr>
            <sz val="11"/>
            <rFont val="Calibri"/>
          </rPr>
          <t>OpenShift must take appropriate action upon an audit failure.</t>
        </r>
      </text>
    </comment>
    <comment ref="S149" authorId="0" shapeId="0" xr:uid="{00000000-0006-0000-0700-000050000000}">
      <text>
        <r>
          <rPr>
            <sz val="11"/>
            <rFont val="Calibri"/>
          </rPr>
          <t>OpenShift components must provide the ability to send audit logs to a central enterprise repository for review and analysis.</t>
        </r>
      </text>
    </comment>
    <comment ref="T149" authorId="0" shapeId="0" xr:uid="{00000000-0006-0000-0700-000051000000}">
      <text>
        <r>
          <rPr>
            <sz val="11"/>
            <rFont val="Calibri"/>
          </rPr>
          <t>OpenShift must use internal system clocks to generate audit record time stamps.</t>
        </r>
      </text>
    </comment>
    <comment ref="U149" authorId="0" shapeId="0" xr:uid="{00000000-0006-0000-0700-000052000000}">
      <text>
        <r>
          <rPr>
            <sz val="11"/>
            <rFont val="Calibri"/>
          </rPr>
          <t>OpenShift must protect audit logs from any type of unauthorized access.</t>
        </r>
      </text>
    </comment>
    <comment ref="V149" authorId="0" shapeId="0" xr:uid="{00000000-0006-0000-0700-000053000000}">
      <text>
        <r>
          <rPr>
            <sz val="11"/>
            <rFont val="Calibri"/>
          </rPr>
          <t>OpenShift must protect system journal file from any type of unauthorized access by setting file permissions.</t>
        </r>
      </text>
    </comment>
    <comment ref="W149" authorId="0" shapeId="0" xr:uid="{00000000-0006-0000-0700-000034000000}">
      <text>
        <r>
          <rPr>
            <sz val="11"/>
            <rFont val="Calibri"/>
          </rPr>
          <t>OpenShift must protect system journal file from any type of unauthorized access by setting owner permissions.</t>
        </r>
      </text>
    </comment>
    <comment ref="X149" authorId="0" shapeId="0" xr:uid="{00000000-0006-0000-0700-000035000000}">
      <text>
        <r>
          <rPr>
            <sz val="11"/>
            <rFont val="Calibri"/>
          </rPr>
          <t>OpenShift must protect log directory from any type of unauthorized access by setting file permissions.</t>
        </r>
      </text>
    </comment>
    <comment ref="Y149" authorId="0" shapeId="0" xr:uid="{00000000-0006-0000-0700-000036000000}">
      <text>
        <r>
          <rPr>
            <sz val="11"/>
            <rFont val="Calibri"/>
          </rPr>
          <t>OpenShift must protect log directory from any type of unauthorized access by setting owner permissions.</t>
        </r>
      </text>
    </comment>
    <comment ref="Z149" authorId="0" shapeId="0" xr:uid="{00000000-0006-0000-0700-000037000000}">
      <text>
        <r>
          <rPr>
            <sz val="11"/>
            <rFont val="Calibri"/>
          </rPr>
          <t>OpenShift must protect pod log files from any type of unauthorized access by setting owner permissions.</t>
        </r>
      </text>
    </comment>
    <comment ref="AA149" authorId="0" shapeId="0" xr:uid="{00000000-0006-0000-0700-000038000000}">
      <text>
        <r>
          <rPr>
            <sz val="11"/>
            <rFont val="Calibri"/>
          </rPr>
          <t>OpenShift must protect audit information from unauthorized modification.</t>
        </r>
      </text>
    </comment>
    <comment ref="AB149" authorId="0" shapeId="0" xr:uid="{00000000-0006-0000-0700-000039000000}">
      <text>
        <r>
          <rPr>
            <sz val="11"/>
            <rFont val="Calibri"/>
          </rPr>
          <t>OpenShift must protect audit tools from unauthorized access.</t>
        </r>
      </text>
    </comment>
    <comment ref="AC149" authorId="0" shapeId="0" xr:uid="{00000000-0006-0000-0700-00003A000000}">
      <text>
        <r>
          <rPr>
            <sz val="11"/>
            <rFont val="Calibri"/>
          </rPr>
          <t>OpenShift must use FIPS-validated cryptographic mechanisms to protect the integrity of log information.</t>
        </r>
      </text>
    </comment>
    <comment ref="AD149" authorId="0" shapeId="0" xr:uid="{00000000-0006-0000-0700-00003B000000}">
      <text>
        <r>
          <rPr>
            <sz val="11"/>
            <rFont val="Calibri"/>
          </rPr>
          <t>Red Hat Enterprise Linux CoreOS (RHCOS) must allocate audit record storage capacity to store at least one weeks</t>
        </r>
        <r>
          <rPr>
            <sz val="11"/>
            <color rgb="FF000000"/>
            <rFont val="Calibri"/>
          </rPr>
          <t>'</t>
        </r>
        <r>
          <rPr>
            <sz val="11"/>
            <color rgb="FF000000"/>
            <rFont val="Calibri"/>
          </rPr>
          <t xml:space="preserve"> worth of audit records, when audit records are not immediately sent to a central audit record storage facility.</t>
        </r>
      </text>
    </comment>
    <comment ref="AE149" authorId="0" shapeId="0" xr:uid="{00000000-0006-0000-0700-00003C000000}">
      <text>
        <r>
          <rPr>
            <sz val="11"/>
            <rFont val="Calibri"/>
          </rPr>
          <t>OpenShift must configure Alert Manger Receivers to notify SA and ISSO of all audit failure events requiring real-time alerts.</t>
        </r>
      </text>
    </comment>
    <comment ref="AF149" authorId="0" shapeId="0" xr:uid="{00000000-0006-0000-0700-00003D000000}">
      <text>
        <r>
          <rPr>
            <sz val="11"/>
            <rFont val="Calibri"/>
          </rPr>
          <t>OpenShift must enforce access restrictions and support auditing of the enforcement actions.</t>
        </r>
      </text>
    </comment>
    <comment ref="AG149" authorId="0" shapeId="0" xr:uid="{00000000-0006-0000-0700-00003E000000}">
      <text>
        <r>
          <rPr>
            <sz val="11"/>
            <rFont val="Calibri"/>
          </rPr>
          <t>OpenShift must generate audit records when successful/unsuccessful attempts to modify privileges occur.</t>
        </r>
      </text>
    </comment>
    <comment ref="AH149" authorId="0" shapeId="0" xr:uid="{00000000-0006-0000-0700-00003F000000}">
      <text>
        <r>
          <rPr>
            <sz val="11"/>
            <rFont val="Calibri"/>
          </rPr>
          <t>OpenShift must generate audit records when successful/unsuccessful attempts to modify security objects occur.</t>
        </r>
      </text>
    </comment>
    <comment ref="AI149" authorId="0" shapeId="0" xr:uid="{00000000-0006-0000-0700-000040000000}">
      <text>
        <r>
          <rPr>
            <sz val="11"/>
            <rFont val="Calibri"/>
          </rPr>
          <t>OpenShift must generate audit records when successful/unsuccessful attempts to delete privileges occur.</t>
        </r>
      </text>
    </comment>
    <comment ref="AJ149" authorId="0" shapeId="0" xr:uid="{00000000-0006-0000-0700-000041000000}">
      <text>
        <r>
          <rPr>
            <sz val="11"/>
            <rFont val="Calibri"/>
          </rPr>
          <t>OpenShift must generate audit records when successful/unsuccessful attempts to delete security objects occur.</t>
        </r>
      </text>
    </comment>
    <comment ref="AK149" authorId="0" shapeId="0" xr:uid="{00000000-0006-0000-0700-000042000000}">
      <text>
        <r>
          <rPr>
            <sz val="11"/>
            <rFont val="Calibri"/>
          </rPr>
          <t>OpenShift must generate audit records when successful/unsuccessful logon attempts occur.</t>
        </r>
      </text>
    </comment>
    <comment ref="AL149" authorId="0" shapeId="0" xr:uid="{00000000-0006-0000-0700-000043000000}">
      <text>
        <r>
          <rPr>
            <sz val="11"/>
            <rFont val="Calibri"/>
          </rPr>
          <t>Red Hat Enterprise Linux CoreOS (RHCOS) must be configured to audit the loading and unloading of dynamic kernel modules.</t>
        </r>
      </text>
    </comment>
    <comment ref="AM149" authorId="0" shapeId="0" xr:uid="{00000000-0006-0000-0700-000044000000}">
      <text>
        <r>
          <rPr>
            <sz val="11"/>
            <rFont val="Calibri"/>
          </rPr>
          <t>OpenShift audit records must record user access start and end times.</t>
        </r>
      </text>
    </comment>
    <comment ref="AN149" authorId="0" shapeId="0" xr:uid="{00000000-0006-0000-0700-000045000000}">
      <text>
        <r>
          <rPr>
            <sz val="11"/>
            <rFont val="Calibri"/>
          </rPr>
          <t>OpenShift must generate audit records when concurrent logons from different workstations and systems occur.</t>
        </r>
      </text>
    </comment>
    <comment ref="H150" authorId="0" shapeId="0" xr:uid="{00000000-0006-0000-0700-000054000000}">
      <text>
        <r>
          <rPr>
            <sz val="11"/>
            <rFont val="Calibri"/>
          </rPr>
          <t>Red Hat Enterprise Linux CoreOS (RHCOS) must disable USB Storage kernel module.</t>
        </r>
      </text>
    </comment>
    <comment ref="I150" authorId="0" shapeId="0" xr:uid="{00000000-0006-0000-0700-000055000000}">
      <text>
        <r>
          <rPr>
            <sz val="11"/>
            <rFont val="Calibri"/>
          </rPr>
          <t>Red Hat Enterprise Linux CoreOS (RHCOS) must use USBGuard for hosts that include a USB Controller.</t>
        </r>
      </text>
    </comment>
    <comment ref="H151" authorId="0" shapeId="0" xr:uid="{00000000-0006-0000-0700-000056000000}">
      <text>
        <r>
          <rPr>
            <sz val="11"/>
            <rFont val="Calibri"/>
          </rPr>
          <t>OpenShift must separate user functionality (including user interface services) from information system management functionality.</t>
        </r>
      </text>
    </comment>
    <comment ref="I151" authorId="0" shapeId="0" xr:uid="{00000000-0006-0000-0700-000057000000}">
      <text>
        <r>
          <rPr>
            <sz val="11"/>
            <rFont val="Calibri"/>
          </rPr>
          <t>OpenShift runtime must isolate security functions from nonsecurity functions.</t>
        </r>
      </text>
    </comment>
    <comment ref="J151" authorId="0" shapeId="0" xr:uid="{00000000-0006-0000-0700-000058000000}">
      <text>
        <r>
          <rPr>
            <sz val="11"/>
            <rFont val="Calibri"/>
          </rPr>
          <t>OpenShift must disable virtual syscalls.</t>
        </r>
      </text>
    </comment>
    <comment ref="K151" authorId="0" shapeId="0" xr:uid="{00000000-0006-0000-0700-000059000000}">
      <text>
        <r>
          <rPr>
            <sz val="11"/>
            <rFont val="Calibri"/>
          </rPr>
          <t>OpenShift must prevent kernel profiling.</t>
        </r>
      </text>
    </comment>
    <comment ref="L151" authorId="0" shapeId="0" xr:uid="{00000000-0006-0000-0700-00005A000000}">
      <text>
        <r>
          <rPr>
            <sz val="11"/>
            <rFont val="Calibri"/>
          </rPr>
          <t>Red Hat Enterprise Linux CoreOS (RHCOS) must disable SSHD service.</t>
        </r>
      </text>
    </comment>
    <comment ref="M151" authorId="0" shapeId="0" xr:uid="{00000000-0006-0000-0700-00005B000000}">
      <text>
        <r>
          <rPr>
            <sz val="11"/>
            <rFont val="Calibri"/>
          </rPr>
          <t>Red Hat Enterprise Linux CoreOS (RHCOS) must disable USB Storage kernel module.</t>
        </r>
      </text>
    </comment>
    <comment ref="H152" authorId="0" shapeId="0" xr:uid="{00000000-0006-0000-0700-00005C000000}">
      <text>
        <r>
          <rPr>
            <sz val="11"/>
            <rFont val="Calibri"/>
          </rPr>
          <t>OpenShift must enforce network policy on the namespace for controlling the flow of information within the container platform based on organization-defined information flow control policies.</t>
        </r>
      </text>
    </comment>
    <comment ref="I152" authorId="0" shapeId="0" xr:uid="{00000000-0006-0000-0700-00005D000000}">
      <text>
        <r>
          <rPr>
            <sz val="11"/>
            <rFont val="Calibri"/>
          </rPr>
          <t>OpenShift must enforce approved authorizations for controlling the flow of information within the container platform based on organization-defined information flow control policies.</t>
        </r>
      </text>
    </comment>
    <comment ref="J152" authorId="0" shapeId="0" xr:uid="{00000000-0006-0000-0700-00005E000000}">
      <text>
        <r>
          <rPr>
            <sz val="11"/>
            <rFont val="Calibri"/>
          </rPr>
          <t>OpenShift runtime must enforce ports, protocols, and services that adhere to the PPSM CAL.</t>
        </r>
      </text>
    </comment>
    <comment ref="H172" authorId="0" shapeId="0" xr:uid="{00000000-0006-0000-0700-00005F000000}">
      <text>
        <r>
          <rPr>
            <sz val="11"/>
            <rFont val="Calibri"/>
          </rPr>
          <t>OpenShift must continuously scan components, containers, and images for vulnerabilities.</t>
        </r>
      </text>
    </comment>
    <comment ref="H173" authorId="0" shapeId="0" xr:uid="{00000000-0006-0000-0700-000060000000}">
      <text>
        <r>
          <rPr>
            <sz val="11"/>
            <rFont val="Calibri"/>
          </rPr>
          <t>The Compliance Operator must be configured.</t>
        </r>
      </text>
    </comment>
    <comment ref="I173" authorId="0" shapeId="0" xr:uid="{00000000-0006-0000-0700-000061000000}">
      <text>
        <r>
          <rPr>
            <sz val="11"/>
            <rFont val="Calibri"/>
          </rPr>
          <t>OpenShift must perform verification of the correct operation of security functions: upon startup and/or restart; upon command by a user with privileged access; and/or every 30 days.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52" authorId="0" shapeId="0" xr:uid="{00000000-0006-0000-0800-000001000000}">
      <text>
        <r>
          <rPr>
            <sz val="11"/>
            <rFont val="Calibri"/>
          </rPr>
          <t>Red Hat Enterprise Linux CoreOS (RHCOS) must disable SSHD service.</t>
        </r>
      </text>
    </comment>
    <comment ref="G54" authorId="0" shapeId="0" xr:uid="{00000000-0006-0000-0800-000002000000}">
      <text>
        <r>
          <rPr>
            <sz val="11"/>
            <rFont val="Calibri"/>
          </rPr>
          <t>The kubeadmin account must be disabled.</t>
        </r>
      </text>
    </comment>
    <comment ref="G74" authorId="0" shapeId="0" xr:uid="{00000000-0006-0000-0800-000003000000}">
      <text>
        <r>
          <rPr>
            <sz val="11"/>
            <rFont val="Calibri"/>
          </rPr>
          <t>OpenShift runtime must have updates installed within the period directed by an authoritative source (e.g., IAVM, CTOs, DTMs, and STIGs).</t>
        </r>
      </text>
    </comment>
    <comment ref="G80" authorId="0" shapeId="0" xr:uid="{00000000-0006-0000-0800-000004000000}">
      <text>
        <r>
          <rPr>
            <sz val="11"/>
            <rFont val="Calibri"/>
          </rPr>
          <t>OpenShift must use a centralized user management solution to support account management functions.</t>
        </r>
      </text>
    </comment>
    <comment ref="G83" authorId="0" shapeId="0" xr:uid="{00000000-0006-0000-0800-000005000000}">
      <text>
        <r>
          <rPr>
            <sz val="11"/>
            <rFont val="Calibri"/>
          </rPr>
          <t>OpenShift role-based access controls (RBAC) must be enforced.</t>
        </r>
      </text>
    </comment>
    <comment ref="G97" authorId="0" shapeId="0" xr:uid="{00000000-0006-0000-0800-000006000000}">
      <text>
        <r>
          <rPr>
            <sz val="11"/>
            <rFont val="Calibri"/>
          </rPr>
          <t>OpenShift must use multifactor authentication for network access to accounts.</t>
        </r>
      </text>
    </comment>
    <comment ref="G98" authorId="0" shapeId="0" xr:uid="{00000000-0006-0000-0800-000007000000}">
      <text>
        <r>
          <rPr>
            <sz val="11"/>
            <rFont val="Calibri"/>
          </rPr>
          <t>OpenShift must use multifactor authentication for network access to accounts.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29" authorId="0" shapeId="0" xr:uid="{00000000-0006-0000-0A00-000001000000}">
      <text>
        <r>
          <rPr>
            <sz val="11"/>
            <rFont val="Calibri"/>
          </rPr>
          <t>OpenShift runtime must have updates installed within the period directed by an authoritative source (e.g., IAVM, CTOs, DTMs, and STIGs).</t>
        </r>
      </text>
    </comment>
    <comment ref="H231" authorId="0" shapeId="0" xr:uid="{00000000-0006-0000-0A00-000002000000}">
      <text>
        <r>
          <rPr>
            <sz val="11"/>
            <rFont val="Calibri"/>
          </rPr>
          <t>OpenShift must verify container images.</t>
        </r>
      </text>
    </comment>
    <comment ref="H243" authorId="0" shapeId="0" xr:uid="{00000000-0006-0000-0A00-000003000000}">
      <text>
        <r>
          <rPr>
            <sz val="11"/>
            <rFont val="Calibri"/>
          </rPr>
          <t>OpenShift must separate user functionality (including user interface services) from information system management functionality.</t>
        </r>
      </text>
    </comment>
    <comment ref="I243" authorId="0" shapeId="0" xr:uid="{00000000-0006-0000-0A00-000004000000}">
      <text>
        <r>
          <rPr>
            <sz val="11"/>
            <rFont val="Calibri"/>
          </rPr>
          <t>Red Hat Enterprise Linux CoreOS (RHCOS) must disable SSHD service.</t>
        </r>
      </text>
    </comment>
    <comment ref="H252" authorId="0" shapeId="0" xr:uid="{00000000-0006-0000-0A00-000005000000}">
      <text>
        <r>
          <rPr>
            <sz val="11"/>
            <rFont val="Calibri"/>
          </rPr>
          <t>OpenShift must continuously scan components, containers, and images for vulnerabilities.</t>
        </r>
      </text>
    </comment>
    <comment ref="H253" authorId="0" shapeId="0" xr:uid="{00000000-0006-0000-0A00-000006000000}">
      <text>
        <r>
          <rPr>
            <sz val="11"/>
            <rFont val="Calibri"/>
          </rPr>
          <t>OpenShift must continuously scan components, containers, and images for vulnerabilities.</t>
        </r>
      </text>
    </comment>
    <comment ref="H283" authorId="0" shapeId="0" xr:uid="{00000000-0006-0000-0A00-000007000000}">
      <text>
        <r>
          <rPr>
            <sz val="11"/>
            <rFont val="Calibri"/>
          </rPr>
          <t>OpenShift must use a centralized user management solution to support account management functions.</t>
        </r>
      </text>
    </comment>
    <comment ref="H291" authorId="0" shapeId="0" xr:uid="{00000000-0006-0000-0A00-000008000000}">
      <text>
        <r>
          <rPr>
            <sz val="11"/>
            <rFont val="Calibri"/>
          </rPr>
          <t>OpenShift must use a centralized user management solution to support account management functions.</t>
        </r>
      </text>
    </comment>
    <comment ref="H309" authorId="0" shapeId="0" xr:uid="{00000000-0006-0000-0A00-000009000000}">
      <text>
        <r>
          <rPr>
            <sz val="11"/>
            <rFont val="Calibri"/>
          </rPr>
          <t>OpenShift must disable root and terminate network connections.</t>
        </r>
      </text>
    </comment>
    <comment ref="H312" authorId="0" shapeId="0" xr:uid="{00000000-0006-0000-0A00-00000A000000}">
      <text>
        <r>
          <rPr>
            <sz val="11"/>
            <rFont val="Calibri"/>
          </rPr>
          <t>The kubeadmin account must be disabled.</t>
        </r>
      </text>
    </comment>
    <comment ref="H317" authorId="0" shapeId="0" xr:uid="{00000000-0006-0000-0A00-00000B000000}">
      <text>
        <r>
          <rPr>
            <sz val="11"/>
            <rFont val="Calibri"/>
          </rPr>
          <t>OpenShift must use multifactor authentication for network access to accounts.</t>
        </r>
      </text>
    </comment>
    <comment ref="H319" authorId="0" shapeId="0" xr:uid="{00000000-0006-0000-0A00-00000C000000}">
      <text>
        <r>
          <rPr>
            <sz val="11"/>
            <rFont val="Calibri"/>
          </rPr>
          <t>OpenShift must generate audit records when successful/unsuccessful logon attempts occur.</t>
        </r>
      </text>
    </comment>
    <comment ref="H343" authorId="0" shapeId="0" xr:uid="{00000000-0006-0000-0A00-00000D000000}">
      <text>
        <r>
          <rPr>
            <sz val="11"/>
            <rFont val="Calibri"/>
          </rPr>
          <t>OpenShift role-based access controls (RBAC) must be enforced.</t>
        </r>
      </text>
    </comment>
    <comment ref="H346" authorId="0" shapeId="0" xr:uid="{00000000-0006-0000-0A00-00000E000000}">
      <text>
        <r>
          <rPr>
            <sz val="11"/>
            <rFont val="Calibri"/>
          </rPr>
          <t>OpenShift role-based access controls (RBAC) must be enforced.</t>
        </r>
      </text>
    </comment>
    <comment ref="H348" authorId="0" shapeId="0" xr:uid="{00000000-0006-0000-0A00-00000F000000}">
      <text>
        <r>
          <rPr>
            <sz val="11"/>
            <rFont val="Calibri"/>
          </rPr>
          <t>OpenShift keystore must implement encryption to prevent unauthorized disclosure of information at rest within the container platform.</t>
        </r>
      </text>
    </comment>
    <comment ref="H349" authorId="0" shapeId="0" xr:uid="{00000000-0006-0000-0A00-000010000000}">
      <text>
        <r>
          <rPr>
            <sz val="11"/>
            <rFont val="Calibri"/>
          </rPr>
          <t>OpenShift must use TLS 1.2 or greater for secure container image transport from trusted sources.</t>
        </r>
      </text>
    </comment>
    <comment ref="I349" authorId="0" shapeId="0" xr:uid="{00000000-0006-0000-0A00-000012000000}">
      <text>
        <r>
          <rPr>
            <sz val="11"/>
            <rFont val="Calibri"/>
          </rPr>
          <t>OpenShift must use TLS 1.2 or greater for secure communication.</t>
        </r>
      </text>
    </comment>
    <comment ref="J349" authorId="0" shapeId="0" xr:uid="{00000000-0006-0000-0A00-000011000000}">
      <text>
        <r>
          <rPr>
            <sz val="11"/>
            <rFont val="Calibri"/>
          </rPr>
          <t>OpenShift must protect the confidentiality and integrity of transmitted information.</t>
        </r>
      </text>
    </comment>
    <comment ref="H355" authorId="0" shapeId="0" xr:uid="{00000000-0006-0000-0A00-000013000000}">
      <text>
        <r>
          <rPr>
            <sz val="11"/>
            <rFont val="Calibri"/>
          </rPr>
          <t>OpenShift must use internal system clocks to generate audit record time stamps.</t>
        </r>
      </text>
    </comment>
    <comment ref="I355" authorId="0" shapeId="0" xr:uid="{00000000-0006-0000-0A00-000014000000}">
      <text>
        <r>
          <rPr>
            <sz val="11"/>
            <rFont val="Calibri"/>
          </rPr>
          <t>The Red Hat Enterprise Linux CoreOS (RHCOS) chrony Daemon must use multiple NTP servers to generate audit record time stamps.</t>
        </r>
      </text>
    </comment>
    <comment ref="H356" authorId="0" shapeId="0" xr:uid="{00000000-0006-0000-0A00-000015000000}">
      <text>
        <r>
          <rPr>
            <sz val="11"/>
            <rFont val="Calibri"/>
          </rPr>
          <t>Red Hat Enterprise Linux CoreOS (RHCOS) must initiate session audits at system startup.</t>
        </r>
      </text>
    </comment>
    <comment ref="I356" authorId="0" shapeId="0" xr:uid="{00000000-0006-0000-0A00-000016000000}">
      <text>
        <r>
          <rPr>
            <sz val="11"/>
            <rFont val="Calibri"/>
          </rPr>
          <t>Red Hat Enterprise Linux CoreOS (RHCOS) must be configured to audit the loading and unloading of dynamic kernel modules.</t>
        </r>
      </text>
    </comment>
    <comment ref="H358" authorId="0" shapeId="0" xr:uid="{00000000-0006-0000-0A00-000017000000}">
      <text>
        <r>
          <rPr>
            <sz val="11"/>
            <rFont val="Calibri"/>
          </rPr>
          <t>OpenShift must automatically audit account creation.</t>
        </r>
      </text>
    </comment>
    <comment ref="I358" authorId="0" shapeId="0" xr:uid="{00000000-0006-0000-0A00-00001B000000}">
      <text>
        <r>
          <rPr>
            <sz val="11"/>
            <rFont val="Calibri"/>
          </rPr>
          <t>OpenShift must automatically audit account modification.</t>
        </r>
      </text>
    </comment>
    <comment ref="J358" authorId="0" shapeId="0" xr:uid="{00000000-0006-0000-0A00-00001C000000}">
      <text>
        <r>
          <rPr>
            <sz val="11"/>
            <rFont val="Calibri"/>
          </rPr>
          <t>OpenShift must generate audit rules to capture account related actions.</t>
        </r>
      </text>
    </comment>
    <comment ref="K358" authorId="0" shapeId="0" xr:uid="{00000000-0006-0000-0A00-000018000000}">
      <text>
        <r>
          <rPr>
            <sz val="11"/>
            <rFont val="Calibri"/>
          </rPr>
          <t>Open Shift must automatically audit account removal actions.</t>
        </r>
      </text>
    </comment>
    <comment ref="L358" authorId="0" shapeId="0" xr:uid="{00000000-0006-0000-0A00-000019000000}">
      <text>
        <r>
          <rPr>
            <sz val="11"/>
            <rFont val="Calibri"/>
          </rPr>
          <t>OpenShift must generate audit records for all DOD-defined auditable events within all components in the platform.</t>
        </r>
      </text>
    </comment>
    <comment ref="M358" authorId="0" shapeId="0" xr:uid="{00000000-0006-0000-0A00-00001A000000}">
      <text>
        <r>
          <rPr>
            <sz val="11"/>
            <rFont val="Calibri"/>
          </rPr>
          <t>OpenShift must generate audit records when successful/unsuccessful attempts to access privileges occur.</t>
        </r>
      </text>
    </comment>
    <comment ref="H360" authorId="0" shapeId="0" xr:uid="{00000000-0006-0000-0A00-00001D000000}">
      <text>
        <r>
          <rPr>
            <sz val="11"/>
            <rFont val="Calibri"/>
          </rPr>
          <t>OpenShift components must provide the ability to send audit logs to a central enterprise repository for review and analysis.</t>
        </r>
      </text>
    </comment>
    <comment ref="H361" authorId="0" shapeId="0" xr:uid="{00000000-0006-0000-0A00-00001E000000}">
      <text>
        <r>
          <rPr>
            <sz val="11"/>
            <rFont val="Calibri"/>
          </rPr>
          <t>OpenShift must protect audit logs from any type of unauthorized access.</t>
        </r>
      </text>
    </comment>
    <comment ref="I361" authorId="0" shapeId="0" xr:uid="{00000000-0006-0000-0A00-000020000000}">
      <text>
        <r>
          <rPr>
            <sz val="11"/>
            <rFont val="Calibri"/>
          </rPr>
          <t>OpenShift must protect system journal file from any type of unauthorized access by setting file permissions.</t>
        </r>
      </text>
    </comment>
    <comment ref="J361" authorId="0" shapeId="0" xr:uid="{00000000-0006-0000-0A00-000021000000}">
      <text>
        <r>
          <rPr>
            <sz val="11"/>
            <rFont val="Calibri"/>
          </rPr>
          <t>OpenShift must protect system journal file from any type of unauthorized access by setting owner permissions.</t>
        </r>
      </text>
    </comment>
    <comment ref="K361" authorId="0" shapeId="0" xr:uid="{00000000-0006-0000-0A00-000022000000}">
      <text>
        <r>
          <rPr>
            <sz val="11"/>
            <rFont val="Calibri"/>
          </rPr>
          <t>OpenShift must protect log directory from any type of unauthorized access by setting file permissions.</t>
        </r>
      </text>
    </comment>
    <comment ref="L361" authorId="0" shapeId="0" xr:uid="{00000000-0006-0000-0A00-000023000000}">
      <text>
        <r>
          <rPr>
            <sz val="11"/>
            <rFont val="Calibri"/>
          </rPr>
          <t>OpenShift must protect log directory from any type of unauthorized access by setting owner permissions.</t>
        </r>
      </text>
    </comment>
    <comment ref="M361" authorId="0" shapeId="0" xr:uid="{00000000-0006-0000-0A00-000024000000}">
      <text>
        <r>
          <rPr>
            <sz val="11"/>
            <rFont val="Calibri"/>
          </rPr>
          <t>OpenShift must protect pod log files from any type of unauthorized access by setting owner permissions.</t>
        </r>
      </text>
    </comment>
    <comment ref="N361" authorId="0" shapeId="0" xr:uid="{00000000-0006-0000-0A00-00001F000000}">
      <text>
        <r>
          <rPr>
            <sz val="11"/>
            <rFont val="Calibri"/>
          </rPr>
          <t>OpenShift must protect audit information from unauthorized modification.</t>
        </r>
      </text>
    </comment>
    <comment ref="H362" authorId="0" shapeId="0" xr:uid="{00000000-0006-0000-0A00-000025000000}">
      <text>
        <r>
          <rPr>
            <sz val="11"/>
            <rFont val="Calibri"/>
          </rPr>
          <t>OpenShift must take appropriate action upon an audit failure.</t>
        </r>
      </text>
    </comment>
    <comment ref="H367" authorId="0" shapeId="0" xr:uid="{00000000-0006-0000-0A00-000026000000}">
      <text>
        <r>
          <rPr>
            <sz val="11"/>
            <rFont val="Calibri"/>
          </rPr>
          <t>OpenShift must configure Alert Manger Receivers to notify SA and ISSO of all audit failure events requiring real-time alerts.</t>
        </r>
      </text>
    </comment>
    <comment ref="H368" authorId="0" shapeId="0" xr:uid="{00000000-0006-0000-0A00-000027000000}">
      <text>
        <r>
          <rPr>
            <sz val="11"/>
            <rFont val="Calibri"/>
          </rPr>
          <t>Red Hat Enterprise Linux CoreOS (RHCOS) must allocate audit record storage capacity to store at least one weeks</t>
        </r>
        <r>
          <rPr>
            <sz val="11"/>
            <color rgb="FF000000"/>
            <rFont val="Calibri"/>
          </rPr>
          <t>'</t>
        </r>
        <r>
          <rPr>
            <sz val="11"/>
            <color rgb="FF000000"/>
            <rFont val="Calibri"/>
          </rPr>
          <t xml:space="preserve"> worth of audit records, when audit records are not immediately sent to a central audit record storage facility.</t>
        </r>
      </text>
    </comment>
    <comment ref="H391" authorId="0" shapeId="0" xr:uid="{00000000-0006-0000-0A00-000028000000}">
      <text>
        <r>
          <rPr>
            <sz val="11"/>
            <rFont val="Calibri"/>
          </rPr>
          <t>OpenShift runtime must enforce ports, protocols, and services that adhere to the PPSM CAL.</t>
        </r>
      </text>
    </comment>
  </commentList>
</comments>
</file>

<file path=xl/sharedStrings.xml><?xml version="1.0" encoding="utf-8"?>
<sst xmlns="http://schemas.openxmlformats.org/spreadsheetml/2006/main" count="9341" uniqueCount="4448">
  <si>
    <t>Id</t>
  </si>
  <si>
    <t>Title</t>
  </si>
  <si>
    <t>Severity</t>
  </si>
  <si>
    <t>MoSCoW</t>
  </si>
  <si>
    <t>OpsImpact</t>
  </si>
  <si>
    <t>Phase</t>
  </si>
  <si>
    <t>ImplStatus</t>
  </si>
  <si>
    <t>Notes</t>
  </si>
  <si>
    <t>Remediation</t>
  </si>
  <si>
    <t>Description</t>
  </si>
  <si>
    <t>Audit</t>
  </si>
  <si>
    <t>Status</t>
  </si>
  <si>
    <t>LogID</t>
  </si>
  <si>
    <t>V-257505</t>
  </si>
  <si>
    <r>
      <rPr>
        <sz val="11"/>
        <rFont val="Calibri"/>
      </rPr>
      <t>OpenShift must use TLS 1.2 or greater for secure container image transport from trusted sources.</t>
    </r>
  </si>
  <si>
    <t>CAT II (Medium)</t>
  </si>
  <si>
    <t>Unassigned</t>
  </si>
  <si>
    <t>Unassessed</t>
  </si>
  <si>
    <t>Pending</t>
  </si>
  <si>
    <t/>
  </si>
  <si>
    <r>
      <rPr>
        <sz val="11"/>
        <color rgb="FF000000"/>
        <rFont val="Calibri"/>
      </rPr>
      <t>Remove insecure registries from the cluster's image registry configuration by executing the following:</t>
    </r>
    <r>
      <rPr>
        <sz val="11"/>
        <color rgb="FF000000"/>
        <rFont val="Calibri"/>
      </rPr>
      <t xml:space="preserve">
</t>
    </r>
    <r>
      <rPr>
        <sz val="11"/>
        <color rgb="FF000000"/>
        <rFont val="Calibri"/>
      </rPr>
      <t>oc edit image.config.openshift.io/cluster</t>
    </r>
    <r>
      <rPr>
        <sz val="11"/>
        <color rgb="FF000000"/>
        <rFont val="Calibri"/>
      </rPr>
      <t xml:space="preserve">
</t>
    </r>
    <r>
      <rPr>
        <sz val="11"/>
        <color rgb="FF000000"/>
        <rFont val="Calibri"/>
      </rPr>
      <t>Edit or remove any registries where insecure is set to true or are listed under insecureRegistries.</t>
    </r>
    <r>
      <rPr>
        <sz val="11"/>
        <color rgb="FF000000"/>
        <rFont val="Calibri"/>
      </rPr>
      <t xml:space="preserve">
</t>
    </r>
    <r>
      <rPr>
        <sz val="11"/>
        <color rgb="FF000000"/>
        <rFont val="Calibri"/>
      </rPr>
      <t>Refer to https://docs.openshift.com/container-platform/4.8/openshift_images/image-configuration.html for more details on configuring registries in OpenShift.</t>
    </r>
  </si>
  <si>
    <r>
      <rPr>
        <sz val="11"/>
        <color rgb="FF000000"/>
        <rFont val="Calibri"/>
      </rPr>
      <t>The authenticity and integrity of the container image during the container image lifecycle is part of the overall security posture of the container platform. This begins with the container image creation and pull of a base image from a trusted source for child container image creation and the instantiation of the new image into a running service.</t>
    </r>
    <r>
      <rPr>
        <sz val="11"/>
        <color rgb="FF000000"/>
        <rFont val="Calibri"/>
      </rPr>
      <t xml:space="preserve">
</t>
    </r>
    <r>
      <rPr>
        <sz val="11"/>
        <color rgb="FF000000"/>
        <rFont val="Calibri"/>
      </rPr>
      <t>If an insecure protocol is used during transmission of container images at any step of the lifecycle, a bad actor may inject nefarious code into the container image. The container image, when instantiated, then becomes a security risk to the container platform, the host server, and other containers within the container platform. To thwart the injection of code during transmission, a secure protocol (TLS 1.2 or newer) must be used. Further guidance on secure transport protocols can be found in NIST SP 800-52.</t>
    </r>
  </si>
  <si>
    <r>
      <rPr>
        <sz val="11"/>
        <color rgb="FF000000"/>
        <rFont val="Calibri"/>
      </rPr>
      <t>Verify that no insecure registries are configured by executing the following:</t>
    </r>
    <r>
      <rPr>
        <sz val="11"/>
        <color rgb="FF000000"/>
        <rFont val="Calibri"/>
      </rPr>
      <t xml:space="preserve">
</t>
    </r>
    <r>
      <rPr>
        <sz val="11"/>
        <color rgb="FF000000"/>
        <rFont val="Calibri"/>
      </rPr>
      <t>oc get image.config.openshift.io/cluster -ojsonpath='{.spec.allowedRegistriesForImport}' | jq -r '.[] | select(.insecure == true)'</t>
    </r>
    <r>
      <rPr>
        <sz val="11"/>
        <color rgb="FF000000"/>
        <rFont val="Calibri"/>
      </rPr>
      <t xml:space="preserve">
</t>
    </r>
    <r>
      <rPr>
        <sz val="11"/>
        <color rgb="FF000000"/>
        <rFont val="Calibri"/>
      </rPr>
      <t>If the above query finds any registries, this is a finding. Empty output is not a finding.</t>
    </r>
    <r>
      <rPr>
        <sz val="11"/>
        <color rgb="FF000000"/>
        <rFont val="Calibri"/>
      </rPr>
      <t xml:space="preserve">
</t>
    </r>
    <r>
      <rPr>
        <sz val="11"/>
        <color rgb="FF000000"/>
        <rFont val="Calibri"/>
      </rPr>
      <t>Verify that no insecure registries are configured by executing the following:</t>
    </r>
    <r>
      <rPr>
        <sz val="11"/>
        <color rgb="FF000000"/>
        <rFont val="Calibri"/>
      </rPr>
      <t xml:space="preserve">
</t>
    </r>
    <r>
      <rPr>
        <sz val="11"/>
        <color rgb="FF000000"/>
        <rFont val="Calibri"/>
      </rPr>
      <t xml:space="preserve">oc get image.config.openshift.io/cluster -ojsonpath='{.spec.registrySources.insecureRegistries}'  </t>
    </r>
    <r>
      <rPr>
        <sz val="11"/>
        <color rgb="FF000000"/>
        <rFont val="Calibri"/>
      </rPr>
      <t xml:space="preserve">
</t>
    </r>
    <r>
      <rPr>
        <sz val="11"/>
        <color rgb="FF000000"/>
        <rFont val="Calibri"/>
      </rPr>
      <t>If the above query returns anything, then this is a finding. Empty output is not a finding.</t>
    </r>
  </si>
  <si>
    <t>V-257506</t>
  </si>
  <si>
    <r>
      <rPr>
        <sz val="11"/>
        <rFont val="Calibri"/>
      </rPr>
      <t>OpenShift must use TLS 1.2 or greater for secure communication.</t>
    </r>
  </si>
  <si>
    <r>
      <rPr>
        <sz val="11"/>
        <color rgb="FF000000"/>
        <rFont val="Calibri"/>
      </rPr>
      <t>Edit each resource and set the TLS Security Profile to Intermediate by executing the following:</t>
    </r>
    <r>
      <rPr>
        <sz val="11"/>
        <color rgb="FF000000"/>
        <rFont val="Calibri"/>
      </rPr>
      <t xml:space="preserve">
</t>
    </r>
    <r>
      <rPr>
        <sz val="11"/>
        <color rgb="FF000000"/>
        <rFont val="Calibri"/>
      </rPr>
      <t>oc edit ingresscontroller &lt;NAME&gt; -n &lt;NAMESPACE&gt;</t>
    </r>
    <r>
      <rPr>
        <sz val="11"/>
        <color rgb="FF000000"/>
        <rFont val="Calibri"/>
      </rPr>
      <t xml:space="preserve">
</t>
    </r>
    <r>
      <rPr>
        <sz val="11"/>
        <color rgb="FF000000"/>
        <rFont val="Calibri"/>
      </rPr>
      <t>Add the following to the file:</t>
    </r>
    <r>
      <rPr>
        <sz val="11"/>
        <color rgb="FF000000"/>
        <rFont val="Calibri"/>
      </rPr>
      <t xml:space="preserve">
</t>
    </r>
    <r>
      <rPr>
        <sz val="11"/>
        <color rgb="FF000000"/>
        <rFont val="Calibri"/>
      </rPr>
      <t>apiVersion: config.openshift.io/v1</t>
    </r>
    <r>
      <rPr>
        <sz val="11"/>
        <color rgb="FF000000"/>
        <rFont val="Calibri"/>
      </rPr>
      <t xml:space="preserve">
</t>
    </r>
    <r>
      <rPr>
        <sz val="11"/>
        <color rgb="FF000000"/>
        <rFont val="Calibri"/>
      </rPr>
      <t>kind: IngressController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tlsSecurityProfile:</t>
    </r>
    <r>
      <rPr>
        <sz val="11"/>
        <color rgb="FF000000"/>
        <rFont val="Calibri"/>
      </rPr>
      <t xml:space="preserve">
</t>
    </r>
    <r>
      <rPr>
        <sz val="11"/>
        <color rgb="FF000000"/>
        <rFont val="Calibri"/>
      </rPr>
      <t xml:space="preserve">    intermediate: {}</t>
    </r>
    <r>
      <rPr>
        <sz val="11"/>
        <color rgb="FF000000"/>
        <rFont val="Calibri"/>
      </rPr>
      <t xml:space="preserve">
</t>
    </r>
    <r>
      <rPr>
        <sz val="11"/>
        <color rgb="FF000000"/>
        <rFont val="Calibri"/>
      </rPr>
      <t xml:space="preserve">    type: Intermediate</t>
    </r>
    <r>
      <rPr>
        <sz val="11"/>
        <color rgb="FF000000"/>
        <rFont val="Calibri"/>
      </rPr>
      <t xml:space="preserve">
</t>
    </r>
    <r>
      <rPr>
        <sz val="11"/>
        <color rgb="FF000000"/>
        <rFont val="Calibri"/>
      </rPr>
      <t>Edit API Server by executing the following:</t>
    </r>
    <r>
      <rPr>
        <sz val="11"/>
        <color rgb="FF000000"/>
        <rFont val="Calibri"/>
      </rPr>
      <t xml:space="preserve">
</t>
    </r>
    <r>
      <rPr>
        <sz val="11"/>
        <color rgb="FF000000"/>
        <rFont val="Calibri"/>
      </rPr>
      <t>oc edit APIServer</t>
    </r>
    <r>
      <rPr>
        <sz val="11"/>
        <color rgb="FF000000"/>
        <rFont val="Calibri"/>
      </rPr>
      <t xml:space="preserve">
</t>
    </r>
    <r>
      <rPr>
        <sz val="11"/>
        <color rgb="FF000000"/>
        <rFont val="Calibri"/>
      </rPr>
      <t>Add the following to the file:</t>
    </r>
    <r>
      <rPr>
        <sz val="11"/>
        <color rgb="FF000000"/>
        <rFont val="Calibri"/>
      </rPr>
      <t xml:space="preserve">
</t>
    </r>
    <r>
      <rPr>
        <sz val="11"/>
        <color rgb="FF000000"/>
        <rFont val="Calibri"/>
      </rPr>
      <t>apiVersion: config.openshift.io/v1</t>
    </r>
    <r>
      <rPr>
        <sz val="11"/>
        <color rgb="FF000000"/>
        <rFont val="Calibri"/>
      </rPr>
      <t xml:space="preserve">
</t>
    </r>
    <r>
      <rPr>
        <sz val="11"/>
        <color rgb="FF000000"/>
        <rFont val="Calibri"/>
      </rPr>
      <t>kind: APIServer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tlsSecurityProfile:</t>
    </r>
    <r>
      <rPr>
        <sz val="11"/>
        <color rgb="FF000000"/>
        <rFont val="Calibri"/>
      </rPr>
      <t xml:space="preserve">
</t>
    </r>
    <r>
      <rPr>
        <sz val="11"/>
        <color rgb="FF000000"/>
        <rFont val="Calibri"/>
      </rPr>
      <t xml:space="preserve">    intermediate: {}</t>
    </r>
    <r>
      <rPr>
        <sz val="11"/>
        <color rgb="FF000000"/>
        <rFont val="Calibri"/>
      </rPr>
      <t xml:space="preserve">
</t>
    </r>
    <r>
      <rPr>
        <sz val="11"/>
        <color rgb="FF000000"/>
        <rFont val="Calibri"/>
      </rPr>
      <t xml:space="preserve">    type: Intermediate</t>
    </r>
    <r>
      <rPr>
        <sz val="11"/>
        <color rgb="FF000000"/>
        <rFont val="Calibri"/>
      </rPr>
      <t xml:space="preserve">
</t>
    </r>
    <r>
      <rPr>
        <sz val="11"/>
        <color rgb="FF000000"/>
        <rFont val="Calibri"/>
      </rPr>
      <t>Edit Kubelet by executing the following:</t>
    </r>
    <r>
      <rPr>
        <sz val="11"/>
        <color rgb="FF000000"/>
        <rFont val="Calibri"/>
      </rPr>
      <t xml:space="preserve">
</t>
    </r>
    <r>
      <rPr>
        <sz val="11"/>
        <color rgb="FF000000"/>
        <rFont val="Calibri"/>
      </rPr>
      <t>oc edit KubeletConfig &lt;NAME&gt;</t>
    </r>
    <r>
      <rPr>
        <sz val="11"/>
        <color rgb="FF000000"/>
        <rFont val="Calibri"/>
      </rPr>
      <t xml:space="preserve">
</t>
    </r>
    <r>
      <rPr>
        <sz val="11"/>
        <color rgb="FF000000"/>
        <rFont val="Calibri"/>
      </rPr>
      <t>Set to the following:</t>
    </r>
    <r>
      <rPr>
        <sz val="11"/>
        <color rgb="FF000000"/>
        <rFont val="Calibri"/>
      </rPr>
      <t xml:space="preserve">
</t>
    </r>
    <r>
      <rPr>
        <sz val="11"/>
        <color rgb="FF000000"/>
        <rFont val="Calibri"/>
      </rPr>
      <t>apiVersion: config.openshift.io/v1</t>
    </r>
    <r>
      <rPr>
        <sz val="11"/>
        <color rgb="FF000000"/>
        <rFont val="Calibri"/>
      </rPr>
      <t xml:space="preserve">
</t>
    </r>
    <r>
      <rPr>
        <sz val="11"/>
        <color rgb="FF000000"/>
        <rFont val="Calibri"/>
      </rPr>
      <t>kind: KubeletConfig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tlsSecurityProfile:</t>
    </r>
    <r>
      <rPr>
        <sz val="11"/>
        <color rgb="FF000000"/>
        <rFont val="Calibri"/>
      </rPr>
      <t xml:space="preserve">
</t>
    </r>
    <r>
      <rPr>
        <sz val="11"/>
        <color rgb="FF000000"/>
        <rFont val="Calibri"/>
      </rPr>
      <t xml:space="preserve">    intermediate: {}</t>
    </r>
    <r>
      <rPr>
        <sz val="11"/>
        <color rgb="FF000000"/>
        <rFont val="Calibri"/>
      </rPr>
      <t xml:space="preserve">
</t>
    </r>
    <r>
      <rPr>
        <sz val="11"/>
        <color rgb="FF000000"/>
        <rFont val="Calibri"/>
      </rPr>
      <t xml:space="preserve">    type: Intermediate</t>
    </r>
  </si>
  <si>
    <r>
      <rPr>
        <sz val="11"/>
        <color rgb="FF000000"/>
        <rFont val="Calibri"/>
      </rPr>
      <t>The authenticity and integrity of the container platform and communication between nodes and components must be secure. If an insecure protocol is used during transmission of data, the data can be intercepted and manipulated. The manipulation of data can be used to inject status changes of the container platform, causing the execution of containers or reporting an incorrect healthcheck. To thwart the manipulation of the data during transmission, a secure protocol (TLS 1.2 or newer) must be used. Further guidance on secure transport protocols can be found in NIST SP 800-52.</t>
    </r>
    <r>
      <rPr>
        <sz val="11"/>
        <color rgb="FF000000"/>
        <rFont val="Calibri"/>
      </rPr>
      <t xml:space="preserve">
</t>
    </r>
    <r>
      <rPr>
        <sz val="11"/>
        <color rgb="FF000000"/>
        <rFont val="Calibri"/>
      </rPr>
      <t>Satisfies: SRG-APP-000014-CTR-000040, SRG-APP-000560-CTR-001340</t>
    </r>
  </si>
  <si>
    <r>
      <rPr>
        <sz val="11"/>
        <color rgb="FF000000"/>
        <rFont val="Calibri"/>
      </rPr>
      <t xml:space="preserve">Verify the TLS Security Profile is not set to a profile that does not enforce TLS 1.2 or above. </t>
    </r>
    <r>
      <rPr>
        <sz val="11"/>
        <color rgb="FF000000"/>
        <rFont val="Calibri"/>
      </rPr>
      <t xml:space="preserve">
</t>
    </r>
    <r>
      <rPr>
        <sz val="11"/>
        <color rgb="FF000000"/>
        <rFont val="Calibri"/>
      </rPr>
      <t>View the TLS security profile for the ingress controllers by executing the following:</t>
    </r>
    <r>
      <rPr>
        <sz val="11"/>
        <color rgb="FF000000"/>
        <rFont val="Calibri"/>
      </rPr>
      <t xml:space="preserve">
</t>
    </r>
    <r>
      <rPr>
        <sz val="11"/>
        <color rgb="FF000000"/>
        <rFont val="Calibri"/>
      </rPr>
      <t>oc get --all-namespaces ingresscontrollers.operator.openshift.io -ocustom-columns="NAME":.metadata.name,"NAMESPACE":.metadata.namespace,"TLS PROFILE":.spec.tlsSecurityProfile</t>
    </r>
    <r>
      <rPr>
        <sz val="11"/>
        <color rgb="FF000000"/>
        <rFont val="Calibri"/>
      </rPr>
      <t xml:space="preserve">
</t>
    </r>
    <r>
      <rPr>
        <sz val="11"/>
        <color rgb="FF000000"/>
        <rFont val="Calibri"/>
      </rPr>
      <t>View the TLS security profile for the control plane by executing the following:</t>
    </r>
    <r>
      <rPr>
        <sz val="11"/>
        <color rgb="FF000000"/>
        <rFont val="Calibri"/>
      </rPr>
      <t xml:space="preserve">
</t>
    </r>
    <r>
      <rPr>
        <sz val="11"/>
        <color rgb="FF000000"/>
        <rFont val="Calibri"/>
      </rPr>
      <t>oc get APIServer cluster -ocustom-columns="TLS PROFILE":.spec.tlsSecurityProfile</t>
    </r>
    <r>
      <rPr>
        <sz val="11"/>
        <color rgb="FF000000"/>
        <rFont val="Calibri"/>
      </rPr>
      <t xml:space="preserve">
</t>
    </r>
    <r>
      <rPr>
        <sz val="11"/>
        <color rgb="FF000000"/>
        <rFont val="Calibri"/>
      </rPr>
      <t>View the TLS profile for the Kubelet by executing the following:</t>
    </r>
    <r>
      <rPr>
        <sz val="11"/>
        <color rgb="FF000000"/>
        <rFont val="Calibri"/>
      </rPr>
      <t xml:space="preserve">
</t>
    </r>
    <r>
      <rPr>
        <sz val="11"/>
        <color rgb="FF000000"/>
        <rFont val="Calibri"/>
      </rPr>
      <t>oc get kubeletconfigs -ocustom-columns="NAME":.metadata.name,"TLS PROFILE":.spec.tlsSecurityProfile</t>
    </r>
    <r>
      <rPr>
        <sz val="11"/>
        <color rgb="FF000000"/>
        <rFont val="Calibri"/>
      </rPr>
      <t xml:space="preserve">
</t>
    </r>
    <r>
      <rPr>
        <sz val="11"/>
        <color rgb="FF000000"/>
        <rFont val="Calibri"/>
      </rPr>
      <t>If any of the above returns a TLS profile of "Old", this is a finding.</t>
    </r>
    <r>
      <rPr>
        <sz val="11"/>
        <color rgb="FF000000"/>
        <rFont val="Calibri"/>
      </rPr>
      <t xml:space="preserve">
</t>
    </r>
    <r>
      <rPr>
        <sz val="11"/>
        <color rgb="FF000000"/>
        <rFont val="Calibri"/>
      </rPr>
      <t>If any of the above returns a TLS profile of "Custom" and the minTLSVersion is not set to "VersionTLS12" or greater, this is a finding.</t>
    </r>
    <r>
      <rPr>
        <sz val="11"/>
        <color rgb="FF000000"/>
        <rFont val="Calibri"/>
      </rPr>
      <t xml:space="preserve">
</t>
    </r>
    <r>
      <rPr>
        <sz val="11"/>
        <color rgb="FF000000"/>
        <rFont val="Calibri"/>
      </rPr>
      <t>If the above returns "&lt;none&gt;" TLS profile, this is not a finding as the TLS profile defaults to "Intermediate".</t>
    </r>
    <r>
      <rPr>
        <sz val="11"/>
        <color rgb="FF000000"/>
        <rFont val="Calibri"/>
      </rPr>
      <t xml:space="preserve">
</t>
    </r>
    <r>
      <rPr>
        <sz val="11"/>
        <color rgb="FF000000"/>
        <rFont val="Calibri"/>
      </rPr>
      <t>If the kubelet TLS profile check does not return any kubeletconfigs, this is not a finding as the default OCP installation uses defaults only.</t>
    </r>
  </si>
  <si>
    <t>V-257507</t>
  </si>
  <si>
    <r>
      <rPr>
        <sz val="11"/>
        <rFont val="Calibri"/>
      </rPr>
      <t>OpenShift must use a centralized user management solution to support account management functions.</t>
    </r>
  </si>
  <si>
    <r>
      <rPr>
        <sz val="11"/>
        <color rgb="FF000000"/>
        <rFont val="Calibri"/>
      </rPr>
      <t>Configure OpenShift to use an appropriate Identity Provider. Do not use HTPasswd. Use either LDAP(AD), OpenIDConnect, or an approved identity provider.</t>
    </r>
    <r>
      <rPr>
        <sz val="11"/>
        <color rgb="FF000000"/>
        <rFont val="Calibri"/>
      </rPr>
      <t xml:space="preserve">
</t>
    </r>
    <r>
      <rPr>
        <sz val="11"/>
        <color rgb="FF000000"/>
        <rFont val="Calibri"/>
      </rPr>
      <t>To configure LDAP provider:</t>
    </r>
    <r>
      <rPr>
        <sz val="11"/>
        <color rgb="FF000000"/>
        <rFont val="Calibri"/>
      </rPr>
      <t xml:space="preserve">
</t>
    </r>
    <r>
      <rPr>
        <sz val="11"/>
        <color rgb="FF000000"/>
        <rFont val="Calibri"/>
      </rPr>
      <t>1. Create Secret for BIND DN password by executing the following:</t>
    </r>
    <r>
      <rPr>
        <sz val="11"/>
        <color rgb="FF000000"/>
        <rFont val="Calibri"/>
      </rPr>
      <t xml:space="preserve">
</t>
    </r>
    <r>
      <rPr>
        <sz val="11"/>
        <color rgb="FF000000"/>
        <rFont val="Calibri"/>
      </rPr>
      <t xml:space="preserve">oc create secret generic ldap-secret --from-literal=bindPassword=&lt;secret&gt; -n openshift-config </t>
    </r>
    <r>
      <rPr>
        <sz val="11"/>
        <color rgb="FF000000"/>
        <rFont val="Calibri"/>
      </rPr>
      <t xml:space="preserve">
</t>
    </r>
    <r>
      <rPr>
        <sz val="11"/>
        <color rgb="FF000000"/>
        <rFont val="Calibri"/>
      </rPr>
      <t>2. Create config map for LDAP Trust CA by executing the following: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oc create configmap ca-config-map --from-file=ca.crt=/path/to/ca -n openshift-config</t>
    </r>
    <r>
      <rPr>
        <sz val="11"/>
        <color rgb="FF000000"/>
        <rFont val="Calibri"/>
      </rPr>
      <t xml:space="preserve">
</t>
    </r>
    <r>
      <rPr>
        <sz val="11"/>
        <color rgb="FF000000"/>
        <rFont val="Calibri"/>
      </rPr>
      <t>3. Create LDAP Auth Config Resource YAML:</t>
    </r>
    <r>
      <rPr>
        <sz val="11"/>
        <color rgb="FF000000"/>
        <rFont val="Calibri"/>
      </rPr>
      <t xml:space="preserve">
</t>
    </r>
    <r>
      <rPr>
        <sz val="11"/>
        <color rgb="FF000000"/>
        <rFont val="Calibri"/>
      </rPr>
      <t>Using the preferred text editor, create a file named ldapidp.yaml using the example content. (replacing config values as appropriate):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apiVersion: config.openshift.io/v1</t>
    </r>
    <r>
      <rPr>
        <sz val="11"/>
        <color rgb="FF000000"/>
        <rFont val="Calibri"/>
      </rPr>
      <t xml:space="preserve">
</t>
    </r>
    <r>
      <rPr>
        <sz val="11"/>
        <color rgb="FF000000"/>
        <rFont val="Calibri"/>
      </rPr>
      <t>kind: OAuth</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cluster</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identityProviders:</t>
    </r>
    <r>
      <rPr>
        <sz val="11"/>
        <color rgb="FF000000"/>
        <rFont val="Calibri"/>
      </rPr>
      <t xml:space="preserve">
</t>
    </r>
    <r>
      <rPr>
        <sz val="11"/>
        <color rgb="FF000000"/>
        <rFont val="Calibri"/>
      </rPr>
      <t xml:space="preserve">  - name: ldapidp </t>
    </r>
    <r>
      <rPr>
        <sz val="11"/>
        <color rgb="FF000000"/>
        <rFont val="Calibri"/>
      </rPr>
      <t xml:space="preserve">
</t>
    </r>
    <r>
      <rPr>
        <sz val="11"/>
        <color rgb="FF000000"/>
        <rFont val="Calibri"/>
      </rPr>
      <t xml:space="preserve">    mappingMethod: claim </t>
    </r>
    <r>
      <rPr>
        <sz val="11"/>
        <color rgb="FF000000"/>
        <rFont val="Calibri"/>
      </rPr>
      <t xml:space="preserve">
</t>
    </r>
    <r>
      <rPr>
        <sz val="11"/>
        <color rgb="FF000000"/>
        <rFont val="Calibri"/>
      </rPr>
      <t xml:space="preserve">    type: LDAP</t>
    </r>
    <r>
      <rPr>
        <sz val="11"/>
        <color rgb="FF000000"/>
        <rFont val="Calibri"/>
      </rPr>
      <t xml:space="preserve">
</t>
    </r>
    <r>
      <rPr>
        <sz val="11"/>
        <color rgb="FF000000"/>
        <rFont val="Calibri"/>
      </rPr>
      <t xml:space="preserve">    ldap:</t>
    </r>
    <r>
      <rPr>
        <sz val="11"/>
        <color rgb="FF000000"/>
        <rFont val="Calibri"/>
      </rPr>
      <t xml:space="preserve">
</t>
    </r>
    <r>
      <rPr>
        <sz val="11"/>
        <color rgb="FF000000"/>
        <rFont val="Calibri"/>
      </rPr>
      <t xml:space="preserve">      attributes:</t>
    </r>
    <r>
      <rPr>
        <sz val="11"/>
        <color rgb="FF000000"/>
        <rFont val="Calibri"/>
      </rPr>
      <t xml:space="preserve">
</t>
    </r>
    <r>
      <rPr>
        <sz val="11"/>
        <color rgb="FF000000"/>
        <rFont val="Calibri"/>
      </rPr>
      <t xml:space="preserve">        id: </t>
    </r>
    <r>
      <rPr>
        <sz val="11"/>
        <color rgb="FF000000"/>
        <rFont val="Calibri"/>
      </rPr>
      <t xml:space="preserve">
</t>
    </r>
    <r>
      <rPr>
        <sz val="11"/>
        <color rgb="FF000000"/>
        <rFont val="Calibri"/>
      </rPr>
      <t xml:space="preserve">        - dn</t>
    </r>
    <r>
      <rPr>
        <sz val="11"/>
        <color rgb="FF000000"/>
        <rFont val="Calibri"/>
      </rPr>
      <t xml:space="preserve">
</t>
    </r>
    <r>
      <rPr>
        <sz val="11"/>
        <color rgb="FF000000"/>
        <rFont val="Calibri"/>
      </rPr>
      <t xml:space="preserve">        email: </t>
    </r>
    <r>
      <rPr>
        <sz val="11"/>
        <color rgb="FF000000"/>
        <rFont val="Calibri"/>
      </rPr>
      <t xml:space="preserve">
</t>
    </r>
    <r>
      <rPr>
        <sz val="11"/>
        <color rgb="FF000000"/>
        <rFont val="Calibri"/>
      </rPr>
      <t xml:space="preserve">        - mail</t>
    </r>
    <r>
      <rPr>
        <sz val="11"/>
        <color rgb="FF000000"/>
        <rFont val="Calibri"/>
      </rPr>
      <t xml:space="preserve">
</t>
    </r>
    <r>
      <rPr>
        <sz val="11"/>
        <color rgb="FF000000"/>
        <rFont val="Calibri"/>
      </rPr>
      <t xml:space="preserve">        name: </t>
    </r>
    <r>
      <rPr>
        <sz val="11"/>
        <color rgb="FF000000"/>
        <rFont val="Calibri"/>
      </rPr>
      <t xml:space="preserve">
</t>
    </r>
    <r>
      <rPr>
        <sz val="11"/>
        <color rgb="FF000000"/>
        <rFont val="Calibri"/>
      </rPr>
      <t xml:space="preserve">        - cn</t>
    </r>
    <r>
      <rPr>
        <sz val="11"/>
        <color rgb="FF000000"/>
        <rFont val="Calibri"/>
      </rPr>
      <t xml:space="preserve">
</t>
    </r>
    <r>
      <rPr>
        <sz val="11"/>
        <color rgb="FF000000"/>
        <rFont val="Calibri"/>
      </rPr>
      <t xml:space="preserve">        preferredUsername: </t>
    </r>
    <r>
      <rPr>
        <sz val="11"/>
        <color rgb="FF000000"/>
        <rFont val="Calibri"/>
      </rPr>
      <t xml:space="preserve">
</t>
    </r>
    <r>
      <rPr>
        <sz val="11"/>
        <color rgb="FF000000"/>
        <rFont val="Calibri"/>
      </rPr>
      <t xml:space="preserve">        - uid</t>
    </r>
    <r>
      <rPr>
        <sz val="11"/>
        <color rgb="FF000000"/>
        <rFont val="Calibri"/>
      </rPr>
      <t xml:space="preserve">
</t>
    </r>
    <r>
      <rPr>
        <sz val="11"/>
        <color rgb="FF000000"/>
        <rFont val="Calibri"/>
      </rPr>
      <t xml:space="preserve">      bindDN: &lt;"bindDN"&gt;</t>
    </r>
    <r>
      <rPr>
        <sz val="11"/>
        <color rgb="FF000000"/>
        <rFont val="Calibri"/>
      </rPr>
      <t xml:space="preserve">
</t>
    </r>
    <r>
      <rPr>
        <sz val="11"/>
        <color rgb="FF000000"/>
        <rFont val="Calibri"/>
      </rPr>
      <t xml:space="preserve">      bindPassword: </t>
    </r>
    <r>
      <rPr>
        <sz val="11"/>
        <color rgb="FF000000"/>
        <rFont val="Calibri"/>
      </rPr>
      <t xml:space="preserve">
</t>
    </r>
    <r>
      <rPr>
        <sz val="11"/>
        <color rgb="FF000000"/>
        <rFont val="Calibri"/>
      </rPr>
      <t xml:space="preserve">        name: ldap-secret</t>
    </r>
    <r>
      <rPr>
        <sz val="11"/>
        <color rgb="FF000000"/>
        <rFont val="Calibri"/>
      </rPr>
      <t xml:space="preserve">
</t>
    </r>
    <r>
      <rPr>
        <sz val="11"/>
        <color rgb="FF000000"/>
        <rFont val="Calibri"/>
      </rPr>
      <t xml:space="preserve">      ca: </t>
    </r>
    <r>
      <rPr>
        <sz val="11"/>
        <color rgb="FF000000"/>
        <rFont val="Calibri"/>
      </rPr>
      <t xml:space="preserve">
</t>
    </r>
    <r>
      <rPr>
        <sz val="11"/>
        <color rgb="FF000000"/>
        <rFont val="Calibri"/>
      </rPr>
      <t xml:space="preserve">        name: ca-config-map</t>
    </r>
    <r>
      <rPr>
        <sz val="11"/>
        <color rgb="FF000000"/>
        <rFont val="Calibri"/>
      </rPr>
      <t xml:space="preserve">
</t>
    </r>
    <r>
      <rPr>
        <sz val="11"/>
        <color rgb="FF000000"/>
        <rFont val="Calibri"/>
      </rPr>
      <t xml:space="preserve">      insecure: false </t>
    </r>
    <r>
      <rPr>
        <sz val="11"/>
        <color rgb="FF000000"/>
        <rFont val="Calibri"/>
      </rPr>
      <t xml:space="preserve">
</t>
    </r>
    <r>
      <rPr>
        <sz val="11"/>
        <color rgb="FF000000"/>
        <rFont val="Calibri"/>
      </rPr>
      <t xml:space="preserve">      url: &lt;URL&gt; </t>
    </r>
    <r>
      <rPr>
        <sz val="11"/>
        <color rgb="FF000000"/>
        <rFont val="Calibri"/>
      </rPr>
      <t xml:space="preserve">
</t>
    </r>
    <r>
      <rPr>
        <sz val="11"/>
        <color rgb="FF000000"/>
        <rFont val="Calibri"/>
      </rPr>
      <t>4. Apply LDAP config to cluster by executing the following: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oc apply -f ldapidp.yaml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For more information on configuring an LDAP provider, refer to https://docs.openshift.com/container-platform/4.8/authentication/identity_providers/configuring-ldap-identity-provider.html.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configure OpenID provider:</t>
    </r>
    <r>
      <rPr>
        <sz val="11"/>
        <color rgb="FF000000"/>
        <rFont val="Calibri"/>
      </rPr>
      <t xml:space="preserve">
</t>
    </r>
    <r>
      <rPr>
        <sz val="11"/>
        <color rgb="FF000000"/>
        <rFont val="Calibri"/>
      </rPr>
      <t>1. Create Secret for Client Secret by executing the following: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oc create secret generic idp-secret --from-literal=clientSecret=&lt;secret&gt; -n openshift-config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2. Create config map for OpenID Trust CA by executing the following: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oc create configmap ca-config-map --from-file=ca.crt=/path/to/ca -n openshift-config</t>
    </r>
    <r>
      <rPr>
        <sz val="11"/>
        <color rgb="FF000000"/>
        <rFont val="Calibri"/>
      </rPr>
      <t xml:space="preserve">
</t>
    </r>
    <r>
      <rPr>
        <sz val="11"/>
        <color rgb="FF000000"/>
        <rFont val="Calibri"/>
      </rPr>
      <t>3. Create OpenID Auth Config Resource YAML.</t>
    </r>
    <r>
      <rPr>
        <sz val="11"/>
        <color rgb="FF000000"/>
        <rFont val="Calibri"/>
      </rPr>
      <t xml:space="preserve">
</t>
    </r>
    <r>
      <rPr>
        <sz val="11"/>
        <color rgb="FF000000"/>
        <rFont val="Calibri"/>
      </rPr>
      <t>Using the preferred text editor, create a file named oidcidp.yaml using the example content (replacing config values as appropriate).</t>
    </r>
    <r>
      <rPr>
        <sz val="11"/>
        <color rgb="FF000000"/>
        <rFont val="Calibri"/>
      </rPr>
      <t xml:space="preserve">
</t>
    </r>
    <r>
      <rPr>
        <sz val="11"/>
        <color rgb="FF000000"/>
        <rFont val="Calibri"/>
      </rPr>
      <t>apiVersion: config.openshift.io/v1</t>
    </r>
    <r>
      <rPr>
        <sz val="11"/>
        <color rgb="FF000000"/>
        <rFont val="Calibri"/>
      </rPr>
      <t xml:space="preserve">
</t>
    </r>
    <r>
      <rPr>
        <sz val="11"/>
        <color rgb="FF000000"/>
        <rFont val="Calibri"/>
      </rPr>
      <t>kind: OAuth</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cluster</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identityProviders:</t>
    </r>
    <r>
      <rPr>
        <sz val="11"/>
        <color rgb="FF000000"/>
        <rFont val="Calibri"/>
      </rPr>
      <t xml:space="preserve">
</t>
    </r>
    <r>
      <rPr>
        <sz val="11"/>
        <color rgb="FF000000"/>
        <rFont val="Calibri"/>
      </rPr>
      <t xml:space="preserve">  - name: oidcidp</t>
    </r>
    <r>
      <rPr>
        <sz val="11"/>
        <color rgb="FF000000"/>
        <rFont val="Calibri"/>
      </rPr>
      <t xml:space="preserve">
</t>
    </r>
    <r>
      <rPr>
        <sz val="11"/>
        <color rgb="FF000000"/>
        <rFont val="Calibri"/>
      </rPr>
      <t xml:space="preserve">    mappingMethod: claim</t>
    </r>
    <r>
      <rPr>
        <sz val="11"/>
        <color rgb="FF000000"/>
        <rFont val="Calibri"/>
      </rPr>
      <t xml:space="preserve">
</t>
    </r>
    <r>
      <rPr>
        <sz val="11"/>
        <color rgb="FF000000"/>
        <rFont val="Calibri"/>
      </rPr>
      <t xml:space="preserve">    type: OpenID</t>
    </r>
    <r>
      <rPr>
        <sz val="11"/>
        <color rgb="FF000000"/>
        <rFont val="Calibri"/>
      </rPr>
      <t xml:space="preserve">
</t>
    </r>
    <r>
      <rPr>
        <sz val="11"/>
        <color rgb="FF000000"/>
        <rFont val="Calibri"/>
      </rPr>
      <t xml:space="preserve">    openID:</t>
    </r>
    <r>
      <rPr>
        <sz val="11"/>
        <color rgb="FF000000"/>
        <rFont val="Calibri"/>
      </rPr>
      <t xml:space="preserve">
</t>
    </r>
    <r>
      <rPr>
        <sz val="11"/>
        <color rgb="FF000000"/>
        <rFont val="Calibri"/>
      </rPr>
      <t xml:space="preserve">      clientID: &lt;clientID&gt;</t>
    </r>
    <r>
      <rPr>
        <sz val="11"/>
        <color rgb="FF000000"/>
        <rFont val="Calibri"/>
      </rPr>
      <t xml:space="preserve">
</t>
    </r>
    <r>
      <rPr>
        <sz val="11"/>
        <color rgb="FF000000"/>
        <rFont val="Calibri"/>
      </rPr>
      <t xml:space="preserve">      clientSecret:</t>
    </r>
    <r>
      <rPr>
        <sz val="11"/>
        <color rgb="FF000000"/>
        <rFont val="Calibri"/>
      </rPr>
      <t xml:space="preserve">
</t>
    </r>
    <r>
      <rPr>
        <sz val="11"/>
        <color rgb="FF000000"/>
        <rFont val="Calibri"/>
      </rPr>
      <t xml:space="preserve">        name: oidc-idp-secret</t>
    </r>
    <r>
      <rPr>
        <sz val="11"/>
        <color rgb="FF000000"/>
        <rFont val="Calibri"/>
      </rPr>
      <t xml:space="preserve">
</t>
    </r>
    <r>
      <rPr>
        <sz val="11"/>
        <color rgb="FF000000"/>
        <rFont val="Calibri"/>
      </rPr>
      <t xml:space="preserve">      claims:</t>
    </r>
    <r>
      <rPr>
        <sz val="11"/>
        <color rgb="FF000000"/>
        <rFont val="Calibri"/>
      </rPr>
      <t xml:space="preserve">
</t>
    </r>
    <r>
      <rPr>
        <sz val="11"/>
        <color rgb="FF000000"/>
        <rFont val="Calibri"/>
      </rPr>
      <t xml:space="preserve">        preferredUsername:</t>
    </r>
    <r>
      <rPr>
        <sz val="11"/>
        <color rgb="FF000000"/>
        <rFont val="Calibri"/>
      </rPr>
      <t xml:space="preserve">
</t>
    </r>
    <r>
      <rPr>
        <sz val="11"/>
        <color rgb="FF000000"/>
        <rFont val="Calibri"/>
      </rPr>
      <t xml:space="preserve">        - preferred_username</t>
    </r>
    <r>
      <rPr>
        <sz val="11"/>
        <color rgb="FF000000"/>
        <rFont val="Calibri"/>
      </rPr>
      <t xml:space="preserve">
</t>
    </r>
    <r>
      <rPr>
        <sz val="11"/>
        <color rgb="FF000000"/>
        <rFont val="Calibri"/>
      </rPr>
      <t xml:space="preserve">        name:</t>
    </r>
    <r>
      <rPr>
        <sz val="11"/>
        <color rgb="FF000000"/>
        <rFont val="Calibri"/>
      </rPr>
      <t xml:space="preserve">
</t>
    </r>
    <r>
      <rPr>
        <sz val="11"/>
        <color rgb="FF000000"/>
        <rFont val="Calibri"/>
      </rPr>
      <t xml:space="preserve">        - name</t>
    </r>
    <r>
      <rPr>
        <sz val="11"/>
        <color rgb="FF000000"/>
        <rFont val="Calibri"/>
      </rPr>
      <t xml:space="preserve">
</t>
    </r>
    <r>
      <rPr>
        <sz val="11"/>
        <color rgb="FF000000"/>
        <rFont val="Calibri"/>
      </rPr>
      <t xml:space="preserve">        email:</t>
    </r>
    <r>
      <rPr>
        <sz val="11"/>
        <color rgb="FF000000"/>
        <rFont val="Calibri"/>
      </rPr>
      <t xml:space="preserve">
</t>
    </r>
    <r>
      <rPr>
        <sz val="11"/>
        <color rgb="FF000000"/>
        <rFont val="Calibri"/>
      </rPr>
      <t xml:space="preserve">        - email</t>
    </r>
    <r>
      <rPr>
        <sz val="11"/>
        <color rgb="FF000000"/>
        <rFont val="Calibri"/>
      </rPr>
      <t xml:space="preserve">
</t>
    </r>
    <r>
      <rPr>
        <sz val="11"/>
        <color rgb="FF000000"/>
        <rFont val="Calibri"/>
      </rPr>
      <t xml:space="preserve">      ca:</t>
    </r>
    <r>
      <rPr>
        <sz val="11"/>
        <color rgb="FF000000"/>
        <rFont val="Calibri"/>
      </rPr>
      <t xml:space="preserve">
</t>
    </r>
    <r>
      <rPr>
        <sz val="11"/>
        <color rgb="FF000000"/>
        <rFont val="Calibri"/>
      </rPr>
      <t xml:space="preserve">        name: ca-config-map</t>
    </r>
    <r>
      <rPr>
        <sz val="11"/>
        <color rgb="FF000000"/>
        <rFont val="Calibri"/>
      </rPr>
      <t xml:space="preserve">
</t>
    </r>
    <r>
      <rPr>
        <sz val="11"/>
        <color rgb="FF000000"/>
        <rFont val="Calibri"/>
      </rPr>
      <t xml:space="preserve">      issuer: &lt;URL&gt;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4. Apply OpenID config to cluster by executing the following: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oc apply -f ldapidp.yaml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For more information on configuring an OpenID provider, refer to https://docs.openshift.com/container-platform/4.8/authentication/identity_providers/configuring-oidc-identity-provider.html.</t>
    </r>
  </si>
  <si>
    <r>
      <rPr>
        <sz val="11"/>
        <color rgb="FF000000"/>
        <rFont val="Calibri"/>
      </rPr>
      <t>OpenShift supports several different types of identity providers. To add users and grant access to OpenShift, an identity provider must be configured. Some of the identity provider types such as HTPassword only provide simple user management and are not intended for production. Other types are public services like GitHub. These provider types are not appropriate as they are managed by public service providers, and therefore are unable to enforce the organizations account management requirements.</t>
    </r>
    <r>
      <rPr>
        <sz val="11"/>
        <color rgb="FF000000"/>
        <rFont val="Calibri"/>
      </rPr>
      <t xml:space="preserve">
</t>
    </r>
    <r>
      <rPr>
        <sz val="11"/>
        <color rgb="FF000000"/>
        <rFont val="Calibri"/>
      </rPr>
      <t>Use either the LDAP or the OpenIDConnect Identity Provider type to configure OpenShift to use the organizations centrally managed IdP that is able to enforce the organization's policies regarding user identity management.</t>
    </r>
  </si>
  <si>
    <r>
      <rPr>
        <sz val="11"/>
        <color rgb="FF000000"/>
        <rFont val="Calibri"/>
      </rPr>
      <t>Verify the authentication operator is configured to use either an LDAP or a OpenIDConnect provider by executing the following:</t>
    </r>
    <r>
      <rPr>
        <sz val="11"/>
        <color rgb="FF000000"/>
        <rFont val="Calibri"/>
      </rPr>
      <t xml:space="preserve">
</t>
    </r>
    <r>
      <rPr>
        <sz val="11"/>
        <color rgb="FF000000"/>
        <rFont val="Calibri"/>
      </rPr>
      <t>oc get oauth cluster -o jsonpath="{.spec.identityProviders[*].type}{'\n'}"</t>
    </r>
    <r>
      <rPr>
        <sz val="11"/>
        <color rgb="FF000000"/>
        <rFont val="Calibri"/>
      </rPr>
      <t xml:space="preserve">
</t>
    </r>
    <r>
      <rPr>
        <sz val="11"/>
        <color rgb="FF000000"/>
        <rFont val="Calibri"/>
      </rPr>
      <t>If the output lists any other type besides LDAP or OpenID, this is a finding.</t>
    </r>
  </si>
  <si>
    <t>V-257508</t>
  </si>
  <si>
    <r>
      <rPr>
        <sz val="11"/>
        <rFont val="Calibri"/>
      </rPr>
      <t>The kubeadmin account must be disabled.</t>
    </r>
  </si>
  <si>
    <r>
      <rPr>
        <sz val="11"/>
        <color rgb="FF000000"/>
        <rFont val="Calibri"/>
      </rPr>
      <t>If an alternative IDP is already configured and an administrative user exists with the role of cluster-admin, disable the kubeadmin account by running the following command as a cluster administrator:</t>
    </r>
    <r>
      <rPr>
        <sz val="11"/>
        <color rgb="FF000000"/>
        <rFont val="Calibri"/>
      </rPr>
      <t xml:space="preserve">
</t>
    </r>
    <r>
      <rPr>
        <sz val="11"/>
        <color rgb="FF000000"/>
        <rFont val="Calibri"/>
      </rPr>
      <t>oc delete secrets kubeadmin -n kube-system</t>
    </r>
  </si>
  <si>
    <r>
      <rPr>
        <sz val="11"/>
        <color rgb="FF000000"/>
        <rFont val="Calibri"/>
      </rPr>
      <t>Using a centralized user management solution for account management functions enhances security, simplifies administration, improves user experience, facilitates compliance, and provides scalability and integration capabilities. It is a foundational element of effective identity and access management practices.</t>
    </r>
    <r>
      <rPr>
        <sz val="11"/>
        <color rgb="FF000000"/>
        <rFont val="Calibri"/>
      </rPr>
      <t xml:space="preserve">
</t>
    </r>
    <r>
      <rPr>
        <sz val="11"/>
        <color rgb="FF000000"/>
        <rFont val="Calibri"/>
      </rPr>
      <t>OpenShift supports several different types of identity providers. To add users and grant access to OpenShift, an identity provider needs to be configured. Some of the identity provider types, such as HTPassword, only provide simple user management and are not intended for production. Other types are public services, like GitHub. These provider types may not be appropriate as they are managed by public service providers and therefore are unable to enforce the organizations account management requirements.</t>
    </r>
    <r>
      <rPr>
        <sz val="11"/>
        <color rgb="FF000000"/>
        <rFont val="Calibri"/>
      </rPr>
      <t xml:space="preserve">
</t>
    </r>
    <r>
      <rPr>
        <sz val="11"/>
        <color rgb="FF000000"/>
        <rFont val="Calibri"/>
      </rPr>
      <t>After a new install, the default authentication uses kubeadmin as the default cluster-admin account. This default account must be disabled and another user account must be given cluster-admin rights.</t>
    </r>
  </si>
  <si>
    <r>
      <rPr>
        <sz val="11"/>
        <color rgb="FF000000"/>
        <rFont val="Calibri"/>
      </rPr>
      <t>Verify the kubeadmin account is disabled by executing the following:</t>
    </r>
    <r>
      <rPr>
        <sz val="11"/>
        <color rgb="FF000000"/>
        <rFont val="Calibri"/>
      </rPr>
      <t xml:space="preserve">
</t>
    </r>
    <r>
      <rPr>
        <sz val="11"/>
        <color rgb="FF000000"/>
        <rFont val="Calibri"/>
      </rPr>
      <t>oc get secrets kubeadmin -n kube-system</t>
    </r>
    <r>
      <rPr>
        <sz val="11"/>
        <color rgb="FF000000"/>
        <rFont val="Calibri"/>
      </rPr>
      <t xml:space="preserve">
</t>
    </r>
    <r>
      <rPr>
        <sz val="11"/>
        <color rgb="FF000000"/>
        <rFont val="Calibri"/>
      </rPr>
      <t>If the command returns an error, the secret was not found, and this is not a finding.</t>
    </r>
    <r>
      <rPr>
        <sz val="11"/>
        <color rgb="FF000000"/>
        <rFont val="Calibri"/>
      </rPr>
      <t xml:space="preserve">
</t>
    </r>
    <r>
      <rPr>
        <sz val="11"/>
        <color rgb="FF000000"/>
        <rFont val="Calibri"/>
      </rPr>
      <t>(Example output:</t>
    </r>
    <r>
      <rPr>
        <sz val="11"/>
        <color rgb="FF000000"/>
        <rFont val="Calibri"/>
      </rPr>
      <t xml:space="preserve">
</t>
    </r>
    <r>
      <rPr>
        <sz val="11"/>
        <color rgb="FF000000"/>
        <rFont val="Calibri"/>
      </rPr>
      <t>Error from server (NotFound): secrets "kubeadmin" not found)</t>
    </r>
    <r>
      <rPr>
        <sz val="11"/>
        <color rgb="FF000000"/>
        <rFont val="Calibri"/>
      </rPr>
      <t xml:space="preserve">
</t>
    </r>
    <r>
      <rPr>
        <sz val="11"/>
        <color rgb="FF000000"/>
        <rFont val="Calibri"/>
      </rPr>
      <t>If the command returns a listing that includes the kubeadmin secret, its type, the data count, and age, this is a finding.</t>
    </r>
    <r>
      <rPr>
        <sz val="11"/>
        <color rgb="FF000000"/>
        <rFont val="Calibri"/>
      </rPr>
      <t xml:space="preserve">
</t>
    </r>
    <r>
      <rPr>
        <sz val="11"/>
        <color rgb="FF000000"/>
        <rFont val="Calibri"/>
      </rPr>
      <t xml:space="preserve">(Example Output for not a finding: </t>
    </r>
    <r>
      <rPr>
        <sz val="11"/>
        <color rgb="FF000000"/>
        <rFont val="Calibri"/>
      </rPr>
      <t xml:space="preserve">
</t>
    </r>
    <r>
      <rPr>
        <sz val="11"/>
        <color rgb="FF000000"/>
        <rFont val="Calibri"/>
      </rPr>
      <t>NAME        TYPE     DATA   AGE</t>
    </r>
    <r>
      <rPr>
        <sz val="11"/>
        <color rgb="FF000000"/>
        <rFont val="Calibri"/>
      </rPr>
      <t xml:space="preserve">
</t>
    </r>
    <r>
      <rPr>
        <sz val="11"/>
        <color rgb="FF000000"/>
        <rFont val="Calibri"/>
      </rPr>
      <t>kubeadmin   Opaque   1      6h3m)</t>
    </r>
  </si>
  <si>
    <t>V-257509</t>
  </si>
  <si>
    <r>
      <rPr>
        <sz val="11"/>
        <rFont val="Calibri"/>
      </rPr>
      <t>OpenShift must automatically audit account creation.</t>
    </r>
  </si>
  <si>
    <r>
      <rPr>
        <sz val="11"/>
        <color rgb="FF000000"/>
        <rFont val="Calibri"/>
      </rPr>
      <t>Apply the machine config using the following command:</t>
    </r>
    <r>
      <rPr>
        <sz val="11"/>
        <color rgb="FF000000"/>
        <rFont val="Calibri"/>
      </rPr>
      <t xml:space="preserve">
</t>
    </r>
    <r>
      <rPr>
        <sz val="11"/>
        <color rgb="FF000000"/>
        <rFont val="Calibri"/>
      </rPr>
      <t>for mcpool in $(oc get mcp -oname | sed "s:.*/::" ); do</t>
    </r>
    <r>
      <rPr>
        <sz val="11"/>
        <color rgb="FF000000"/>
        <rFont val="Calibri"/>
      </rPr>
      <t xml:space="preserve">
</t>
    </r>
    <r>
      <rPr>
        <sz val="11"/>
        <color rgb="FF000000"/>
        <rFont val="Calibri"/>
      </rPr>
      <t>echo "apiVersion: machineconfiguration.openshift.io/v1</t>
    </r>
    <r>
      <rPr>
        <sz val="11"/>
        <color rgb="FF000000"/>
        <rFont val="Calibri"/>
      </rPr>
      <t xml:space="preserve">
</t>
    </r>
    <r>
      <rPr>
        <sz val="11"/>
        <color rgb="FF000000"/>
        <rFont val="Calibri"/>
      </rPr>
      <t>kind: MachineConfig</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75-account-modifications-rules-$mcpool</t>
    </r>
    <r>
      <rPr>
        <sz val="11"/>
        <color rgb="FF000000"/>
        <rFont val="Calibri"/>
      </rPr>
      <t xml:space="preserve">
</t>
    </r>
    <r>
      <rPr>
        <sz val="11"/>
        <color rgb="FF000000"/>
        <rFont val="Calibri"/>
      </rPr>
      <t xml:space="preserve">  labels:</t>
    </r>
    <r>
      <rPr>
        <sz val="11"/>
        <color rgb="FF000000"/>
        <rFont val="Calibri"/>
      </rPr>
      <t xml:space="preserve">
</t>
    </r>
    <r>
      <rPr>
        <sz val="11"/>
        <color rgb="FF000000"/>
        <rFont val="Calibri"/>
      </rPr>
      <t xml:space="preserve">    machineconfiguration.openshift.io/role: $mcpool</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config:</t>
    </r>
    <r>
      <rPr>
        <sz val="11"/>
        <color rgb="FF000000"/>
        <rFont val="Calibri"/>
      </rPr>
      <t xml:space="preserve">
</t>
    </r>
    <r>
      <rPr>
        <sz val="11"/>
        <color rgb="FF000000"/>
        <rFont val="Calibri"/>
      </rPr>
      <t xml:space="preserve">    ignition:</t>
    </r>
    <r>
      <rPr>
        <sz val="11"/>
        <color rgb="FF000000"/>
        <rFont val="Calibri"/>
      </rPr>
      <t xml:space="preserve">
</t>
    </r>
    <r>
      <rPr>
        <sz val="11"/>
        <color rgb="FF000000"/>
        <rFont val="Calibri"/>
      </rPr>
      <t xml:space="preserve">      version: 3.1.0</t>
    </r>
    <r>
      <rPr>
        <sz val="11"/>
        <color rgb="FF000000"/>
        <rFont val="Calibri"/>
      </rPr>
      <t xml:space="preserve">
</t>
    </r>
    <r>
      <rPr>
        <sz val="11"/>
        <color rgb="FF000000"/>
        <rFont val="Calibri"/>
      </rPr>
      <t xml:space="preserve">    storage:</t>
    </r>
    <r>
      <rPr>
        <sz val="11"/>
        <color rgb="FF000000"/>
        <rFont val="Calibri"/>
      </rPr>
      <t xml:space="preserve">
</t>
    </r>
    <r>
      <rPr>
        <sz val="11"/>
        <color rgb="FF000000"/>
        <rFont val="Calibri"/>
      </rPr>
      <t xml:space="preserve">      files:</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data:,-w%20/etc/sudoers.d/%20-p%20wa%20-k%20actions%0A-w%20/etc/sudoers%20-p%20wa%20-k%20actions%0A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/etc/audit/rules.d/75-audit-sysadmin-actions.rules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data:,-w%20/etc/group%20-p%20wa%20-k%20audit_rules_usergroup_modification%0A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/etc/audit/rules.d/30-etc_group_usergroup_modification.rules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data:,-w%20/etc/gshadow%20-p%20wa%20-k%20audit_rules_usergroup_modification%0A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/etc/audit/rules.d/30-etc_gshadow_usergroup_modification.rules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data:,-w%20/etc/security/opasswd%20-p%20wa%20-k%20audit_rules_usergroup_modification%0A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/etc/audit/rules.d/30-etc_security_opasswd_usergroup_modification.rules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data:,-w%20/etc/passwd%20-p%20wa%20-k%20audit_rules_usergroup_modification%0A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/etc/audit/rules.d/30-etc_passwd_usergroup_modification.rules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data:,-w%20/etc/shadow%20-p%20wa%20-k%20audit_rules_usergroup_modification%0A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/etc/audit/rules.d/30-etc_shadow_usergroup_modification.rules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 oc apply -f -</t>
    </r>
    <r>
      <rPr>
        <sz val="11"/>
        <color rgb="FF000000"/>
        <rFont val="Calibri"/>
      </rPr>
      <t xml:space="preserve">
</t>
    </r>
    <r>
      <rPr>
        <sz val="11"/>
        <color rgb="FF000000"/>
        <rFont val="Calibri"/>
      </rPr>
      <t>done</t>
    </r>
  </si>
  <si>
    <r>
      <rPr>
        <sz val="11"/>
        <color rgb="FF000000"/>
        <rFont val="Calibri"/>
      </rPr>
      <t>Once an attacker establishes access to a system, the attacker often attempts to create a persistent method of reestablishing access. One way to accomplish this is for the attacker to create a new account. Auditing account creation is one method for mitigating this risk.</t>
    </r>
    <r>
      <rPr>
        <sz val="11"/>
        <color rgb="FF000000"/>
        <rFont val="Calibri"/>
      </rPr>
      <t xml:space="preserve">
</t>
    </r>
    <r>
      <rPr>
        <sz val="11"/>
        <color rgb="FF000000"/>
        <rFont val="Calibri"/>
      </rPr>
      <t>A comprehensive account management process will ensure an audit trail documents the creation of application user accounts and, as required, notifies administrators and/or application owners exists. Such a process greatly reduces the risk that accounts will be surreptitiously created and provides logging that can be used for forensic purposes.</t>
    </r>
    <r>
      <rPr>
        <sz val="11"/>
        <color rgb="FF000000"/>
        <rFont val="Calibri"/>
      </rPr>
      <t xml:space="preserve">
</t>
    </r>
    <r>
      <rPr>
        <sz val="11"/>
        <color rgb="FF000000"/>
        <rFont val="Calibri"/>
      </rPr>
      <t>To address access requirements, many application developers choose to integrate their applications with enterprise-level authentication/access/auditing mechanisms that meet or exceed access control policy requirements. Such integration allows the application developer to off-load those access control functions and focus on core application features and functionality.</t>
    </r>
  </si>
  <si>
    <r>
      <rPr>
        <sz val="11"/>
        <color rgb="FF000000"/>
        <rFont val="Calibri"/>
      </rPr>
      <t>Verify Red Hat Enterprise Linux CoreOS (RHCOS) generates audit records for all account creations, modifications, disabling, and termination events that affect "/etc/shadow".</t>
    </r>
    <r>
      <rPr>
        <sz val="11"/>
        <color rgb="FF000000"/>
        <rFont val="Calibri"/>
      </rPr>
      <t xml:space="preserve">
</t>
    </r>
    <r>
      <rPr>
        <sz val="11"/>
        <color rgb="FF000000"/>
        <rFont val="Calibri"/>
      </rPr>
      <t>Logging on as administrator, check the auditing rules in "/etc/audit/audit.rules" by executing the following:</t>
    </r>
    <r>
      <rPr>
        <sz val="11"/>
        <color rgb="FF000000"/>
        <rFont val="Calibri"/>
      </rPr>
      <t xml:space="preserve">
</t>
    </r>
    <r>
      <rPr>
        <sz val="11"/>
        <color rgb="FF000000"/>
        <rFont val="Calibri"/>
      </rPr>
      <t>for node in $(oc get node -oname); do oc debug $node -- chroot /host /bin/bash -c 'echo -n "$HOSTNAME: "; grep /etc/shadow /etc/audit/audit.rules /etc/audit/rules.d/*'; done</t>
    </r>
    <r>
      <rPr>
        <sz val="11"/>
        <color rgb="FF000000"/>
        <rFont val="Calibri"/>
      </rPr>
      <t xml:space="preserve">
</t>
    </r>
    <r>
      <rPr>
        <sz val="11"/>
        <color rgb="FF000000"/>
        <rFont val="Calibri"/>
      </rPr>
      <t>(Example output:</t>
    </r>
    <r>
      <rPr>
        <sz val="11"/>
        <color rgb="FF000000"/>
        <rFont val="Calibri"/>
      </rPr>
      <t xml:space="preserve">
</t>
    </r>
    <r>
      <rPr>
        <sz val="11"/>
        <color rgb="FF000000"/>
        <rFont val="Calibri"/>
      </rPr>
      <t>-w /etc/shadow -p wa -k identity)</t>
    </r>
    <r>
      <rPr>
        <sz val="11"/>
        <color rgb="FF000000"/>
        <rFont val="Calibri"/>
      </rPr>
      <t xml:space="preserve">
</t>
    </r>
    <r>
      <rPr>
        <sz val="11"/>
        <color rgb="FF000000"/>
        <rFont val="Calibri"/>
      </rPr>
      <t>If the command does not return a line, or the line is commented out, this is a finding.</t>
    </r>
  </si>
  <si>
    <t>V-257510</t>
  </si>
  <si>
    <r>
      <rPr>
        <sz val="11"/>
        <rFont val="Calibri"/>
      </rPr>
      <t>OpenShift must automatically audit account modification.</t>
    </r>
  </si>
  <si>
    <r>
      <rPr>
        <sz val="11"/>
        <color rgb="FF000000"/>
        <rFont val="Calibri"/>
      </rPr>
      <t>Once an attacker establishes access to a system, the attacker often attempts to create a persistent method of reestablishing access. One way to accomplish this is for the attacker to modify an existing account. Auditing of account modifications is one method for mitigating this risk.</t>
    </r>
    <r>
      <rPr>
        <sz val="11"/>
        <color rgb="FF000000"/>
        <rFont val="Calibri"/>
      </rPr>
      <t xml:space="preserve">
</t>
    </r>
    <r>
      <rPr>
        <sz val="11"/>
        <color rgb="FF000000"/>
        <rFont val="Calibri"/>
      </rPr>
      <t>A comprehensive account management process will ensure an audit trail documents the creation of application user accounts and, as required, notifies administrators and/or application owners exists. Such a process greatly reduces the risk that accounts will be surreptitiously modified and provides logging that can be used for forensic purposes.</t>
    </r>
    <r>
      <rPr>
        <sz val="11"/>
        <color rgb="FF000000"/>
        <rFont val="Calibri"/>
      </rPr>
      <t xml:space="preserve">
</t>
    </r>
    <r>
      <rPr>
        <sz val="11"/>
        <color rgb="FF000000"/>
        <rFont val="Calibri"/>
      </rPr>
      <t>To address access requirements, many application developers choose to integrate their applications with enterprise-level authentication/access/auditing mechanisms that meet or exceed access control policy requirements. Such integration allows the application developer to offload those access control functions and focus on core application features and functionality.</t>
    </r>
  </si>
  <si>
    <r>
      <rPr>
        <sz val="11"/>
        <color rgb="FF000000"/>
        <rFont val="Calibri"/>
      </rPr>
      <t>Verify for each of the files that contain account information the system is configured to emit an audit event in case of a write by executing the following:</t>
    </r>
    <r>
      <rPr>
        <sz val="11"/>
        <color rgb="FF000000"/>
        <rFont val="Calibri"/>
      </rPr>
      <t xml:space="preserve">
</t>
    </r>
    <r>
      <rPr>
        <sz val="11"/>
        <color rgb="FF000000"/>
        <rFont val="Calibri"/>
      </rPr>
      <t>for node in $(oc get node -oname); do oc debug $node -- chroot /host /bin/bash -c 'echo -n "$HOSTNAME "; for f in /etc/passwd /etc/group /etc/gshadow /etc/security/opasswd /etc/shadow /etc/sudoers /etc/sudoers.d/; do grep -q "\-w $f \-p wa \-k" /etc/audit/audit.rules || echo "rule for $f not found"; done' 2&gt;/dev/null; done</t>
    </r>
    <r>
      <rPr>
        <sz val="11"/>
        <color rgb="FF000000"/>
        <rFont val="Calibri"/>
      </rPr>
      <t xml:space="preserve">
</t>
    </r>
    <r>
      <rPr>
        <sz val="11"/>
        <color rgb="FF000000"/>
        <rFont val="Calibri"/>
      </rPr>
      <t>If for any of the files a line saying "rule for $filename not found" is printed, this is a finding.</t>
    </r>
  </si>
  <si>
    <t>V-257511</t>
  </si>
  <si>
    <r>
      <rPr>
        <sz val="11"/>
        <rFont val="Calibri"/>
      </rPr>
      <t>OpenShift must generate audit rules to capture account related actions.</t>
    </r>
  </si>
  <si>
    <r>
      <rPr>
        <sz val="11"/>
        <color rgb="FF000000"/>
        <rFont val="Calibri"/>
      </rPr>
      <t>Account management actions, such as creation, modification, disabling, removal, and enabling are important changes within the system.</t>
    </r>
    <r>
      <rPr>
        <sz val="11"/>
        <color rgb="FF000000"/>
        <rFont val="Calibri"/>
      </rPr>
      <t xml:space="preserve">
</t>
    </r>
    <r>
      <rPr>
        <sz val="11"/>
        <color rgb="FF000000"/>
        <rFont val="Calibri"/>
      </rPr>
      <t>When management actions are modified, user accessibility is affected. Once an attacker establishes access to an application, the attacker often attempts to disable authorized accounts to disrupt services or prevent the implementation of countermeasures. In the event of a security incident or policy violation, having detailed audit logs for account creation, modification, disabling, removal, and enabling actions is crucial for incident response and forensic investigations. These logs provide a trail of activities that can be analyzed to determine the cause, impact, and scope of the incident, aiding in the investigation and remediation process.</t>
    </r>
    <r>
      <rPr>
        <sz val="11"/>
        <color rgb="FF000000"/>
        <rFont val="Calibri"/>
      </rPr>
      <t xml:space="preserve">
</t>
    </r>
    <r>
      <rPr>
        <sz val="11"/>
        <color rgb="FF000000"/>
        <rFont val="Calibri"/>
      </rPr>
      <t>Satisfies: SRG-APP-000028-CTR-000080, SRG-APP-000291-CTR-000675, SRG-APP-000292-CTR-000680, SRG-APP-000293-CTR-000685, SRG-APP-000294-CTR-000690, SRG-APP-000319-CTR-000745, SRG-APP-000320-CTR-000750, SRG-APP-000509-CTR-001305</t>
    </r>
  </si>
  <si>
    <r>
      <rPr>
        <sz val="11"/>
        <color rgb="FF000000"/>
        <rFont val="Calibri"/>
      </rPr>
      <t>Verify the audit rules capture account creation, modification, disabling, removal, and enabling actions by executing the following:</t>
    </r>
    <r>
      <rPr>
        <sz val="11"/>
        <color rgb="FF000000"/>
        <rFont val="Calibri"/>
      </rPr>
      <t xml:space="preserve">
</t>
    </r>
    <r>
      <rPr>
        <sz val="11"/>
        <color rgb="FF000000"/>
        <rFont val="Calibri"/>
      </rPr>
      <t>for node in $(oc get node -oname); do oc debug $node -- chroot /host /bin/bash -c 'echo -n "$HOSTNAME "; grep -e user-modify -e group-modify -e audit_rules_usergroup_modification /etc/audit/rules.d/* /etc/audit/audit.rules' 2&gt;/dev/null; done</t>
    </r>
    <r>
      <rPr>
        <sz val="11"/>
        <color rgb="FF000000"/>
        <rFont val="Calibri"/>
      </rPr>
      <t xml:space="preserve">
</t>
    </r>
    <r>
      <rPr>
        <sz val="11"/>
        <color rgb="FF000000"/>
        <rFont val="Calibri"/>
      </rPr>
      <t>Confirm the following rules exist on each node:</t>
    </r>
    <r>
      <rPr>
        <sz val="11"/>
        <color rgb="FF000000"/>
        <rFont val="Calibri"/>
      </rPr>
      <t xml:space="preserve">
</t>
    </r>
    <r>
      <rPr>
        <sz val="11"/>
        <color rgb="FF000000"/>
        <rFont val="Calibri"/>
      </rPr>
      <t>-w /etc/group -p wa -k audit_rules_usergroup_modification</t>
    </r>
    <r>
      <rPr>
        <sz val="11"/>
        <color rgb="FF000000"/>
        <rFont val="Calibri"/>
      </rPr>
      <t xml:space="preserve">
</t>
    </r>
    <r>
      <rPr>
        <sz val="11"/>
        <color rgb="FF000000"/>
        <rFont val="Calibri"/>
      </rPr>
      <t>-w /etc/gshadow -p wa -k audit_rules_usergroup_modification</t>
    </r>
    <r>
      <rPr>
        <sz val="11"/>
        <color rgb="FF000000"/>
        <rFont val="Calibri"/>
      </rPr>
      <t xml:space="preserve">
</t>
    </r>
    <r>
      <rPr>
        <sz val="11"/>
        <color rgb="FF000000"/>
        <rFont val="Calibri"/>
      </rPr>
      <t>-w /etc/security/opasswd -p wa -k audit_rules_usergroup_modification</t>
    </r>
    <r>
      <rPr>
        <sz val="11"/>
        <color rgb="FF000000"/>
        <rFont val="Calibri"/>
      </rPr>
      <t xml:space="preserve">
</t>
    </r>
    <r>
      <rPr>
        <sz val="11"/>
        <color rgb="FF000000"/>
        <rFont val="Calibri"/>
      </rPr>
      <t>-w /etc/passwd -p wa -k audit_rules_usergroup_modification</t>
    </r>
    <r>
      <rPr>
        <sz val="11"/>
        <color rgb="FF000000"/>
        <rFont val="Calibri"/>
      </rPr>
      <t xml:space="preserve">
</t>
    </r>
    <r>
      <rPr>
        <sz val="11"/>
        <color rgb="FF000000"/>
        <rFont val="Calibri"/>
      </rPr>
      <t>-w /etc/shadow -p wa -k audit_rules_usergroup_modification</t>
    </r>
    <r>
      <rPr>
        <sz val="11"/>
        <color rgb="FF000000"/>
        <rFont val="Calibri"/>
      </rPr>
      <t xml:space="preserve">
</t>
    </r>
    <r>
      <rPr>
        <sz val="11"/>
        <color rgb="FF000000"/>
        <rFont val="Calibri"/>
      </rPr>
      <t>If the above rules are not listed on each node, this is a finding.</t>
    </r>
  </si>
  <si>
    <t>V-257512</t>
  </si>
  <si>
    <r>
      <rPr>
        <sz val="11"/>
        <rFont val="Calibri"/>
      </rPr>
      <t>Open Shift must automatically audit account removal actions.</t>
    </r>
  </si>
  <si>
    <r>
      <rPr>
        <sz val="11"/>
        <color rgb="FF000000"/>
        <rFont val="Calibri"/>
      </rPr>
      <t>Apply the machine config by executing the following:</t>
    </r>
    <r>
      <rPr>
        <sz val="11"/>
        <color rgb="FF000000"/>
        <rFont val="Calibri"/>
      </rPr>
      <t xml:space="preserve">
</t>
    </r>
    <r>
      <rPr>
        <sz val="11"/>
        <color rgb="FF000000"/>
        <rFont val="Calibri"/>
      </rPr>
      <t>for mcpool in $(oc get mcp -oname | sed "s:.*/::" ); do</t>
    </r>
    <r>
      <rPr>
        <sz val="11"/>
        <color rgb="FF000000"/>
        <rFont val="Calibri"/>
      </rPr>
      <t xml:space="preserve">
</t>
    </r>
    <r>
      <rPr>
        <sz val="11"/>
        <color rgb="FF000000"/>
        <rFont val="Calibri"/>
      </rPr>
      <t>echo "apiVersion: machineconfiguration.openshift.io/v1</t>
    </r>
    <r>
      <rPr>
        <sz val="11"/>
        <color rgb="FF000000"/>
        <rFont val="Calibri"/>
      </rPr>
      <t xml:space="preserve">
</t>
    </r>
    <r>
      <rPr>
        <sz val="11"/>
        <color rgb="FF000000"/>
        <rFont val="Calibri"/>
      </rPr>
      <t>kind: MachineConfig</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75-setuid-setgid-binaries-$mcpool</t>
    </r>
    <r>
      <rPr>
        <sz val="11"/>
        <color rgb="FF000000"/>
        <rFont val="Calibri"/>
      </rPr>
      <t xml:space="preserve">
</t>
    </r>
    <r>
      <rPr>
        <sz val="11"/>
        <color rgb="FF000000"/>
        <rFont val="Calibri"/>
      </rPr>
      <t xml:space="preserve">  labels:</t>
    </r>
    <r>
      <rPr>
        <sz val="11"/>
        <color rgb="FF000000"/>
        <rFont val="Calibri"/>
      </rPr>
      <t xml:space="preserve">
</t>
    </r>
    <r>
      <rPr>
        <sz val="11"/>
        <color rgb="FF000000"/>
        <rFont val="Calibri"/>
      </rPr>
      <t xml:space="preserve">    machineconfiguration.openshift.io/role: $mcpool</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config:</t>
    </r>
    <r>
      <rPr>
        <sz val="11"/>
        <color rgb="FF000000"/>
        <rFont val="Calibri"/>
      </rPr>
      <t xml:space="preserve">
</t>
    </r>
    <r>
      <rPr>
        <sz val="11"/>
        <color rgb="FF000000"/>
        <rFont val="Calibri"/>
      </rPr>
      <t xml:space="preserve">    ignition:</t>
    </r>
    <r>
      <rPr>
        <sz val="11"/>
        <color rgb="FF000000"/>
        <rFont val="Calibri"/>
      </rPr>
      <t xml:space="preserve">
</t>
    </r>
    <r>
      <rPr>
        <sz val="11"/>
        <color rgb="FF000000"/>
        <rFont val="Calibri"/>
      </rPr>
      <t xml:space="preserve">      version: 3.1.0</t>
    </r>
    <r>
      <rPr>
        <sz val="11"/>
        <color rgb="FF000000"/>
        <rFont val="Calibri"/>
      </rPr>
      <t xml:space="preserve">
</t>
    </r>
    <r>
      <rPr>
        <sz val="11"/>
        <color rgb="FF000000"/>
        <rFont val="Calibri"/>
      </rPr>
      <t xml:space="preserve">    storage:</t>
    </r>
    <r>
      <rPr>
        <sz val="11"/>
        <color rgb="FF000000"/>
        <rFont val="Calibri"/>
      </rPr>
      <t xml:space="preserve">
</t>
    </r>
    <r>
      <rPr>
        <sz val="11"/>
        <color rgb="FF000000"/>
        <rFont val="Calibri"/>
      </rPr>
      <t xml:space="preserve">      files:</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data:,-a%20always%2Cexit%20-F%20path%3D/usr/bin/chage%20-F%20auid%3E%3D1000%20-F%20auid%21%3Dunset%20-F%20key%3Dprivileged%0A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/etc/audit/rules.d/75-usr_bin_chage_execution.rules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data:,-a%20always%2Cexit%20-F%20path%3D/usr/bin/fusermount%20-F%20auid%3E%3D1000%20-F%20auid%21%3Dunset%20-F%20key%3Dprivileged%0A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/etc/audit/rules.d/75-usr_bin_fusermount_execution.rules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data:,-a%20always%2Cexit%20-F%20path%3D/usr/bin/fusermount3%20-F%20auid%3E%3D1000%20-F%20auid%21%3Dunset%20-F%20key%3Dprivileged%0A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/etc/audit/rules.d/75-usr_bin_fusermount3_execution.rules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data:,-a%20always%2Cexit%20-F%20path%3D/usr/bin/gpasswd%20-F%20auid%3E%3D1000%20-F%20auid%21%3Dunset%20-F%20key%3Dprivileged%0A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/etc/audit/rules.d/75-usr_bin_gpasswd_execution.rules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data:,-a%20always%2Cexit%20-F%20path%3D/usr/bin/mount%20-F%20auid%3E%3D1000%20-F%20auid%21%3Dunset%20-F%20key%3Dprivileged%0A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/etc/audit/rules.d/75-usr_bin_mount_execution.rules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data:,-a%20always%2Cexit%20-F%20path%3D/usr/bin/newgrp%20-F%20auid%3E%3D1000%20-F%20auid%21%3Dunset%20-F%20key%3Dprivileged%0A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/etc/audit/rules.d/75-usr_bin_newgrp_execution.rules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data:,-a%20always%2Cexit%20-F%20path%3D/usr/bin/passwd%20-F%20auid%3E%3D1000%20-F%20auid%21%3Dunset%20-F%20key%3Dprivileged%0A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/etc/audit/rules.d/75-usr_bin_passwd_execution.rules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data:,-a%20always%2Cexit%20-F%20path%3D/usr/bin/pkexec%20-F%20auid%3E%3D1000%20-F%20auid%21%3Dunset%20-F%20key%3Dprivileged%0A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/etc/audit/rules.d/75-usr_bin_pkexec_execution.rules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data:,-a%20always%2Cexit%20-F%20path%3D/usr/bin/su%20-F%20auid%3E%3D1000%20-F%20auid%21%3Dunset%20-F%20key%3Dprivileged%0A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/etc/audit/rules.d/75-usr_bin_su_execution.rules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data:,-a%20always%2Cexit%20-F%20path%3D/usr/bin/sudo%20-F%20auid%3E%3D1000%20-F%20auid%21%3Dunset%20-F%20key%3Dprivileged%0A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/etc/audit/rules.d/75-usr_bin_sudo_execution.rules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data:,-a%20always%2Cexit%20-F%20path%3D/usr/bin/umount%20-F%20auid%3E%3D1000%20-F%20auid%21%3Dunset%20-F%20key%3Dprivileged%0A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/etc/audit/rules.d/75-usr_bin_umount_execution.rules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data:,-a%20always%2Cexit%20-F%20path%3D/usr/lib/polkit-1/polkit-agent-helper-1%20-F%20auid%3E%3D1000%20-F%20auid%21%3Dunset%20-F%20key%3Dprivileged%0A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/etc/audit/rules.d/75-usr_lib_polkit_helper_execution.rules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data:,-a%20always%2Cexit%20-F%20path%3D/usr/libexec/dbus-1/dbus-daemon-launch-helper%20-F%20auid%3E%3D1000%20-F%20auid%21%3Dunset%20-F%20key%3Dprivileged%0A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/etc/audit/rules.d/75-dbus_daemon_launch_helper.rules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data:,-a%20always%2Cexit%20-F%20path%3D/usr/libexec/sssd/krb5_child%20-F%20auid%3E%3D1000%20-F%20auid%21%3Dunset%20-F%20key%3Dprivileged%0A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/etc/audit/rules.d/75-usr_libexec_sssd_krb5_child.rules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data:,-a%20always%2Cexit%20-F%20path%3D/usr/libexec/sssd/ldap_child%20-F%20auid%3E%3D1000%20-F%20auid%21%3Dunset%20-F%20key%3Dprivileged%0A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/etc/audit/rules.d/75-usr_libexec_sssd_ldap_child.rules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data:,-a%20always%2Cexit%20-F%20path%3D/usr/libexec/sssd/proxy_child%20-F%20auid%3E%3D1000%20-F%20auid%21%3Dunset%20-F%20key%3Dprivileged%0A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/etc/audit/rules.d/75-usr_libexec_sssd_proxy_child.rules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data:,-a%20always%2Cexit%20-F%20path%3D/usr/libexec/sssd/selinux_child%20-F%20auid%3E%3D1000%20-F%20auid%21%3Dunset%20-F%20key%3Dprivileged%0A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/etc/audit/rules.d/75-usr_libexec_sssd_selinux_child.rules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data:,-a%20always%2Cexit%20-F%20path%3D/usr/sbin/grub2-set-bootflag%20-F%20auid%3E%3D1000%20-F%20auid%21%3Dunset%20-F%20key%3Dprivileged%0A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/etc/audit/rules.d/75-grub2_set_bootflag.rules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data:,-a%20always%2Cexit%20-F%20path%3D/usr/sbin/mount.nfs%20-F%20auid%3E%3D1000%20-F%20auid%21%3Dunset%20-F%20key%3Dprivileged%0A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/etc/audit/rules.d/75-usr_sbin_mount_nfs.rules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data:,-a%20always%2Cexit%20-F%20path%3D/usr/sbin/pam_timestamp_check%20-F%20auid%3E%3D1000%20-F%20auid%21%3Dunset%20-F%20key%3Dprivileged%0A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/etc/audit/rules.d/75-usr_sbin_pam_timestamp_check.rules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data:,-a%20always%2Cexit%20-F%20path%3D/usr/sbin/unix_chkpwd%20-F%20auid%3E%3D1000%20-F%20auid%21%3Dunset%20-F%20key%3Dprivileged%0A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/etc/audit/rules.d/75-usr_sbin_unix_chkpwd.rules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 oc apply -f -</t>
    </r>
    <r>
      <rPr>
        <sz val="11"/>
        <color rgb="FF000000"/>
        <rFont val="Calibri"/>
      </rPr>
      <t xml:space="preserve">
</t>
    </r>
    <r>
      <rPr>
        <sz val="11"/>
        <color rgb="FF000000"/>
        <rFont val="Calibri"/>
      </rPr>
      <t>done</t>
    </r>
  </si>
  <si>
    <r>
      <rPr>
        <sz val="11"/>
        <color rgb="FF000000"/>
        <rFont val="Calibri"/>
      </rPr>
      <t>When application accounts are removed, user accessibility is affected. Once an attacker establishes access to an application, the attacker often attempts to remove authorized accounts to disrupt services or prevent the implementation of countermeasures. Auditing account removal actions provides logging that can be used for forensic purposes.</t>
    </r>
    <r>
      <rPr>
        <sz val="11"/>
        <color rgb="FF000000"/>
        <rFont val="Calibri"/>
      </rPr>
      <t xml:space="preserve">
</t>
    </r>
    <r>
      <rPr>
        <sz val="11"/>
        <color rgb="FF000000"/>
        <rFont val="Calibri"/>
      </rPr>
      <t>To address access requirements, many application developers choose to integrate their applications with enterprise-level authentication/access/audit mechanisms meeting or exceeding access control policy requirements. Such integration allows the application developer to off-load those access control functions and focus on core application features and functionality.</t>
    </r>
  </si>
  <si>
    <r>
      <rPr>
        <sz val="11"/>
        <color rgb="FF000000"/>
        <rFont val="Calibri"/>
      </rPr>
      <t>Verify the audit rules capture the execution of setuid and setgid binaries by executing the following: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for node in $(oc get node -oname); do oc debug $node -- chroot /host /bin/bash -c 'echo -n "$HOSTNAME "; grep -e key=privileged /etc/audit/audit.rules || echo "not found"' 2&gt;/dev/null; done</t>
    </r>
    <r>
      <rPr>
        <sz val="11"/>
        <color rgb="FF000000"/>
        <rFont val="Calibri"/>
      </rPr>
      <t xml:space="preserve">
</t>
    </r>
    <r>
      <rPr>
        <sz val="11"/>
        <color rgb="FF000000"/>
        <rFont val="Calibri"/>
      </rPr>
      <t>If "not found" is printed, this is a finding.</t>
    </r>
    <r>
      <rPr>
        <sz val="11"/>
        <color rgb="FF000000"/>
        <rFont val="Calibri"/>
      </rPr>
      <t xml:space="preserve">
</t>
    </r>
    <r>
      <rPr>
        <sz val="11"/>
        <color rgb="FF000000"/>
        <rFont val="Calibri"/>
      </rPr>
      <t>Confirm the following rules exist on each node:</t>
    </r>
    <r>
      <rPr>
        <sz val="11"/>
        <color rgb="FF000000"/>
        <rFont val="Calibri"/>
      </rPr>
      <t xml:space="preserve">
</t>
    </r>
    <r>
      <rPr>
        <sz val="11"/>
        <color rgb="FF000000"/>
        <rFont val="Calibri"/>
      </rPr>
      <t>-a always,exit -S all -F path=/usr/libexec/dbus-1/dbus-daemon-launch-helper -F auid&gt;=1000 -F auid!=unset -F key=privileged</t>
    </r>
    <r>
      <rPr>
        <sz val="11"/>
        <color rgb="FF000000"/>
        <rFont val="Calibri"/>
      </rPr>
      <t xml:space="preserve">
</t>
    </r>
    <r>
      <rPr>
        <sz val="11"/>
        <color rgb="FF000000"/>
        <rFont val="Calibri"/>
      </rPr>
      <t>-a always,exit -S all -F path=/usr/sbin/grub2-set-bootflag -F auid&gt;=1000 -F auid!=unset -F key=privileged</t>
    </r>
    <r>
      <rPr>
        <sz val="11"/>
        <color rgb="FF000000"/>
        <rFont val="Calibri"/>
      </rPr>
      <t xml:space="preserve">
</t>
    </r>
    <r>
      <rPr>
        <sz val="11"/>
        <color rgb="FF000000"/>
        <rFont val="Calibri"/>
      </rPr>
      <t>-a always,exit -S all -F path=/usr/libexec/openssh/ssh-keysign -F auid&gt;=1000 -F auid!=unset -F key=privileged</t>
    </r>
    <r>
      <rPr>
        <sz val="11"/>
        <color rgb="FF000000"/>
        <rFont val="Calibri"/>
      </rPr>
      <t xml:space="preserve">
</t>
    </r>
    <r>
      <rPr>
        <sz val="11"/>
        <color rgb="FF000000"/>
        <rFont val="Calibri"/>
      </rPr>
      <t>-a always,exit -S all -F path=/usr/bin/chage -F auid&gt;=1000 -F auid!=unset -F key=privileged</t>
    </r>
    <r>
      <rPr>
        <sz val="11"/>
        <color rgb="FF000000"/>
        <rFont val="Calibri"/>
      </rPr>
      <t xml:space="preserve">
</t>
    </r>
    <r>
      <rPr>
        <sz val="11"/>
        <color rgb="FF000000"/>
        <rFont val="Calibri"/>
      </rPr>
      <t>-a always,exit -S all -F path=/usr/bin/fusermount3 -F auid&gt;=1000 -F auid!=unset -F key=privileged</t>
    </r>
    <r>
      <rPr>
        <sz val="11"/>
        <color rgb="FF000000"/>
        <rFont val="Calibri"/>
      </rPr>
      <t xml:space="preserve">
</t>
    </r>
    <r>
      <rPr>
        <sz val="11"/>
        <color rgb="FF000000"/>
        <rFont val="Calibri"/>
      </rPr>
      <t>-a always,exit -S all -F path=/usr/bin/fusermount -F auid&gt;=1000 -F auid!=unset -F key=privileged</t>
    </r>
    <r>
      <rPr>
        <sz val="11"/>
        <color rgb="FF000000"/>
        <rFont val="Calibri"/>
      </rPr>
      <t xml:space="preserve">
</t>
    </r>
    <r>
      <rPr>
        <sz val="11"/>
        <color rgb="FF000000"/>
        <rFont val="Calibri"/>
      </rPr>
      <t>-a always,exit -S all -F path=/usr/bin/gpasswd -F auid&gt;=1000 -F auid!=unset -F key=privileged</t>
    </r>
    <r>
      <rPr>
        <sz val="11"/>
        <color rgb="FF000000"/>
        <rFont val="Calibri"/>
      </rPr>
      <t xml:space="preserve">
</t>
    </r>
    <r>
      <rPr>
        <sz val="11"/>
        <color rgb="FF000000"/>
        <rFont val="Calibri"/>
      </rPr>
      <t>-a always,exit -S all -F path=/usr/bin/mount -F auid&gt;=1000 -F auid!=unset -F key=privileged</t>
    </r>
    <r>
      <rPr>
        <sz val="11"/>
        <color rgb="FF000000"/>
        <rFont val="Calibri"/>
      </rPr>
      <t xml:space="preserve">
</t>
    </r>
    <r>
      <rPr>
        <sz val="11"/>
        <color rgb="FF000000"/>
        <rFont val="Calibri"/>
      </rPr>
      <t>-a always,exit -S all -F path=/usr/bin/newgrp -F auid&gt;=1000 -F auid!=unset -F key=privileged</t>
    </r>
    <r>
      <rPr>
        <sz val="11"/>
        <color rgb="FF000000"/>
        <rFont val="Calibri"/>
      </rPr>
      <t xml:space="preserve">
</t>
    </r>
    <r>
      <rPr>
        <sz val="11"/>
        <color rgb="FF000000"/>
        <rFont val="Calibri"/>
      </rPr>
      <t>-a always,exit -S all -F path=/usr/bin/passwd -F auid&gt;=1000 -F auid!=unset -F key=privileged</t>
    </r>
    <r>
      <rPr>
        <sz val="11"/>
        <color rgb="FF000000"/>
        <rFont val="Calibri"/>
      </rPr>
      <t xml:space="preserve">
</t>
    </r>
    <r>
      <rPr>
        <sz val="11"/>
        <color rgb="FF000000"/>
        <rFont val="Calibri"/>
      </rPr>
      <t>-a always,exit -S all -F path=/usr/bin/pkexec -F auid&gt;=1000 -F auid!=unset -F key=privileged</t>
    </r>
    <r>
      <rPr>
        <sz val="11"/>
        <color rgb="FF000000"/>
        <rFont val="Calibri"/>
      </rPr>
      <t xml:space="preserve">
</t>
    </r>
    <r>
      <rPr>
        <sz val="11"/>
        <color rgb="FF000000"/>
        <rFont val="Calibri"/>
      </rPr>
      <t>-a always,exit -S all -F path=/usr/bin/sudo -F auid&gt;=1000 -F auid!=unset -F key=privileged</t>
    </r>
    <r>
      <rPr>
        <sz val="11"/>
        <color rgb="FF000000"/>
        <rFont val="Calibri"/>
      </rPr>
      <t xml:space="preserve">
</t>
    </r>
    <r>
      <rPr>
        <sz val="11"/>
        <color rgb="FF000000"/>
        <rFont val="Calibri"/>
      </rPr>
      <t>-a always,exit -S all -F path=/usr/bin/su -F auid&gt;=1000 -F auid!=unset -F key=privileged</t>
    </r>
    <r>
      <rPr>
        <sz val="11"/>
        <color rgb="FF000000"/>
        <rFont val="Calibri"/>
      </rPr>
      <t xml:space="preserve">
</t>
    </r>
    <r>
      <rPr>
        <sz val="11"/>
        <color rgb="FF000000"/>
        <rFont val="Calibri"/>
      </rPr>
      <t>-a always,exit -S all -F path=/usr/bin/umount -F auid&gt;=1000 -F auid!=unset -F key=privileged</t>
    </r>
    <r>
      <rPr>
        <sz val="11"/>
        <color rgb="FF000000"/>
        <rFont val="Calibri"/>
      </rPr>
      <t xml:space="preserve">
</t>
    </r>
    <r>
      <rPr>
        <sz val="11"/>
        <color rgb="FF000000"/>
        <rFont val="Calibri"/>
      </rPr>
      <t>-a always,exit -S all -F path=/usr/bin/write -F auid&gt;=1000 -F auid!=unset -F key=privileged</t>
    </r>
    <r>
      <rPr>
        <sz val="11"/>
        <color rgb="FF000000"/>
        <rFont val="Calibri"/>
      </rPr>
      <t xml:space="preserve">
</t>
    </r>
    <r>
      <rPr>
        <sz val="11"/>
        <color rgb="FF000000"/>
        <rFont val="Calibri"/>
      </rPr>
      <t>-a always,exit -S all -F path=/usr/libexec/sssd/krb5_child -F auid&gt;=1000 -F auid!=unset -F key=privileged</t>
    </r>
    <r>
      <rPr>
        <sz val="11"/>
        <color rgb="FF000000"/>
        <rFont val="Calibri"/>
      </rPr>
      <t xml:space="preserve">
</t>
    </r>
    <r>
      <rPr>
        <sz val="11"/>
        <color rgb="FF000000"/>
        <rFont val="Calibri"/>
      </rPr>
      <t>-a always,exit -S all -F path=/usr/libexec/sssd/ldap_child -F auid&gt;=1000 -F auid!=unset -F key=privileged</t>
    </r>
    <r>
      <rPr>
        <sz val="11"/>
        <color rgb="FF000000"/>
        <rFont val="Calibri"/>
      </rPr>
      <t xml:space="preserve">
</t>
    </r>
    <r>
      <rPr>
        <sz val="11"/>
        <color rgb="FF000000"/>
        <rFont val="Calibri"/>
      </rPr>
      <t>-a always,exit -S all -F path=/usr/libexec/sssd/proxy_child -F auid&gt;=1000 -F auid!=unset -F key=privileged</t>
    </r>
    <r>
      <rPr>
        <sz val="11"/>
        <color rgb="FF000000"/>
        <rFont val="Calibri"/>
      </rPr>
      <t xml:space="preserve">
</t>
    </r>
    <r>
      <rPr>
        <sz val="11"/>
        <color rgb="FF000000"/>
        <rFont val="Calibri"/>
      </rPr>
      <t>-a always,exit -S all -F path=/usr/libexec/sssd/selinux_child -F auid&gt;=1000 -F auid!=unset -F key=privileged</t>
    </r>
    <r>
      <rPr>
        <sz val="11"/>
        <color rgb="FF000000"/>
        <rFont val="Calibri"/>
      </rPr>
      <t xml:space="preserve">
</t>
    </r>
    <r>
      <rPr>
        <sz val="11"/>
        <color rgb="FF000000"/>
        <rFont val="Calibri"/>
      </rPr>
      <t>-a always,exit -S all -F path=/usr/libexec/utempter -F auid&gt;=1000 -F auid!=unset -F key=privileged</t>
    </r>
    <r>
      <rPr>
        <sz val="11"/>
        <color rgb="FF000000"/>
        <rFont val="Calibri"/>
      </rPr>
      <t xml:space="preserve">
</t>
    </r>
    <r>
      <rPr>
        <sz val="11"/>
        <color rgb="FF000000"/>
        <rFont val="Calibri"/>
      </rPr>
      <t>-a always,exit -S all -F path=/usr/lib/polkit-1/polkit-agent-helper-1 -F auid&gt;=1000 -F auid!=unset -F key=privileged</t>
    </r>
    <r>
      <rPr>
        <sz val="11"/>
        <color rgb="FF000000"/>
        <rFont val="Calibri"/>
      </rPr>
      <t xml:space="preserve">
</t>
    </r>
    <r>
      <rPr>
        <sz val="11"/>
        <color rgb="FF000000"/>
        <rFont val="Calibri"/>
      </rPr>
      <t>-a always,exit -S all -F path=/usr/sbin/mount.nfs -F auid&gt;=1000 -F auid!=unset -F key=privileged</t>
    </r>
    <r>
      <rPr>
        <sz val="11"/>
        <color rgb="FF000000"/>
        <rFont val="Calibri"/>
      </rPr>
      <t xml:space="preserve">
</t>
    </r>
    <r>
      <rPr>
        <sz val="11"/>
        <color rgb="FF000000"/>
        <rFont val="Calibri"/>
      </rPr>
      <t>-a always,exit -S all -F path=/usr/sbin/pam_timestamp_check -F auid&gt;=1000 -F auid!=unset -F key=privileged</t>
    </r>
    <r>
      <rPr>
        <sz val="11"/>
        <color rgb="FF000000"/>
        <rFont val="Calibri"/>
      </rPr>
      <t xml:space="preserve">
</t>
    </r>
    <r>
      <rPr>
        <sz val="11"/>
        <color rgb="FF000000"/>
        <rFont val="Calibri"/>
      </rPr>
      <t>-a always,exit -S all -F path=/usr/sbin/unix_chkpwd -F auid&gt;=1000 -F auid!=unset -F key=privileged</t>
    </r>
    <r>
      <rPr>
        <sz val="11"/>
        <color rgb="FF000000"/>
        <rFont val="Calibri"/>
      </rPr>
      <t xml:space="preserve">
</t>
    </r>
    <r>
      <rPr>
        <sz val="11"/>
        <color rgb="FF000000"/>
        <rFont val="Calibri"/>
      </rPr>
      <t>To find all setuid binaries on the system, execute the following:</t>
    </r>
    <r>
      <rPr>
        <sz val="11"/>
        <color rgb="FF000000"/>
        <rFont val="Calibri"/>
      </rPr>
      <t xml:space="preserve">
</t>
    </r>
    <r>
      <rPr>
        <sz val="11"/>
        <color rgb="FF000000"/>
        <rFont val="Calibri"/>
      </rPr>
      <t>for node in $(oc get node -oname); do oc debug $node -- chroot /host /bin/bash -c 'echo -n "$HOSTNAME "; find / -xdev -type f -perm -4000 -o -type f -perm -2000 2&gt;/dev/null'; done</t>
    </r>
    <r>
      <rPr>
        <sz val="11"/>
        <color rgb="FF000000"/>
        <rFont val="Calibri"/>
      </rPr>
      <t xml:space="preserve">
</t>
    </r>
    <r>
      <rPr>
        <sz val="11"/>
        <color rgb="FF000000"/>
        <rFont val="Calibri"/>
      </rPr>
      <t>If any setuid binary does not have a corresponding audit rule, this is a finding.</t>
    </r>
  </si>
  <si>
    <t>V-257513</t>
  </si>
  <si>
    <r>
      <rPr>
        <sz val="11"/>
        <rFont val="Calibri"/>
      </rPr>
      <t>OpenShift role-based access controls (RBAC) must be enforced.</t>
    </r>
  </si>
  <si>
    <t>CAT I (High)</t>
  </si>
  <si>
    <r>
      <rPr>
        <sz val="11"/>
        <color rgb="FF000000"/>
        <rFont val="Calibri"/>
      </rPr>
      <t>If users or groups exist that are bound to roles they must not have, modify the user or group permissions using the following cluster and local role binding commands: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Remove a user from a Cluster RBAC role by executing the following:</t>
    </r>
    <r>
      <rPr>
        <sz val="11"/>
        <color rgb="FF000000"/>
        <rFont val="Calibri"/>
      </rPr>
      <t xml:space="preserve">
</t>
    </r>
    <r>
      <rPr>
        <sz val="11"/>
        <color rgb="FF000000"/>
        <rFont val="Calibri"/>
      </rPr>
      <t>oc adm policy remove-cluster-role-from-user &amp;lt;role&amp;gt; &amp;lt;username&amp;gt;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Remove a group from a Cluster RBAC role by executing the following:</t>
    </r>
    <r>
      <rPr>
        <sz val="11"/>
        <color rgb="FF000000"/>
        <rFont val="Calibri"/>
      </rPr>
      <t xml:space="preserve">
</t>
    </r>
    <r>
      <rPr>
        <sz val="11"/>
        <color rgb="FF000000"/>
        <rFont val="Calibri"/>
      </rPr>
      <t>oc adm policy remove-cluster-role-from-group &amp;lt;role&amp;gt; &amp;lt;groupname&amp;gt;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Remove a user from a Local RBAC role by executing the following:</t>
    </r>
    <r>
      <rPr>
        <sz val="11"/>
        <color rgb="FF000000"/>
        <rFont val="Calibri"/>
      </rPr>
      <t xml:space="preserve">
</t>
    </r>
    <r>
      <rPr>
        <sz val="11"/>
        <color rgb="FF000000"/>
        <rFont val="Calibri"/>
      </rPr>
      <t>oc adm policy remove-role-from-user &amp;lt;role&amp;gt; &amp;lt;username&amp;gt;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Remove a group from a Local RBAC role by executing the following:</t>
    </r>
    <r>
      <rPr>
        <sz val="11"/>
        <color rgb="FF000000"/>
        <rFont val="Calibri"/>
      </rPr>
      <t xml:space="preserve">
</t>
    </r>
    <r>
      <rPr>
        <sz val="11"/>
        <color rgb="FF000000"/>
        <rFont val="Calibri"/>
      </rPr>
      <t>oc adm policy remove-role-from-group &amp;lt;role&amp;gt; &amp;lt;groupname&amp;gt;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For additional information, refer to https://docs.openshift.com/container-platform/4.8/authentication/using-rbac.html.</t>
    </r>
    <r>
      <rPr>
        <sz val="11"/>
        <color rgb="FF000000"/>
        <rFont val="Calibri"/>
      </rPr>
      <t xml:space="preserve">
</t>
    </r>
    <r>
      <rPr>
        <sz val="11"/>
        <color rgb="FF000000"/>
        <rFont val="Calibri"/>
      </rPr>
      <t>Where OpenShift Virtualization is enabled:</t>
    </r>
    <r>
      <rPr>
        <sz val="11"/>
        <color rgb="FF000000"/>
        <rFont val="Calibri"/>
      </rPr>
      <t xml:space="preserve">
</t>
    </r>
    <r>
      <rPr>
        <sz val="11"/>
        <color rgb="FF000000"/>
        <rFont val="Calibri"/>
      </rPr>
      <t>1. Ensure kubevirt seccomp profile file permission is set to "700" or more restrictive:</t>
    </r>
    <r>
      <rPr>
        <sz val="11"/>
        <color rgb="FF000000"/>
        <rFont val="Calibri"/>
      </rPr>
      <t xml:space="preserve">
</t>
    </r>
    <r>
      <rPr>
        <sz val="11"/>
        <color rgb="FF000000"/>
        <rFont val="Calibri"/>
      </rPr>
      <t>$ oc exec &lt;virt-handler-pod&gt; -ti -n openshift-cnv -- chmod 700</t>
    </r>
    <r>
      <rPr>
        <sz val="11"/>
        <color rgb="FF000000"/>
        <rFont val="Calibri"/>
      </rPr>
      <t xml:space="preserve">
</t>
    </r>
    <r>
      <rPr>
        <sz val="11"/>
        <color rgb="FF000000"/>
        <rFont val="Calibri"/>
      </rPr>
      <t>/proc/1/root/var/lib/kubelet/seccomp/kubevirt/kubevirt.json</t>
    </r>
    <r>
      <rPr>
        <sz val="11"/>
        <color rgb="FF000000"/>
        <rFont val="Calibri"/>
      </rPr>
      <t xml:space="preserve">
</t>
    </r>
    <r>
      <rPr>
        <sz val="11"/>
        <color rgb="FF000000"/>
        <rFont val="Calibri"/>
      </rPr>
      <t>Ensure kubevirt cache directory permission is set to "755" or more restrictive:</t>
    </r>
    <r>
      <rPr>
        <sz val="11"/>
        <color rgb="FF000000"/>
        <rFont val="Calibri"/>
      </rPr>
      <t xml:space="preserve">
</t>
    </r>
    <r>
      <rPr>
        <sz val="11"/>
        <color rgb="FF000000"/>
        <rFont val="Calibri"/>
      </rPr>
      <t>$ oc exec &lt;virt-handler-pod&gt; -ti -n openshift-cnv -- chmod 755</t>
    </r>
    <r>
      <rPr>
        <sz val="11"/>
        <color rgb="FF000000"/>
        <rFont val="Calibri"/>
      </rPr>
      <t xml:space="preserve">
</t>
    </r>
    <r>
      <rPr>
        <sz val="11"/>
        <color rgb="FF000000"/>
        <rFont val="Calibri"/>
      </rPr>
      <t>/var/run/kubevirt-private</t>
    </r>
    <r>
      <rPr>
        <sz val="11"/>
        <color rgb="FF000000"/>
        <rFont val="Calibri"/>
      </rPr>
      <t xml:space="preserve">
</t>
    </r>
    <r>
      <rPr>
        <sz val="11"/>
        <color rgb="FF000000"/>
        <rFont val="Calibri"/>
      </rPr>
      <t>2. Remove create access to virtualmachineinstancemigration and migrationpolicy objects in the cluster.</t>
    </r>
    <r>
      <rPr>
        <sz val="11"/>
        <color rgb="FF000000"/>
        <rFont val="Calibri"/>
      </rPr>
      <t xml:space="preserve">
</t>
    </r>
    <r>
      <rPr>
        <sz val="11"/>
        <color rgb="FF000000"/>
        <rFont val="Calibri"/>
      </rPr>
      <t>Example: Remove create access given by the clusterRoleBinding for the migrationpolicy for the test user.</t>
    </r>
    <r>
      <rPr>
        <sz val="11"/>
        <color rgb="FF000000"/>
        <rFont val="Calibri"/>
      </rPr>
      <t xml:space="preserve">
</t>
    </r>
    <r>
      <rPr>
        <sz val="11"/>
        <color rgb="FF000000"/>
        <rFont val="Calibri"/>
      </rPr>
      <t># Get all the users and service accounts who can create</t>
    </r>
    <r>
      <rPr>
        <sz val="11"/>
        <color rgb="FF000000"/>
        <rFont val="Calibri"/>
      </rPr>
      <t xml:space="preserve">
</t>
    </r>
    <r>
      <rPr>
        <sz val="11"/>
        <color rgb="FF000000"/>
        <rFont val="Calibri"/>
      </rPr>
      <t>migrationpolicies</t>
    </r>
    <r>
      <rPr>
        <sz val="11"/>
        <color rgb="FF000000"/>
        <rFont val="Calibri"/>
      </rPr>
      <t xml:space="preserve">
</t>
    </r>
    <r>
      <rPr>
        <sz val="11"/>
        <color rgb="FF000000"/>
        <rFont val="Calibri"/>
      </rPr>
      <t>$ oc adm policy who-can create migrationpolicy</t>
    </r>
    <r>
      <rPr>
        <sz val="11"/>
        <color rgb="FF000000"/>
        <rFont val="Calibri"/>
      </rPr>
      <t xml:space="preserve">
</t>
    </r>
    <r>
      <rPr>
        <sz val="11"/>
        <color rgb="FF000000"/>
        <rFont val="Calibri"/>
      </rPr>
      <t>Users: system:admin</t>
    </r>
    <r>
      <rPr>
        <sz val="11"/>
        <color rgb="FF000000"/>
        <rFont val="Calibri"/>
      </rPr>
      <t xml:space="preserve">
</t>
    </r>
    <r>
      <rPr>
        <sz val="11"/>
        <color rgb="FF000000"/>
        <rFont val="Calibri"/>
      </rPr>
      <t>..</t>
    </r>
    <r>
      <rPr>
        <sz val="11"/>
        <color rgb="FF000000"/>
        <rFont val="Calibri"/>
      </rPr>
      <t xml:space="preserve">
</t>
    </r>
    <r>
      <rPr>
        <sz val="11"/>
        <color rgb="FF000000"/>
        <rFont val="Calibri"/>
      </rPr>
      <t>Test</t>
    </r>
    <r>
      <rPr>
        <sz val="11"/>
        <color rgb="FF000000"/>
        <rFont val="Calibri"/>
      </rPr>
      <t xml:space="preserve">
</t>
    </r>
    <r>
      <rPr>
        <sz val="11"/>
        <color rgb="FF000000"/>
        <rFont val="Calibri"/>
      </rPr>
      <t># Verify that the test user can create the migrationpolicy</t>
    </r>
    <r>
      <rPr>
        <sz val="11"/>
        <color rgb="FF000000"/>
        <rFont val="Calibri"/>
      </rPr>
      <t xml:space="preserve">
</t>
    </r>
    <r>
      <rPr>
        <sz val="11"/>
        <color rgb="FF000000"/>
        <rFont val="Calibri"/>
      </rPr>
      <t>$ oc auth can-i create migrationpolicies --as test</t>
    </r>
    <r>
      <rPr>
        <sz val="11"/>
        <color rgb="FF000000"/>
        <rFont val="Calibri"/>
      </rPr>
      <t xml:space="preserve">
</t>
    </r>
    <r>
      <rPr>
        <sz val="11"/>
        <color rgb="FF000000"/>
        <rFont val="Calibri"/>
      </rPr>
      <t>Warning: resource 'migrationpolicies' is not namespace scoped in group</t>
    </r>
    <r>
      <rPr>
        <sz val="11"/>
        <color rgb="FF000000"/>
        <rFont val="Calibri"/>
      </rPr>
      <t xml:space="preserve">
</t>
    </r>
    <r>
      <rPr>
        <sz val="11"/>
        <color rgb="FF000000"/>
        <rFont val="Calibri"/>
      </rPr>
      <t>'migrations.kubevirt.io'</t>
    </r>
    <r>
      <rPr>
        <sz val="11"/>
        <color rgb="FF000000"/>
        <rFont val="Calibri"/>
      </rPr>
      <t xml:space="preserve">
</t>
    </r>
    <r>
      <rPr>
        <sz val="11"/>
        <color rgb="FF000000"/>
        <rFont val="Calibri"/>
      </rPr>
      <t>yes</t>
    </r>
    <r>
      <rPr>
        <sz val="11"/>
        <color rgb="FF000000"/>
        <rFont val="Calibri"/>
      </rPr>
      <t xml:space="preserve">
</t>
    </r>
    <r>
      <rPr>
        <sz val="11"/>
        <color rgb="FF000000"/>
        <rFont val="Calibri"/>
      </rPr>
      <t># Find out which rolebinding or clusterrolbinding associated to the</t>
    </r>
    <r>
      <rPr>
        <sz val="11"/>
        <color rgb="FF000000"/>
        <rFont val="Calibri"/>
      </rPr>
      <t xml:space="preserve">
</t>
    </r>
    <r>
      <rPr>
        <sz val="11"/>
        <color rgb="FF000000"/>
        <rFont val="Calibri"/>
      </rPr>
      <t>test user</t>
    </r>
    <r>
      <rPr>
        <sz val="11"/>
        <color rgb="FF000000"/>
        <rFont val="Calibri"/>
      </rPr>
      <t xml:space="preserve">
</t>
    </r>
    <r>
      <rPr>
        <sz val="11"/>
        <color rgb="FF000000"/>
        <rFont val="Calibri"/>
      </rPr>
      <t>$ oc get rolebindings,clusterrolebindings --all-namespaces -o</t>
    </r>
    <r>
      <rPr>
        <sz val="11"/>
        <color rgb="FF000000"/>
        <rFont val="Calibri"/>
      </rPr>
      <t xml:space="preserve">
</t>
    </r>
    <r>
      <rPr>
        <sz val="11"/>
        <color rgb="FF000000"/>
        <rFont val="Calibri"/>
      </rPr>
      <t>custom-columns='KIND:kind,NAMESPACE:metadata.namespace,NAME:metadata.n</t>
    </r>
    <r>
      <rPr>
        <sz val="11"/>
        <color rgb="FF000000"/>
        <rFont val="Calibri"/>
      </rPr>
      <t xml:space="preserve">
</t>
    </r>
    <r>
      <rPr>
        <sz val="11"/>
        <color rgb="FF000000"/>
        <rFont val="Calibri"/>
      </rPr>
      <t>ame,SERVICE_ACCOUNTS:subjects[?(@.kind=="User")].name' |grep test</t>
    </r>
    <r>
      <rPr>
        <sz val="11"/>
        <color rgb="FF000000"/>
        <rFont val="Calibri"/>
      </rPr>
      <t xml:space="preserve">
</t>
    </r>
    <r>
      <rPr>
        <sz val="11"/>
        <color rgb="FF000000"/>
        <rFont val="Calibri"/>
      </rPr>
      <t>ClusterRoleBinding &lt;none&gt;</t>
    </r>
    <r>
      <rPr>
        <sz val="11"/>
        <color rgb="FF000000"/>
        <rFont val="Calibri"/>
      </rPr>
      <t xml:space="preserve">
</t>
    </r>
    <r>
      <rPr>
        <sz val="11"/>
        <color rgb="FF000000"/>
        <rFont val="Calibri"/>
      </rPr>
      <t>migration-creator</t>
    </r>
    <r>
      <rPr>
        <sz val="11"/>
        <color rgb="FF000000"/>
        <rFont val="Calibri"/>
      </rPr>
      <t xml:space="preserve">
</t>
    </r>
    <r>
      <rPr>
        <sz val="11"/>
        <color rgb="FF000000"/>
        <rFont val="Calibri"/>
      </rPr>
      <t>test</t>
    </r>
    <r>
      <rPr>
        <sz val="11"/>
        <color rgb="FF000000"/>
        <rFont val="Calibri"/>
      </rPr>
      <t xml:space="preserve">
</t>
    </r>
    <r>
      <rPr>
        <sz val="11"/>
        <color rgb="FF000000"/>
        <rFont val="Calibri"/>
      </rPr>
      <t># Inspect the cluster role binding</t>
    </r>
    <r>
      <rPr>
        <sz val="11"/>
        <color rgb="FF000000"/>
        <rFont val="Calibri"/>
      </rPr>
      <t xml:space="preserve">
</t>
    </r>
    <r>
      <rPr>
        <sz val="11"/>
        <color rgb="FF000000"/>
        <rFont val="Calibri"/>
      </rPr>
      <t>$ oc get clusterrolebindings migration-creator -oyaml</t>
    </r>
    <r>
      <rPr>
        <sz val="11"/>
        <color rgb="FF000000"/>
        <rFont val="Calibri"/>
      </rPr>
      <t xml:space="preserve">
</t>
    </r>
    <r>
      <rPr>
        <sz val="11"/>
        <color rgb="FF000000"/>
        <rFont val="Calibri"/>
      </rPr>
      <t>apiVersion: rbac.authorization.k8s.io/v1</t>
    </r>
    <r>
      <rPr>
        <sz val="11"/>
        <color rgb="FF000000"/>
        <rFont val="Calibri"/>
      </rPr>
      <t xml:space="preserve">
</t>
    </r>
    <r>
      <rPr>
        <sz val="11"/>
        <color rgb="FF000000"/>
        <rFont val="Calibri"/>
      </rPr>
      <t>kind: ClusterRoleBinding</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annotations:</t>
    </r>
    <r>
      <rPr>
        <sz val="11"/>
        <color rgb="FF000000"/>
        <rFont val="Calibri"/>
      </rPr>
      <t xml:space="preserve">
</t>
    </r>
    <r>
      <rPr>
        <sz val="11"/>
        <color rgb="FF000000"/>
        <rFont val="Calibri"/>
      </rPr>
      <t>kubectl.kubernetes.io/last-applied-configuration: |</t>
    </r>
    <r>
      <rPr>
        <sz val="11"/>
        <color rgb="FF000000"/>
        <rFont val="Calibri"/>
      </rPr>
      <t xml:space="preserve">
</t>
    </r>
    <r>
      <rPr>
        <sz val="11"/>
        <color rgb="FF000000"/>
        <rFont val="Calibri"/>
      </rPr>
      <t>{"apiVersion":"rbac.authorization.k8s.io/v1","kind":"ClusterRoleBindin</t>
    </r>
    <r>
      <rPr>
        <sz val="11"/>
        <color rgb="FF000000"/>
        <rFont val="Calibri"/>
      </rPr>
      <t xml:space="preserve">
</t>
    </r>
    <r>
      <rPr>
        <sz val="11"/>
        <color rgb="FF000000"/>
        <rFont val="Calibri"/>
      </rPr>
      <t>g","metadata":{"annotations":{},"name":"migration-creator"},"roleRef":</t>
    </r>
    <r>
      <rPr>
        <sz val="11"/>
        <color rgb="FF000000"/>
        <rFont val="Calibri"/>
      </rPr>
      <t xml:space="preserve">
</t>
    </r>
    <r>
      <rPr>
        <sz val="11"/>
        <color rgb="FF000000"/>
        <rFont val="Calibri"/>
      </rPr>
      <t>{"apiGroup":"rbac.authorization.k8s.io","kind":"ClusterRole","name":"m</t>
    </r>
    <r>
      <rPr>
        <sz val="11"/>
        <color rgb="FF000000"/>
        <rFont val="Calibri"/>
      </rPr>
      <t xml:space="preserve">
</t>
    </r>
    <r>
      <rPr>
        <sz val="11"/>
        <color rgb="FF000000"/>
        <rFont val="Calibri"/>
      </rPr>
      <t>igration-creator"},"subjects":[{"apiGroup":"rbac.authorization.k8s.io"</t>
    </r>
    <r>
      <rPr>
        <sz val="11"/>
        <color rgb="FF000000"/>
        <rFont val="Calibri"/>
      </rPr>
      <t xml:space="preserve">
</t>
    </r>
    <r>
      <rPr>
        <sz val="11"/>
        <color rgb="FF000000"/>
        <rFont val="Calibri"/>
      </rPr>
      <t>,"kind":"User","name":"test"},{"kind":"ServiceAccount","name":"test","</t>
    </r>
    <r>
      <rPr>
        <sz val="11"/>
        <color rgb="FF000000"/>
        <rFont val="Calibri"/>
      </rPr>
      <t xml:space="preserve">
</t>
    </r>
    <r>
      <rPr>
        <sz val="11"/>
        <color rgb="FF000000"/>
        <rFont val="Calibri"/>
      </rPr>
      <t>namespace":"default"}]}</t>
    </r>
    <r>
      <rPr>
        <sz val="11"/>
        <color rgb="FF000000"/>
        <rFont val="Calibri"/>
      </rPr>
      <t xml:space="preserve">
</t>
    </r>
    <r>
      <rPr>
        <sz val="11"/>
        <color rgb="FF000000"/>
        <rFont val="Calibri"/>
      </rPr>
      <t>creationTimestamp: "2025-03-06T14:05:04Z"</t>
    </r>
    <r>
      <rPr>
        <sz val="11"/>
        <color rgb="FF000000"/>
        <rFont val="Calibri"/>
      </rPr>
      <t xml:space="preserve">
</t>
    </r>
    <r>
      <rPr>
        <sz val="11"/>
        <color rgb="FF000000"/>
        <rFont val="Calibri"/>
      </rPr>
      <t>name: migration-creator</t>
    </r>
    <r>
      <rPr>
        <sz val="11"/>
        <color rgb="FF000000"/>
        <rFont val="Calibri"/>
      </rPr>
      <t xml:space="preserve">
</t>
    </r>
    <r>
      <rPr>
        <sz val="11"/>
        <color rgb="FF000000"/>
        <rFont val="Calibri"/>
      </rPr>
      <t>resourceVersion: "1093678"</t>
    </r>
    <r>
      <rPr>
        <sz val="11"/>
        <color rgb="FF000000"/>
        <rFont val="Calibri"/>
      </rPr>
      <t xml:space="preserve">
</t>
    </r>
    <r>
      <rPr>
        <sz val="11"/>
        <color rgb="FF000000"/>
        <rFont val="Calibri"/>
      </rPr>
      <t>uid: 96be5dc2-2b30-4734-b5ef-16d9342bbdbf</t>
    </r>
    <r>
      <rPr>
        <sz val="11"/>
        <color rgb="FF000000"/>
        <rFont val="Calibri"/>
      </rPr>
      <t xml:space="preserve">
</t>
    </r>
    <r>
      <rPr>
        <sz val="11"/>
        <color rgb="FF000000"/>
        <rFont val="Calibri"/>
      </rPr>
      <t>roleRef:</t>
    </r>
    <r>
      <rPr>
        <sz val="11"/>
        <color rgb="FF000000"/>
        <rFont val="Calibri"/>
      </rPr>
      <t xml:space="preserve">
</t>
    </r>
    <r>
      <rPr>
        <sz val="11"/>
        <color rgb="FF000000"/>
        <rFont val="Calibri"/>
      </rPr>
      <t>apiGroup: rbac.authorization.k8s.io</t>
    </r>
    <r>
      <rPr>
        <sz val="11"/>
        <color rgb="FF000000"/>
        <rFont val="Calibri"/>
      </rPr>
      <t xml:space="preserve">
</t>
    </r>
    <r>
      <rPr>
        <sz val="11"/>
        <color rgb="FF000000"/>
        <rFont val="Calibri"/>
      </rPr>
      <t>kind: ClusterRole</t>
    </r>
    <r>
      <rPr>
        <sz val="11"/>
        <color rgb="FF000000"/>
        <rFont val="Calibri"/>
      </rPr>
      <t xml:space="preserve">
</t>
    </r>
    <r>
      <rPr>
        <sz val="11"/>
        <color rgb="FF000000"/>
        <rFont val="Calibri"/>
      </rPr>
      <t>name: migration-creator</t>
    </r>
    <r>
      <rPr>
        <sz val="11"/>
        <color rgb="FF000000"/>
        <rFont val="Calibri"/>
      </rPr>
      <t xml:space="preserve">
</t>
    </r>
    <r>
      <rPr>
        <sz val="11"/>
        <color rgb="FF000000"/>
        <rFont val="Calibri"/>
      </rPr>
      <t>subjects:</t>
    </r>
    <r>
      <rPr>
        <sz val="11"/>
        <color rgb="FF000000"/>
        <rFont val="Calibri"/>
      </rPr>
      <t xml:space="preserve">
</t>
    </r>
    <r>
      <rPr>
        <sz val="11"/>
        <color rgb="FF000000"/>
        <rFont val="Calibri"/>
      </rPr>
      <t>- apiGroup: rbac.authorization.k8s.io</t>
    </r>
    <r>
      <rPr>
        <sz val="11"/>
        <color rgb="FF000000"/>
        <rFont val="Calibri"/>
      </rPr>
      <t xml:space="preserve">
</t>
    </r>
    <r>
      <rPr>
        <sz val="11"/>
        <color rgb="FF000000"/>
        <rFont val="Calibri"/>
      </rPr>
      <t>kind: User</t>
    </r>
    <r>
      <rPr>
        <sz val="11"/>
        <color rgb="FF000000"/>
        <rFont val="Calibri"/>
      </rPr>
      <t xml:space="preserve">
</t>
    </r>
    <r>
      <rPr>
        <sz val="11"/>
        <color rgb="FF000000"/>
        <rFont val="Calibri"/>
      </rPr>
      <t>name: test</t>
    </r>
    <r>
      <rPr>
        <sz val="11"/>
        <color rgb="FF000000"/>
        <rFont val="Calibri"/>
      </rPr>
      <t xml:space="preserve">
</t>
    </r>
    <r>
      <rPr>
        <sz val="11"/>
        <color rgb="FF000000"/>
        <rFont val="Calibri"/>
      </rPr>
      <t>- kind: ServiceAccount</t>
    </r>
    <r>
      <rPr>
        <sz val="11"/>
        <color rgb="FF000000"/>
        <rFont val="Calibri"/>
      </rPr>
      <t xml:space="preserve">
</t>
    </r>
    <r>
      <rPr>
        <sz val="11"/>
        <color rgb="FF000000"/>
        <rFont val="Calibri"/>
      </rPr>
      <t>name: test</t>
    </r>
    <r>
      <rPr>
        <sz val="11"/>
        <color rgb="FF000000"/>
        <rFont val="Calibri"/>
      </rPr>
      <t xml:space="preserve">
</t>
    </r>
    <r>
      <rPr>
        <sz val="11"/>
        <color rgb="FF000000"/>
        <rFont val="Calibri"/>
      </rPr>
      <t>namespace: default</t>
    </r>
    <r>
      <rPr>
        <sz val="11"/>
        <color rgb="FF000000"/>
        <rFont val="Calibri"/>
      </rPr>
      <t xml:space="preserve">
</t>
    </r>
    <r>
      <rPr>
        <sz val="11"/>
        <color rgb="FF000000"/>
        <rFont val="Calibri"/>
      </rPr>
      <t># Remove the cluster role binding</t>
    </r>
    <r>
      <rPr>
        <sz val="11"/>
        <color rgb="FF000000"/>
        <rFont val="Calibri"/>
      </rPr>
      <t xml:space="preserve">
</t>
    </r>
    <r>
      <rPr>
        <sz val="11"/>
        <color rgb="FF000000"/>
        <rFont val="Calibri"/>
      </rPr>
      <t>$ oc delete clusterrolebindings migration-creator</t>
    </r>
    <r>
      <rPr>
        <sz val="11"/>
        <color rgb="FF000000"/>
        <rFont val="Calibri"/>
      </rPr>
      <t xml:space="preserve">
</t>
    </r>
    <r>
      <rPr>
        <sz val="11"/>
        <color rgb="FF000000"/>
        <rFont val="Calibri"/>
      </rPr>
      <t>clusterrolebinding.rbac.authorization.k8s.io "migration-creator"</t>
    </r>
    <r>
      <rPr>
        <sz val="11"/>
        <color rgb="FF000000"/>
        <rFont val="Calibri"/>
      </rPr>
      <t xml:space="preserve">
</t>
    </r>
    <r>
      <rPr>
        <sz val="11"/>
        <color rgb="FF000000"/>
        <rFont val="Calibri"/>
      </rPr>
      <t>deleted</t>
    </r>
    <r>
      <rPr>
        <sz val="11"/>
        <color rgb="FF000000"/>
        <rFont val="Calibri"/>
      </rPr>
      <t xml:space="preserve">
</t>
    </r>
    <r>
      <rPr>
        <sz val="11"/>
        <color rgb="FF000000"/>
        <rFont val="Calibri"/>
      </rPr>
      <t># Re-verify that the test user cannot create the migrationpolicy</t>
    </r>
    <r>
      <rPr>
        <sz val="11"/>
        <color rgb="FF000000"/>
        <rFont val="Calibri"/>
      </rPr>
      <t xml:space="preserve">
</t>
    </r>
    <r>
      <rPr>
        <sz val="11"/>
        <color rgb="FF000000"/>
        <rFont val="Calibri"/>
      </rPr>
      <t>$ oc auth can-i create migrationpolicies --as test</t>
    </r>
    <r>
      <rPr>
        <sz val="11"/>
        <color rgb="FF000000"/>
        <rFont val="Calibri"/>
      </rPr>
      <t xml:space="preserve">
</t>
    </r>
    <r>
      <rPr>
        <sz val="11"/>
        <color rgb="FF000000"/>
        <rFont val="Calibri"/>
      </rPr>
      <t>Warning: resource 'migrationpolicies' is not namespace scoped in group</t>
    </r>
    <r>
      <rPr>
        <sz val="11"/>
        <color rgb="FF000000"/>
        <rFont val="Calibri"/>
      </rPr>
      <t xml:space="preserve">
</t>
    </r>
    <r>
      <rPr>
        <sz val="11"/>
        <color rgb="FF000000"/>
        <rFont val="Calibri"/>
      </rPr>
      <t>'migrations.kubevirt.io'</t>
    </r>
    <r>
      <rPr>
        <sz val="11"/>
        <color rgb="FF000000"/>
        <rFont val="Calibri"/>
      </rPr>
      <t xml:space="preserve">
</t>
    </r>
    <r>
      <rPr>
        <sz val="11"/>
        <color rgb="FF000000"/>
        <rFont val="Calibri"/>
      </rPr>
      <t>no</t>
    </r>
    <r>
      <rPr>
        <sz val="11"/>
        <color rgb="FF000000"/>
        <rFont val="Calibri"/>
      </rPr>
      <t xml:space="preserve">
</t>
    </r>
    <r>
      <rPr>
        <sz val="11"/>
        <color rgb="FF000000"/>
        <rFont val="Calibri"/>
      </rPr>
      <t xml:space="preserve">3. Add the appropriate kernel arguments to the MachineConfigPools of the workers nodes and reboot them. </t>
    </r>
    <r>
      <rPr>
        <sz val="11"/>
        <color rgb="FF000000"/>
        <rFont val="Calibri"/>
      </rPr>
      <t xml:space="preserve">
</t>
    </r>
    <r>
      <rPr>
        <sz val="11"/>
        <color rgb="FF000000"/>
        <rFont val="Calibri"/>
      </rPr>
      <t>Refer to https://docs.redhat.com/en/documentation/openshift_container_platform/4.18/html/installation_configuration/installing-customizing#installation-special-config-kargs_installing-customizing</t>
    </r>
    <r>
      <rPr>
        <sz val="11"/>
        <color rgb="FF000000"/>
        <rFont val="Calibri"/>
      </rPr>
      <t xml:space="preserve">
</t>
    </r>
    <r>
      <rPr>
        <sz val="11"/>
        <color rgb="FF000000"/>
        <rFont val="Calibri"/>
      </rPr>
      <t>Default Value: OpenShift does not enable nested virtualization by default.</t>
    </r>
  </si>
  <si>
    <r>
      <rPr>
        <sz val="11"/>
        <color rgb="FF000000"/>
        <rFont val="Calibri"/>
      </rPr>
      <t>Controlling and limiting users access to system services and resources is key to securing the platform and limiting the intentional or unintentional compromising of the system and its services. OpenShift provides a robust RBAC policy system that allows for authorization policies to be as detailed as needed. Additionally, there are two layers of RBAC policies. The first is Cluster RBAC policies which administrators can control who has what access to cluster level services. The other is Local RBAC policies, which allow project developers/administrators to control what level of access users have to a given project or namespace.</t>
    </r>
    <r>
      <rPr>
        <sz val="11"/>
        <color rgb="FF000000"/>
        <rFont val="Calibri"/>
      </rPr>
      <t xml:space="preserve">
</t>
    </r>
    <r>
      <rPr>
        <sz val="11"/>
        <color rgb="FF000000"/>
        <rFont val="Calibri"/>
      </rPr>
      <t>OpenShift provides a set of default roles out of the box, and additional roles may be added as needed. Each role has a set of rules controlling what access that role may have, and users and/or groups may be bound to one or more roles. The cluster-admin cluster level RBAC role has complete super admin privileges and it is a required role for select cluster administrators to have.</t>
    </r>
    <r>
      <rPr>
        <sz val="11"/>
        <color rgb="FF000000"/>
        <rFont val="Calibri"/>
      </rPr>
      <t xml:space="preserve">
</t>
    </r>
    <r>
      <rPr>
        <sz val="11"/>
        <color rgb="FF000000"/>
        <rFont val="Calibri"/>
      </rPr>
      <t>The OpenShift Container Platform includes a built-in image registry. The primary purpose is to allow users to create, import, and generally manage images running in the cluster. This registry is integrated with the authentication and authorization (RBAC) services on the cluster.</t>
    </r>
    <r>
      <rPr>
        <sz val="11"/>
        <color rgb="FF000000"/>
        <rFont val="Calibri"/>
      </rPr>
      <t xml:space="preserve">
</t>
    </r>
    <r>
      <rPr>
        <sz val="11"/>
        <color rgb="FF000000"/>
        <rFont val="Calibri"/>
      </rPr>
      <t>Restricting access permissions and providing access only to the necessary components and resources within the OpenShift environment reduces the potential impact of security breaches and unauthorized activities.</t>
    </r>
    <r>
      <rPr>
        <sz val="11"/>
        <color rgb="FF000000"/>
        <rFont val="Calibri"/>
      </rPr>
      <t xml:space="preserve">
</t>
    </r>
    <r>
      <rPr>
        <sz val="11"/>
        <color rgb="FF000000"/>
        <rFont val="Calibri"/>
      </rPr>
      <t>Satisfies: SRG-APP-000033-CTR-000090, SRG-APP-000033-CTR-000095, SRG-APP-000033-CTR-000100, SRG-APP-000133-CTR-000290, SRG-APP-000133-CTR-000295, SRG-APP-000133-CTR-000300, SRG-APP-000133-CTR-000305, SRG-APP-000133-CTR-000310, SRG-APP-000148-CTR-000350, SRG-APP-000153-CTR-000375, SRG-APP-000340-CTR-000770, SRG-APP-000378-CTR-000880, SRG-APP-000378-CTR-000885, SRG-APP-000378-CTR-000890, SRG-APP-000380-CTR-000900, SRG-APP-000386-CTR-000920</t>
    </r>
  </si>
  <si>
    <r>
      <rPr>
        <sz val="11"/>
        <color rgb="FF000000"/>
        <rFont val="Calibri"/>
      </rPr>
      <t>The administrator must verify OpenShift is configured with the necessary RBAC access controls.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Review the RBAC configuration. </t>
    </r>
    <r>
      <rPr>
        <sz val="11"/>
        <color rgb="FF000000"/>
        <rFont val="Calibri"/>
      </rPr>
      <t xml:space="preserve">
</t>
    </r>
    <r>
      <rPr>
        <sz val="11"/>
        <color rgb="FF000000"/>
        <rFont val="Calibri"/>
      </rPr>
      <t>As the cluster-admin, view the cluster roles and their associated rule sets by executing the following:</t>
    </r>
    <r>
      <rPr>
        <sz val="11"/>
        <color rgb="FF000000"/>
        <rFont val="Calibri"/>
      </rPr>
      <t xml:space="preserve">
</t>
    </r>
    <r>
      <rPr>
        <sz val="11"/>
        <color rgb="FF000000"/>
        <rFont val="Calibri"/>
      </rPr>
      <t>oc describe clusterrole.rbac</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View the current set of cluster role bindings, which shows the users and groups that are bound to various roles, by executing the following:</t>
    </r>
    <r>
      <rPr>
        <sz val="11"/>
        <color rgb="FF000000"/>
        <rFont val="Calibri"/>
      </rPr>
      <t xml:space="preserve">
</t>
    </r>
    <r>
      <rPr>
        <sz val="11"/>
        <color rgb="FF000000"/>
        <rFont val="Calibri"/>
      </rPr>
      <t>oc describe clusterrolebinding.rbac</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Determine local roles and bindings by executing the following:</t>
    </r>
    <r>
      <rPr>
        <sz val="11"/>
        <color rgb="FF000000"/>
        <rFont val="Calibri"/>
      </rPr>
      <t xml:space="preserve">
</t>
    </r>
    <r>
      <rPr>
        <sz val="11"/>
        <color rgb="FF000000"/>
        <rFont val="Calibri"/>
      </rPr>
      <t xml:space="preserve">oc describe rolebinding.rbac </t>
    </r>
    <r>
      <rPr>
        <sz val="11"/>
        <color rgb="FF000000"/>
        <rFont val="Calibri"/>
      </rPr>
      <t xml:space="preserve">
</t>
    </r>
    <r>
      <rPr>
        <sz val="11"/>
        <color rgb="FF000000"/>
        <rFont val="Calibri"/>
      </rPr>
      <t>If these results show users with privileged access that do not require that access, this is a finding.</t>
    </r>
    <r>
      <rPr>
        <sz val="11"/>
        <color rgb="FF000000"/>
        <rFont val="Calibri"/>
      </rPr>
      <t xml:space="preserve">
</t>
    </r>
    <r>
      <rPr>
        <sz val="11"/>
        <color rgb="FF000000"/>
        <rFont val="Calibri"/>
      </rPr>
      <t>Where OpenShift Virtualization is enabled:</t>
    </r>
    <r>
      <rPr>
        <sz val="11"/>
        <color rgb="FF000000"/>
        <rFont val="Calibri"/>
      </rPr>
      <t xml:space="preserve">
</t>
    </r>
    <r>
      <rPr>
        <sz val="11"/>
        <color rgb="FF000000"/>
        <rFont val="Calibri"/>
      </rPr>
      <t>1. Execute the following:</t>
    </r>
    <r>
      <rPr>
        <sz val="11"/>
        <color rgb="FF000000"/>
        <rFont val="Calibri"/>
      </rPr>
      <t xml:space="preserve">
</t>
    </r>
    <r>
      <rPr>
        <sz val="11"/>
        <color rgb="FF000000"/>
        <rFont val="Calibri"/>
      </rPr>
      <t>$ for pod in $(oc get pod -n openshift-cnv -l</t>
    </r>
    <r>
      <rPr>
        <sz val="11"/>
        <color rgb="FF000000"/>
        <rFont val="Calibri"/>
      </rPr>
      <t xml:space="preserve">
</t>
    </r>
    <r>
      <rPr>
        <sz val="11"/>
        <color rgb="FF000000"/>
        <rFont val="Calibri"/>
      </rPr>
      <t>kubevirt.io=virt-handler --no-headers -o</t>
    </r>
    <r>
      <rPr>
        <sz val="11"/>
        <color rgb="FF000000"/>
        <rFont val="Calibri"/>
      </rPr>
      <t xml:space="preserve">
</t>
    </r>
    <r>
      <rPr>
        <sz val="11"/>
        <color rgb="FF000000"/>
        <rFont val="Calibri"/>
      </rPr>
      <t>custom-columns="":metadata.name""); do</t>
    </r>
    <r>
      <rPr>
        <sz val="11"/>
        <color rgb="FF000000"/>
        <rFont val="Calibri"/>
      </rPr>
      <t xml:space="preserve">
</t>
    </r>
    <r>
      <rPr>
        <sz val="11"/>
        <color rgb="FF000000"/>
        <rFont val="Calibri"/>
      </rPr>
      <t>oc exec -ti -n openshift-cnv $pod -c virt-handler -- stat -c %a</t>
    </r>
    <r>
      <rPr>
        <sz val="11"/>
        <color rgb="FF000000"/>
        <rFont val="Calibri"/>
      </rPr>
      <t xml:space="preserve">
</t>
    </r>
    <r>
      <rPr>
        <sz val="11"/>
        <color rgb="FF000000"/>
        <rFont val="Calibri"/>
      </rPr>
      <t>/proc/1/root/var/lib/kubelet/seccomp/kubevirt/kubevirt.json</t>
    </r>
    <r>
      <rPr>
        <sz val="11"/>
        <color rgb="FF000000"/>
        <rFont val="Calibri"/>
      </rPr>
      <t xml:space="preserve">
</t>
    </r>
    <r>
      <rPr>
        <sz val="11"/>
        <color rgb="FF000000"/>
        <rFont val="Calibri"/>
      </rPr>
      <t>done</t>
    </r>
    <r>
      <rPr>
        <sz val="11"/>
        <color rgb="FF000000"/>
        <rFont val="Calibri"/>
      </rPr>
      <t xml:space="preserve">
</t>
    </r>
    <r>
      <rPr>
        <sz val="11"/>
        <color rgb="FF000000"/>
        <rFont val="Calibri"/>
      </rPr>
      <t>If the permissions are set to anything less restrictive than "700", this is a finding.</t>
    </r>
    <r>
      <rPr>
        <sz val="11"/>
        <color rgb="FF000000"/>
        <rFont val="Calibri"/>
      </rPr>
      <t xml:space="preserve">
</t>
    </r>
    <r>
      <rPr>
        <sz val="11"/>
        <color rgb="FF000000"/>
        <rFont val="Calibri"/>
      </rPr>
      <t>2. Execute the following:</t>
    </r>
    <r>
      <rPr>
        <sz val="11"/>
        <color rgb="FF000000"/>
        <rFont val="Calibri"/>
      </rPr>
      <t xml:space="preserve">
</t>
    </r>
    <r>
      <rPr>
        <sz val="11"/>
        <color rgb="FF000000"/>
        <rFont val="Calibri"/>
      </rPr>
      <t>$ for pod in $(oc get po -n openshift-cnv -l kubevirt.io=virt-handler</t>
    </r>
    <r>
      <rPr>
        <sz val="11"/>
        <color rgb="FF000000"/>
        <rFont val="Calibri"/>
      </rPr>
      <t xml:space="preserve">
</t>
    </r>
    <r>
      <rPr>
        <sz val="11"/>
        <color rgb="FF000000"/>
        <rFont val="Calibri"/>
      </rPr>
      <t>--no-headers -o custom-columns="":metadata.name""); do oc exec $pod</t>
    </r>
    <r>
      <rPr>
        <sz val="11"/>
        <color rgb="FF000000"/>
        <rFont val="Calibri"/>
      </rPr>
      <t xml:space="preserve">
</t>
    </r>
    <r>
      <rPr>
        <sz val="11"/>
        <color rgb="FF000000"/>
        <rFont val="Calibri"/>
      </rPr>
      <t>-ti -n openshift-cnv -- stat -c %a /var/run/kubevirt-private ;done</t>
    </r>
    <r>
      <rPr>
        <sz val="11"/>
        <color rgb="FF000000"/>
        <rFont val="Calibri"/>
      </rPr>
      <t xml:space="preserve">
</t>
    </r>
    <r>
      <rPr>
        <sz val="11"/>
        <color rgb="FF000000"/>
        <rFont val="Calibri"/>
      </rPr>
      <t>If the permissions are set to anything less restrictive than "755", this is a finding.</t>
    </r>
    <r>
      <rPr>
        <sz val="11"/>
        <color rgb="FF000000"/>
        <rFont val="Calibri"/>
      </rPr>
      <t xml:space="preserve">
</t>
    </r>
    <r>
      <rPr>
        <sz val="11"/>
        <color rgb="FF000000"/>
        <rFont val="Calibri"/>
      </rPr>
      <t>3. Execute the following:</t>
    </r>
    <r>
      <rPr>
        <sz val="11"/>
        <color rgb="FF000000"/>
        <rFont val="Calibri"/>
      </rPr>
      <t xml:space="preserve">
</t>
    </r>
    <r>
      <rPr>
        <sz val="11"/>
        <color rgb="FF000000"/>
        <rFont val="Calibri"/>
      </rPr>
      <t>$oc adm policy who-can create vmim</t>
    </r>
    <r>
      <rPr>
        <sz val="11"/>
        <color rgb="FF000000"/>
        <rFont val="Calibri"/>
      </rPr>
      <t xml:space="preserve">
</t>
    </r>
    <r>
      <rPr>
        <sz val="11"/>
        <color rgb="FF000000"/>
        <rFont val="Calibri"/>
      </rPr>
      <t>$ oc adm policy who-can create migrationpolicy</t>
    </r>
    <r>
      <rPr>
        <sz val="11"/>
        <color rgb="FF000000"/>
        <rFont val="Calibri"/>
      </rPr>
      <t xml:space="preserve">
</t>
    </r>
    <r>
      <rPr>
        <sz val="11"/>
        <color rgb="FF000000"/>
        <rFont val="Calibri"/>
      </rPr>
      <t>If these results show users with privileged access that do not require that access, this is a finding.</t>
    </r>
    <r>
      <rPr>
        <sz val="11"/>
        <color rgb="FF000000"/>
        <rFont val="Calibri"/>
      </rPr>
      <t xml:space="preserve">
</t>
    </r>
    <r>
      <rPr>
        <sz val="11"/>
        <color rgb="FF000000"/>
        <rFont val="Calibri"/>
      </rPr>
      <t>4. Use the following command to find users, service accounts, and groups who are allowed to create VirtualMachineInterfaceMigration and MigrationPolicy resources:</t>
    </r>
    <r>
      <rPr>
        <sz val="11"/>
        <color rgb="FF000000"/>
        <rFont val="Calibri"/>
      </rPr>
      <t xml:space="preserve">
</t>
    </r>
    <r>
      <rPr>
        <sz val="11"/>
        <color rgb="FF000000"/>
        <rFont val="Calibri"/>
      </rPr>
      <t>$ oc adm policy who-can create vmim</t>
    </r>
    <r>
      <rPr>
        <sz val="11"/>
        <color rgb="FF000000"/>
        <rFont val="Calibri"/>
      </rPr>
      <t xml:space="preserve">
</t>
    </r>
    <r>
      <rPr>
        <sz val="11"/>
        <color rgb="FF000000"/>
        <rFont val="Calibri"/>
      </rPr>
      <t>$ oc adm policy who-can create migrationpolicy</t>
    </r>
    <r>
      <rPr>
        <sz val="11"/>
        <color rgb="FF000000"/>
        <rFont val="Calibri"/>
      </rPr>
      <t xml:space="preserve">
</t>
    </r>
    <r>
      <rPr>
        <sz val="11"/>
        <color rgb="FF000000"/>
        <rFont val="Calibri"/>
      </rPr>
      <t>If these list users not authorized to perform namespace admin migration functions, this is a finding.</t>
    </r>
    <r>
      <rPr>
        <sz val="11"/>
        <color rgb="FF000000"/>
        <rFont val="Calibri"/>
      </rPr>
      <t xml:space="preserve">
</t>
    </r>
    <r>
      <rPr>
        <sz val="11"/>
        <color rgb="FF000000"/>
        <rFont val="Calibri"/>
      </rPr>
      <t>5. Execute the following:</t>
    </r>
    <r>
      <rPr>
        <sz val="11"/>
        <color rgb="FF000000"/>
        <rFont val="Calibri"/>
      </rPr>
      <t xml:space="preserve">
</t>
    </r>
    <r>
      <rPr>
        <sz val="11"/>
        <color rgb="FF000000"/>
        <rFont val="Calibri"/>
      </rPr>
      <t xml:space="preserve">cat /sys/module/kvm_intel/parameters/nested </t>
    </r>
    <r>
      <rPr>
        <sz val="11"/>
        <color rgb="FF000000"/>
        <rFont val="Calibri"/>
      </rPr>
      <t xml:space="preserve">
</t>
    </r>
    <r>
      <rPr>
        <sz val="11"/>
        <color rgb="FF000000"/>
        <rFont val="Calibri"/>
      </rPr>
      <t>If the result is "1", this is a finding.</t>
    </r>
  </si>
  <si>
    <t>V-257514</t>
  </si>
  <si>
    <r>
      <rPr>
        <sz val="11"/>
        <rFont val="Calibri"/>
      </rPr>
      <t>OpenShift must enforce network policy on the namespace for controlling the flow of information within the container platform based on organization-defined information flow control policies.</t>
    </r>
  </si>
  <si>
    <r>
      <rPr>
        <sz val="11"/>
        <color rgb="FF000000"/>
        <rFont val="Calibri"/>
      </rPr>
      <t>Add a network policy to an existing project namespace by performing the following steps: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1. Create &amp;lt;YOURFILE&amp;gt;.yaml and insert the desired resource network policy content. The following is an example resource quota definition:</t>
    </r>
    <r>
      <rPr>
        <sz val="11"/>
        <color rgb="FF000000"/>
        <rFont val="Calibri"/>
      </rPr>
      <t xml:space="preserve">
</t>
    </r>
    <r>
      <rPr>
        <sz val="11"/>
        <color rgb="FF000000"/>
        <rFont val="Calibri"/>
      </rPr>
      <t xml:space="preserve">  apiVersion: networking.k8s.io/v1</t>
    </r>
    <r>
      <rPr>
        <sz val="11"/>
        <color rgb="FF000000"/>
        <rFont val="Calibri"/>
      </rPr>
      <t xml:space="preserve">
</t>
    </r>
    <r>
      <rPr>
        <sz val="11"/>
        <color rgb="FF000000"/>
        <rFont val="Calibri"/>
      </rPr>
      <t xml:space="preserve"> kind: NetworkPolicy</t>
    </r>
    <r>
      <rPr>
        <sz val="11"/>
        <color rgb="FF000000"/>
        <rFont val="Calibri"/>
      </rPr>
      <t xml:space="preserve">
</t>
    </r>
    <r>
      <rPr>
        <sz val="11"/>
        <color rgb="FF000000"/>
        <rFont val="Calibri"/>
      </rPr>
      <t xml:space="preserve"> metadata:</t>
    </r>
    <r>
      <rPr>
        <sz val="11"/>
        <color rgb="FF000000"/>
        <rFont val="Calibri"/>
      </rPr>
      <t xml:space="preserve">
</t>
    </r>
    <r>
      <rPr>
        <sz val="11"/>
        <color rgb="FF000000"/>
        <rFont val="Calibri"/>
      </rPr>
      <t xml:space="preserve">  name: allow-from-same-namespace</t>
    </r>
    <r>
      <rPr>
        <sz val="11"/>
        <color rgb="FF000000"/>
        <rFont val="Calibri"/>
      </rPr>
      <t xml:space="preserve">
</t>
    </r>
    <r>
      <rPr>
        <sz val="11"/>
        <color rgb="FF000000"/>
        <rFont val="Calibri"/>
      </rPr>
      <t xml:space="preserve">  namespace: &amp;lt;NAMESPACE&amp;gt;</t>
    </r>
    <r>
      <rPr>
        <sz val="11"/>
        <color rgb="FF000000"/>
        <rFont val="Calibri"/>
      </rPr>
      <t xml:space="preserve">
</t>
    </r>
    <r>
      <rPr>
        <sz val="11"/>
        <color rgb="FF000000"/>
        <rFont val="Calibri"/>
      </rPr>
      <t xml:space="preserve"> spec:</t>
    </r>
    <r>
      <rPr>
        <sz val="11"/>
        <color rgb="FF000000"/>
        <rFont val="Calibri"/>
      </rPr>
      <t xml:space="preserve">
</t>
    </r>
    <r>
      <rPr>
        <sz val="11"/>
        <color rgb="FF000000"/>
        <rFont val="Calibri"/>
      </rPr>
      <t xml:space="preserve">  podSelector: {}</t>
    </r>
    <r>
      <rPr>
        <sz val="11"/>
        <color rgb="FF000000"/>
        <rFont val="Calibri"/>
      </rPr>
      <t xml:space="preserve">
</t>
    </r>
    <r>
      <rPr>
        <sz val="11"/>
        <color rgb="FF000000"/>
        <rFont val="Calibri"/>
      </rPr>
      <t xml:space="preserve">  ingress:</t>
    </r>
    <r>
      <rPr>
        <sz val="11"/>
        <color rgb="FF000000"/>
        <rFont val="Calibri"/>
      </rPr>
      <t xml:space="preserve">
</t>
    </r>
    <r>
      <rPr>
        <sz val="11"/>
        <color rgb="FF000000"/>
        <rFont val="Calibri"/>
      </rPr>
      <t xml:space="preserve">  - from:</t>
    </r>
    <r>
      <rPr>
        <sz val="11"/>
        <color rgb="FF000000"/>
        <rFont val="Calibri"/>
      </rPr>
      <t xml:space="preserve">
</t>
    </r>
    <r>
      <rPr>
        <sz val="11"/>
        <color rgb="FF000000"/>
        <rFont val="Calibri"/>
      </rPr>
      <t xml:space="preserve">  - podSelector: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2. Apply the network policy definition to the project namespace by executing the following:</t>
    </r>
    <r>
      <rPr>
        <sz val="11"/>
        <color rgb="FF000000"/>
        <rFont val="Calibri"/>
      </rPr>
      <t xml:space="preserve">
</t>
    </r>
    <r>
      <rPr>
        <sz val="11"/>
        <color rgb="FF000000"/>
        <rFont val="Calibri"/>
      </rPr>
      <t>oc apply -f &amp;lt;YOURFILE&amp;gt;.yaml -n &amp;lt;NAMESPACE&amp;gt;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Details regarding the configuration of resource network policy can be reviewed at https://docs.openshift.com/container-platform/4.12/networking/network_policy/about-network-policy.html.</t>
    </r>
    <r>
      <rPr>
        <sz val="11"/>
        <color rgb="FF000000"/>
        <rFont val="Calibri"/>
      </rPr>
      <t xml:space="preserve">
</t>
    </r>
    <r>
      <rPr>
        <sz val="11"/>
        <color rgb="FF000000"/>
        <rFont val="Calibri"/>
      </rPr>
      <t>Where OpenShift Virtualization is enabled:</t>
    </r>
    <r>
      <rPr>
        <sz val="11"/>
        <color rgb="FF000000"/>
        <rFont val="Calibri"/>
      </rPr>
      <t xml:space="preserve">
</t>
    </r>
    <r>
      <rPr>
        <sz val="11"/>
        <color rgb="FF000000"/>
        <rFont val="Calibri"/>
      </rPr>
      <t>Enable MAC-spoof filtering per the deployed networking provider instructions.</t>
    </r>
    <r>
      <rPr>
        <sz val="11"/>
        <color rgb="FF000000"/>
        <rFont val="Calibri"/>
      </rPr>
      <t xml:space="preserve">
</t>
    </r>
    <r>
      <rPr>
        <sz val="11"/>
        <color rgb="FF000000"/>
        <rFont val="Calibri"/>
      </rPr>
      <t>Instructions for Bridge CNI and SR-IOV CNI:</t>
    </r>
    <r>
      <rPr>
        <sz val="11"/>
        <color rgb="FF000000"/>
        <rFont val="Calibri"/>
      </rPr>
      <t xml:space="preserve">
</t>
    </r>
    <r>
      <rPr>
        <sz val="11"/>
        <color rgb="FF000000"/>
        <rFont val="Calibri"/>
      </rPr>
      <t>https://docs.redhat.com/en/documentation/openshift_container_platform/4.18/html/virtualization/networking#virt-creating-linux-bridge-nad-cli_virt-connecting-vm-to-linux-bridge</t>
    </r>
    <r>
      <rPr>
        <sz val="11"/>
        <color rgb="FF000000"/>
        <rFont val="Calibri"/>
      </rPr>
      <t xml:space="preserve">
</t>
    </r>
    <r>
      <rPr>
        <sz val="11"/>
        <color rgb="FF000000"/>
        <rFont val="Calibri"/>
      </rPr>
      <t>https://docs.redhat.com/en/documentation/openshift_container_platform/4.18/html/virtualization/networking#nw-sriov-network-attachment_virt-connecting-vm-to-sriov</t>
    </r>
  </si>
  <si>
    <r>
      <rPr>
        <sz val="11"/>
        <color rgb="FF000000"/>
        <rFont val="Calibri"/>
      </rPr>
      <t>OpenShift provides several layers of protection to control the flow of information between the container platform components and user services. Each user project is given a separate namespace and OpenShift enforces RBAC policies controlling which projects and services users can access.</t>
    </r>
    <r>
      <rPr>
        <sz val="11"/>
        <color rgb="FF000000"/>
        <rFont val="Calibri"/>
      </rPr>
      <t xml:space="preserve">
</t>
    </r>
    <r>
      <rPr>
        <sz val="11"/>
        <color rgb="FF000000"/>
        <rFont val="Calibri"/>
      </rPr>
      <t>OpenShift forces the use of namespaces. Service accounts are a namespace resource as well, so they are segregated. RBAC policies apply to service accounts. In addition, network policies are used to control the flow of requests between containers hosted on the container platform.</t>
    </r>
    <r>
      <rPr>
        <sz val="11"/>
        <color rgb="FF000000"/>
        <rFont val="Calibri"/>
      </rPr>
      <t xml:space="preserve">
</t>
    </r>
    <r>
      <rPr>
        <sz val="11"/>
        <color rgb="FF000000"/>
        <rFont val="Calibri"/>
      </rPr>
      <t>It is important to define a default network policy on the namespace that will be applied automatically to new projects to prevent unintended requests. These policies can be updated by the project's administrator (with the appropriate RBAC permissions) to apply a policy that is appropriate to the service(s) within the project namespace.</t>
    </r>
  </si>
  <si>
    <r>
      <rPr>
        <sz val="11"/>
        <color rgb="FF000000"/>
        <rFont val="Calibri"/>
      </rPr>
      <t>Verify each user namespace has a network policy by executing the following: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for ns in $(oc get namespaces -ojson | jq -r &amp;#039;.items[] | select((.metadata.name | startswith(&amp;#039;openshift&amp;#039;) | not) and (.metadata.name | startswith(&amp;#039;kube-&amp;#039;) | not) and .metadata.name != &amp;#039;default&amp;#039;) | .metadata.name &amp;#039;); do oc get networkpolicy -n$ns; done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above returns any lines saying &amp;#039;No resources found in &amp;lt;PROJECT&amp;gt; namespace.&amp;#039;, this is a finding. Empty output is not a finding.</t>
    </r>
    <r>
      <rPr>
        <sz val="11"/>
        <color rgb="FF000000"/>
        <rFont val="Calibri"/>
      </rPr>
      <t xml:space="preserve">
</t>
    </r>
    <r>
      <rPr>
        <sz val="11"/>
        <color rgb="FF000000"/>
        <rFont val="Calibri"/>
      </rPr>
      <t>Where OpenShift Virtualization is enabled:</t>
    </r>
    <r>
      <rPr>
        <sz val="11"/>
        <color rgb="FF000000"/>
        <rFont val="Calibri"/>
      </rPr>
      <t xml:space="preserve">
</t>
    </r>
    <r>
      <rPr>
        <sz val="11"/>
        <color rgb="FF000000"/>
        <rFont val="Calibri"/>
      </rPr>
      <t>For SR-IOV, use the following command:</t>
    </r>
    <r>
      <rPr>
        <sz val="11"/>
        <color rgb="FF000000"/>
        <rFont val="Calibri"/>
      </rPr>
      <t xml:space="preserve">
</t>
    </r>
    <r>
      <rPr>
        <sz val="11"/>
        <color rgb="FF000000"/>
        <rFont val="Calibri"/>
      </rPr>
      <t>$ oc get sriovnetwork -o json | jq ".items[].spec.spoofChk"</t>
    </r>
    <r>
      <rPr>
        <sz val="11"/>
        <color rgb="FF000000"/>
        <rFont val="Calibri"/>
      </rPr>
      <t xml:space="preserve">
</t>
    </r>
    <r>
      <rPr>
        <sz val="11"/>
        <color rgb="FF000000"/>
        <rFont val="Calibri"/>
      </rPr>
      <t>If these results show the setting is off for any network, this is a finding.</t>
    </r>
    <r>
      <rPr>
        <sz val="11"/>
        <color rgb="FF000000"/>
        <rFont val="Calibri"/>
      </rPr>
      <t xml:space="preserve">
</t>
    </r>
    <r>
      <rPr>
        <sz val="11"/>
        <color rgb="FF000000"/>
        <rFont val="Calibri"/>
      </rPr>
      <t>For Bridge CNI, use the following command:</t>
    </r>
    <r>
      <rPr>
        <sz val="11"/>
        <color rgb="FF000000"/>
        <rFont val="Calibri"/>
      </rPr>
      <t xml:space="preserve">
</t>
    </r>
    <r>
      <rPr>
        <sz val="11"/>
        <color rgb="FF000000"/>
        <rFont val="Calibri"/>
      </rPr>
      <t>$ oc get networkattachmentdefinition -o json | jq</t>
    </r>
    <r>
      <rPr>
        <sz val="11"/>
        <color rgb="FF000000"/>
        <rFont val="Calibri"/>
      </rPr>
      <t xml:space="preserve">
</t>
    </r>
    <r>
      <rPr>
        <sz val="11"/>
        <color rgb="FF000000"/>
        <rFont val="Calibri"/>
      </rPr>
      <t>".items[].spec.config.macspoofchk"</t>
    </r>
    <r>
      <rPr>
        <sz val="11"/>
        <color rgb="FF000000"/>
        <rFont val="Calibri"/>
      </rPr>
      <t xml:space="preserve">
</t>
    </r>
    <r>
      <rPr>
        <sz val="11"/>
        <color rgb="FF000000"/>
        <rFont val="Calibri"/>
      </rPr>
      <t>If these results show the setting is false for any network, this is a finding.</t>
    </r>
  </si>
  <si>
    <t>V-257515</t>
  </si>
  <si>
    <r>
      <rPr>
        <sz val="11"/>
        <rFont val="Calibri"/>
      </rPr>
      <t>OpenShift must enforce approved authorizations for controlling the flow of information within the container platform based on organization-defined information flow control policies.</t>
    </r>
  </si>
  <si>
    <r>
      <rPr>
        <sz val="11"/>
        <color rgb="FF000000"/>
        <rFont val="Calibri"/>
      </rPr>
      <t>Configure a default network policy as necessary to protect the flow of information by performing the following steps: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1. Create a bootstrap project template (if not already created) by executing the following:</t>
    </r>
    <r>
      <rPr>
        <sz val="11"/>
        <color rgb="FF000000"/>
        <rFont val="Calibri"/>
      </rPr>
      <t xml:space="preserve">
</t>
    </r>
    <r>
      <rPr>
        <sz val="11"/>
        <color rgb="FF000000"/>
        <rFont val="Calibri"/>
      </rPr>
      <t xml:space="preserve"> oc adm create-bootstrap-project-template -o yaml &amp;gt; template.yaml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2. Edit the template and add network policy object definitions before the parameters section. For example, the following section defines two policies: one to allow requests from the same namespace and one to allow from the OpenShift ingress routing service. </t>
    </r>
    <r>
      <rPr>
        <sz val="11"/>
        <color rgb="FF000000"/>
        <rFont val="Calibri"/>
      </rPr>
      <t xml:space="preserve">
</t>
    </r>
    <r>
      <rPr>
        <sz val="11"/>
        <color rgb="FF000000"/>
        <rFont val="Calibri"/>
      </rPr>
      <t xml:space="preserve"> - apiVersion: networking.k8s.io/v1</t>
    </r>
    <r>
      <rPr>
        <sz val="11"/>
        <color rgb="FF000000"/>
        <rFont val="Calibri"/>
      </rPr>
      <t xml:space="preserve">
</t>
    </r>
    <r>
      <rPr>
        <sz val="11"/>
        <color rgb="FF000000"/>
        <rFont val="Calibri"/>
      </rPr>
      <t xml:space="preserve">  kind: NetworkPolicy</t>
    </r>
    <r>
      <rPr>
        <sz val="11"/>
        <color rgb="FF000000"/>
        <rFont val="Calibri"/>
      </rPr>
      <t xml:space="preserve">
</t>
    </r>
    <r>
      <rPr>
        <sz val="11"/>
        <color rgb="FF000000"/>
        <rFont val="Calibri"/>
      </rPr>
      <t xml:space="preserve">  metadata:</t>
    </r>
    <r>
      <rPr>
        <sz val="11"/>
        <color rgb="FF000000"/>
        <rFont val="Calibri"/>
      </rPr>
      <t xml:space="preserve">
</t>
    </r>
    <r>
      <rPr>
        <sz val="11"/>
        <color rgb="FF000000"/>
        <rFont val="Calibri"/>
      </rPr>
      <t xml:space="preserve">  name: allow-from-same-namespace</t>
    </r>
    <r>
      <rPr>
        <sz val="11"/>
        <color rgb="FF000000"/>
        <rFont val="Calibri"/>
      </rPr>
      <t xml:space="preserve">
</t>
    </r>
    <r>
      <rPr>
        <sz val="11"/>
        <color rgb="FF000000"/>
        <rFont val="Calibri"/>
      </rPr>
      <t xml:space="preserve">  spec:</t>
    </r>
    <r>
      <rPr>
        <sz val="11"/>
        <color rgb="FF000000"/>
        <rFont val="Calibri"/>
      </rPr>
      <t xml:space="preserve">
</t>
    </r>
    <r>
      <rPr>
        <sz val="11"/>
        <color rgb="FF000000"/>
        <rFont val="Calibri"/>
      </rPr>
      <t xml:space="preserve">  podSelector:</t>
    </r>
    <r>
      <rPr>
        <sz val="11"/>
        <color rgb="FF000000"/>
        <rFont val="Calibri"/>
      </rPr>
      <t xml:space="preserve">
</t>
    </r>
    <r>
      <rPr>
        <sz val="11"/>
        <color rgb="FF000000"/>
        <rFont val="Calibri"/>
      </rPr>
      <t xml:space="preserve">  ingress:</t>
    </r>
    <r>
      <rPr>
        <sz val="11"/>
        <color rgb="FF000000"/>
        <rFont val="Calibri"/>
      </rPr>
      <t xml:space="preserve">
</t>
    </r>
    <r>
      <rPr>
        <sz val="11"/>
        <color rgb="FF000000"/>
        <rFont val="Calibri"/>
      </rPr>
      <t xml:space="preserve">  - from:</t>
    </r>
    <r>
      <rPr>
        <sz val="11"/>
        <color rgb="FF000000"/>
        <rFont val="Calibri"/>
      </rPr>
      <t xml:space="preserve">
</t>
    </r>
    <r>
      <rPr>
        <sz val="11"/>
        <color rgb="FF000000"/>
        <rFont val="Calibri"/>
      </rPr>
      <t xml:space="preserve">  - podSelector: {}</t>
    </r>
    <r>
      <rPr>
        <sz val="11"/>
        <color rgb="FF000000"/>
        <rFont val="Calibri"/>
      </rPr>
      <t xml:space="preserve">
</t>
    </r>
    <r>
      <rPr>
        <sz val="11"/>
        <color rgb="FF000000"/>
        <rFont val="Calibri"/>
      </rPr>
      <t xml:space="preserve"> - apiVersion: networking.k8s.io/v1</t>
    </r>
    <r>
      <rPr>
        <sz val="11"/>
        <color rgb="FF000000"/>
        <rFont val="Calibri"/>
      </rPr>
      <t xml:space="preserve">
</t>
    </r>
    <r>
      <rPr>
        <sz val="11"/>
        <color rgb="FF000000"/>
        <rFont val="Calibri"/>
      </rPr>
      <t xml:space="preserve">  kind: NetworkPolicy</t>
    </r>
    <r>
      <rPr>
        <sz val="11"/>
        <color rgb="FF000000"/>
        <rFont val="Calibri"/>
      </rPr>
      <t xml:space="preserve">
</t>
    </r>
    <r>
      <rPr>
        <sz val="11"/>
        <color rgb="FF000000"/>
        <rFont val="Calibri"/>
      </rPr>
      <t xml:space="preserve">  metadata:</t>
    </r>
    <r>
      <rPr>
        <sz val="11"/>
        <color rgb="FF000000"/>
        <rFont val="Calibri"/>
      </rPr>
      <t xml:space="preserve">
</t>
    </r>
    <r>
      <rPr>
        <sz val="11"/>
        <color rgb="FF000000"/>
        <rFont val="Calibri"/>
      </rPr>
      <t xml:space="preserve">  name: allow-from-openshift-ingress</t>
    </r>
    <r>
      <rPr>
        <sz val="11"/>
        <color rgb="FF000000"/>
        <rFont val="Calibri"/>
      </rPr>
      <t xml:space="preserve">
</t>
    </r>
    <r>
      <rPr>
        <sz val="11"/>
        <color rgb="FF000000"/>
        <rFont val="Calibri"/>
      </rPr>
      <t xml:space="preserve">  spec:</t>
    </r>
    <r>
      <rPr>
        <sz val="11"/>
        <color rgb="FF000000"/>
        <rFont val="Calibri"/>
      </rPr>
      <t xml:space="preserve">
</t>
    </r>
    <r>
      <rPr>
        <sz val="11"/>
        <color rgb="FF000000"/>
        <rFont val="Calibri"/>
      </rPr>
      <t xml:space="preserve">  ingress:</t>
    </r>
    <r>
      <rPr>
        <sz val="11"/>
        <color rgb="FF000000"/>
        <rFont val="Calibri"/>
      </rPr>
      <t xml:space="preserve">
</t>
    </r>
    <r>
      <rPr>
        <sz val="11"/>
        <color rgb="FF000000"/>
        <rFont val="Calibri"/>
      </rPr>
      <t xml:space="preserve">  - from:</t>
    </r>
    <r>
      <rPr>
        <sz val="11"/>
        <color rgb="FF000000"/>
        <rFont val="Calibri"/>
      </rPr>
      <t xml:space="preserve">
</t>
    </r>
    <r>
      <rPr>
        <sz val="11"/>
        <color rgb="FF000000"/>
        <rFont val="Calibri"/>
      </rPr>
      <t xml:space="preserve">  - namespaceSelector:</t>
    </r>
    <r>
      <rPr>
        <sz val="11"/>
        <color rgb="FF000000"/>
        <rFont val="Calibri"/>
      </rPr>
      <t xml:space="preserve">
</t>
    </r>
    <r>
      <rPr>
        <sz val="11"/>
        <color rgb="FF000000"/>
        <rFont val="Calibri"/>
      </rPr>
      <t xml:space="preserve">  matchLabels:</t>
    </r>
    <r>
      <rPr>
        <sz val="11"/>
        <color rgb="FF000000"/>
        <rFont val="Calibri"/>
      </rPr>
      <t xml:space="preserve">
</t>
    </r>
    <r>
      <rPr>
        <sz val="11"/>
        <color rgb="FF000000"/>
        <rFont val="Calibri"/>
      </rPr>
      <t xml:space="preserve">  network.openshift.io/policy-group: ingress</t>
    </r>
    <r>
      <rPr>
        <sz val="11"/>
        <color rgb="FF000000"/>
        <rFont val="Calibri"/>
      </rPr>
      <t xml:space="preserve">
</t>
    </r>
    <r>
      <rPr>
        <sz val="11"/>
        <color rgb="FF000000"/>
        <rFont val="Calibri"/>
      </rPr>
      <t xml:space="preserve">  podSelector: {}</t>
    </r>
    <r>
      <rPr>
        <sz val="11"/>
        <color rgb="FF000000"/>
        <rFont val="Calibri"/>
      </rPr>
      <t xml:space="preserve">
</t>
    </r>
    <r>
      <rPr>
        <sz val="11"/>
        <color rgb="FF000000"/>
        <rFont val="Calibri"/>
      </rPr>
      <t xml:space="preserve">  policyTypes:</t>
    </r>
    <r>
      <rPr>
        <sz val="11"/>
        <color rgb="FF000000"/>
        <rFont val="Calibri"/>
      </rPr>
      <t xml:space="preserve">
</t>
    </r>
    <r>
      <rPr>
        <sz val="11"/>
        <color rgb="FF000000"/>
        <rFont val="Calibri"/>
      </rPr>
      <t xml:space="preserve">  - Ingress</t>
    </r>
    <r>
      <rPr>
        <sz val="11"/>
        <color rgb="FF000000"/>
        <rFont val="Calibri"/>
      </rPr>
      <t xml:space="preserve">
</t>
    </r>
    <r>
      <rPr>
        <sz val="11"/>
        <color rgb="FF000000"/>
        <rFont val="Calibri"/>
      </rPr>
      <t xml:space="preserve"> parameters: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3. Apply the project template to the cluster by executing the following: </t>
    </r>
    <r>
      <rPr>
        <sz val="11"/>
        <color rgb="FF000000"/>
        <rFont val="Calibri"/>
      </rPr>
      <t xml:space="preserve">
</t>
    </r>
    <r>
      <rPr>
        <sz val="11"/>
        <color rgb="FF000000"/>
        <rFont val="Calibri"/>
      </rPr>
      <t xml:space="preserve"> oc create -f template.yaml -n openshift-config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4. Set the default cluster project request template by executing the following:  </t>
    </r>
    <r>
      <rPr>
        <sz val="11"/>
        <color rgb="FF000000"/>
        <rFont val="Calibri"/>
      </rPr>
      <t xml:space="preserve">
</t>
    </r>
    <r>
      <rPr>
        <sz val="11"/>
        <color rgb="FF000000"/>
        <rFont val="Calibri"/>
      </rPr>
      <t xml:space="preserve"> oc patch project.config.openshift.io/cluster --type=merge -p &amp;#039;{&amp;#039;spec&amp;#039;:{&amp;#039;projectRequestTemplate&amp;#039;:{&amp;#039;name&amp;#039;: &amp;#039;&amp;lt;PROJECT_REQUEST_TEMPLATE&amp;gt;&amp;#039;}}}&amp;#039;</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For additional information regarding network policies, refer to https://docs.openshift.com/container-platform/4.8/networking/network_policy/about-network-policy.html.</t>
    </r>
    <r>
      <rPr>
        <sz val="11"/>
        <color rgb="FF000000"/>
        <rFont val="Calibri"/>
      </rPr>
      <t xml:space="preserve">
</t>
    </r>
    <r>
      <rPr>
        <sz val="11"/>
        <color rgb="FF000000"/>
        <rFont val="Calibri"/>
      </rPr>
      <t>Where OpenShift Virtualization is enabled:</t>
    </r>
    <r>
      <rPr>
        <sz val="11"/>
        <color rgb="FF000000"/>
        <rFont val="Calibri"/>
      </rPr>
      <t xml:space="preserve">
</t>
    </r>
    <r>
      <rPr>
        <sz val="11"/>
        <color rgb="FF000000"/>
        <rFont val="Calibri"/>
      </rPr>
      <t>$ oc patch hyperconverged kubevirt-hyperconverged -n openshift-cnv</t>
    </r>
    <r>
      <rPr>
        <sz val="11"/>
        <color rgb="FF000000"/>
        <rFont val="Calibri"/>
      </rPr>
      <t xml:space="preserve">
</t>
    </r>
    <r>
      <rPr>
        <sz val="11"/>
        <color rgb="FF000000"/>
        <rFont val="Calibri"/>
      </rPr>
      <t>--type='json' -p='[</t>
    </r>
    <r>
      <rPr>
        <sz val="11"/>
        <color rgb="FF000000"/>
        <rFont val="Calibri"/>
      </rPr>
      <t xml:space="preserve">
</t>
    </r>
    <r>
      <rPr>
        <sz val="11"/>
        <color rgb="FF000000"/>
        <rFont val="Calibri"/>
      </rPr>
      <t>{"op": "replace", "path": "/spec/featureGates/downwardMetrics",</t>
    </r>
    <r>
      <rPr>
        <sz val="11"/>
        <color rgb="FF000000"/>
        <rFont val="Calibri"/>
      </rPr>
      <t xml:space="preserve">
</t>
    </r>
    <r>
      <rPr>
        <sz val="11"/>
        <color rgb="FF000000"/>
        <rFont val="Calibri"/>
      </rPr>
      <t>"value": false },</t>
    </r>
    <r>
      <rPr>
        <sz val="11"/>
        <color rgb="FF000000"/>
        <rFont val="Calibri"/>
      </rPr>
      <t xml:space="preserve">
</t>
    </r>
    <r>
      <rPr>
        <sz val="11"/>
        <color rgb="FF000000"/>
        <rFont val="Calibri"/>
      </rPr>
      <t>]'</t>
    </r>
  </si>
  <si>
    <r>
      <rPr>
        <sz val="11"/>
        <color rgb="FF000000"/>
        <rFont val="Calibri"/>
      </rPr>
      <t xml:space="preserve">OpenShift provides several layers of protection to control the flow of information between the container platform components and user services. Each user project is given a separate namespace and OpenShift enforces RBAC policies controlling which projects and services users can access. In addition, Network Policies are used to control the flow of requests to and from externally integrated services to services hosted on the container platform. </t>
    </r>
    <r>
      <rPr>
        <sz val="11"/>
        <color rgb="FF000000"/>
        <rFont val="Calibri"/>
      </rPr>
      <t xml:space="preserve">
</t>
    </r>
    <r>
      <rPr>
        <sz val="11"/>
        <color rgb="FF000000"/>
        <rFont val="Calibri"/>
      </rPr>
      <t>It is important to define a default network policy that will be applied automatically to new projects to prevent unintended requests. These policies can be updated by the project's administrator (with the appropriate RBAC permissions) to apply a policy that is appropriate to the service(s) within the project namespace.</t>
    </r>
  </si>
  <si>
    <r>
      <rPr>
        <sz val="11"/>
        <color rgb="FF000000"/>
        <rFont val="Calibri"/>
      </rPr>
      <t>Check for network policy. Verify a default project template is defined by executing the following:</t>
    </r>
    <r>
      <rPr>
        <sz val="11"/>
        <color rgb="FF000000"/>
        <rFont val="Calibri"/>
      </rPr>
      <t xml:space="preserve">
</t>
    </r>
    <r>
      <rPr>
        <sz val="11"/>
        <color rgb="FF000000"/>
        <rFont val="Calibri"/>
      </rPr>
      <t>oc get project.config.openshift.io/cluster -o jsonpath=&amp;#039;{.spec.projectRequestTemplate.name}&amp;#039;</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no project request template is in use by the project config,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Verify the project request template creates a network policy: </t>
    </r>
    <r>
      <rPr>
        <sz val="11"/>
        <color rgb="FF000000"/>
        <rFont val="Calibri"/>
      </rPr>
      <t xml:space="preserve">
</t>
    </r>
    <r>
      <rPr>
        <sz val="11"/>
        <color rgb="FF000000"/>
        <rFont val="Calibri"/>
      </rPr>
      <t>oc get templates/&amp;lt;PROJECT-REQUEST-TEMPLATE&amp;gt; -n openshift-config -o jsonpath=&amp;#039;{.objects[?(.kind==&amp;#039;NetworkPolicy&amp;#039;)]}{&amp;#039;\n&amp;#039;}&amp;#039;</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Replace &amp;lt;PROJECT-REQUEST-TEMPLATE&amp;gt; with the name of the project request template returned from the earlier query. If the project template is not defined, or there are no network policy definitions in it, this is a finding.</t>
    </r>
    <r>
      <rPr>
        <sz val="11"/>
        <color rgb="FF000000"/>
        <rFont val="Calibri"/>
      </rPr>
      <t xml:space="preserve">
</t>
    </r>
    <r>
      <rPr>
        <sz val="11"/>
        <color rgb="FF000000"/>
        <rFont val="Calibri"/>
      </rPr>
      <t>Where OpenShift Virtualization is enabled:</t>
    </r>
    <r>
      <rPr>
        <sz val="11"/>
        <color rgb="FF000000"/>
        <rFont val="Calibri"/>
      </rPr>
      <t xml:space="preserve">
</t>
    </r>
    <r>
      <rPr>
        <sz val="11"/>
        <color rgb="FF000000"/>
        <rFont val="Calibri"/>
      </rPr>
      <t>$ oc get hyperconverged kubevirt-hyperconverged -n openshift-cnv</t>
    </r>
    <r>
      <rPr>
        <sz val="11"/>
        <color rgb="FF000000"/>
        <rFont val="Calibri"/>
      </rPr>
      <t xml:space="preserve">
</t>
    </r>
    <r>
      <rPr>
        <sz val="11"/>
        <color rgb="FF000000"/>
        <rFont val="Calibri"/>
      </rPr>
      <t>-ojsonpath='{.spec.featureGates.downwardMetrics}'</t>
    </r>
    <r>
      <rPr>
        <sz val="11"/>
        <color rgb="FF000000"/>
        <rFont val="Calibri"/>
      </rPr>
      <t xml:space="preserve">
</t>
    </r>
    <r>
      <rPr>
        <sz val="11"/>
        <color rgb="FF000000"/>
        <rFont val="Calibri"/>
      </rPr>
      <t>If this is set to anything other than "false", this is a finding.</t>
    </r>
  </si>
  <si>
    <t>V-257516</t>
  </si>
  <si>
    <r>
      <rPr>
        <sz val="11"/>
        <rFont val="Calibri"/>
      </rPr>
      <t>OpenShift must display the Standard Mandatory DOD Notice and Consent Banner before granting access to platform components.</t>
    </r>
  </si>
  <si>
    <t>CAT III (Low)</t>
  </si>
  <si>
    <r>
      <rPr>
        <sz val="11"/>
        <color rgb="FF000000"/>
        <rFont val="Calibri"/>
      </rPr>
      <t>The following command will create a configmap that displays the DOD Notice and Consent Banner when logging in using the OpenShift CLI tool by executing the following:</t>
    </r>
    <r>
      <rPr>
        <sz val="11"/>
        <color rgb="FF000000"/>
        <rFont val="Calibri"/>
      </rPr>
      <t xml:space="preserve">
</t>
    </r>
    <r>
      <rPr>
        <sz val="11"/>
        <color rgb="FF000000"/>
        <rFont val="Calibri"/>
      </rPr>
      <t>echo 'apiVersion: v1</t>
    </r>
    <r>
      <rPr>
        <sz val="11"/>
        <color rgb="FF000000"/>
        <rFont val="Calibri"/>
      </rPr>
      <t xml:space="preserve">
</t>
    </r>
    <r>
      <rPr>
        <sz val="11"/>
        <color rgb="FF000000"/>
        <rFont val="Calibri"/>
      </rPr>
      <t>kind: ConfigMap</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motd</t>
    </r>
    <r>
      <rPr>
        <sz val="11"/>
        <color rgb="FF000000"/>
        <rFont val="Calibri"/>
      </rPr>
      <t xml:space="preserve">
</t>
    </r>
    <r>
      <rPr>
        <sz val="11"/>
        <color rgb="FF000000"/>
        <rFont val="Calibri"/>
      </rPr>
      <t xml:space="preserve">  namespace: openshift</t>
    </r>
    <r>
      <rPr>
        <sz val="11"/>
        <color rgb="FF000000"/>
        <rFont val="Calibri"/>
      </rPr>
      <t xml:space="preserve">
</t>
    </r>
    <r>
      <rPr>
        <sz val="11"/>
        <color rgb="FF000000"/>
        <rFont val="Calibri"/>
      </rPr>
      <t>data:</t>
    </r>
    <r>
      <rPr>
        <sz val="11"/>
        <color rgb="FF000000"/>
        <rFont val="Calibri"/>
      </rPr>
      <t xml:space="preserve">
</t>
    </r>
    <r>
      <rPr>
        <sz val="11"/>
        <color rgb="FF000000"/>
        <rFont val="Calibri"/>
      </rPr>
      <t xml:space="preserve">  message: "You are accessing a U.S. Government (USG) Information System (IS) that is provided for USG-authorized use only. By using this IS (which includes any device attached to this IS), you consent to the following conditions:\n\n-The USG routinely intercepts and monitors communications on this IS for purposes including, but not limited to, penetration testing, COMSEC monitoring, network operations and defense, personnel misconduct (PM), law enforcement (LE), and counterintelligence (CI) investigations.\n\n-At any time, the USG may inspect and seize data stored on this IS.\n\n-Communications using, or data stored on, this IS are not private, are subject to routine monitoring, interception, and search, and may be disclosed or used for any USG-authorized purpose.\n\n-This IS includes security measures (e.g., authentication and access controls) to protect USG interests--not for your personal benefit or privacy.\n\n-Notwithstanding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 | oc apply -f -</t>
    </r>
  </si>
  <si>
    <r>
      <rPr>
        <sz val="11"/>
        <color rgb="FF000000"/>
        <rFont val="Calibri"/>
      </rPr>
      <t>OpenShift has countless components where different access levels are needed. To control access, the user must first log into the component and then be presented with a DOD-approved use notification banner before granting access to the component. This guarantees privacy and security notification verbiage used is consistent with applicable federal laws, Executive Orders, directives, policies, regulations, standards, and guidance.</t>
    </r>
  </si>
  <si>
    <r>
      <rPr>
        <sz val="11"/>
        <color rgb="FF000000"/>
        <rFont val="Calibri"/>
      </rPr>
      <t>To verify the OpenShift CLI tool is configured to display the DOD Notice and Consent Banner, do either of the following steps:</t>
    </r>
    <r>
      <rPr>
        <sz val="11"/>
        <color rgb="FF000000"/>
        <rFont val="Calibri"/>
      </rPr>
      <t xml:space="preserve">
</t>
    </r>
    <r>
      <rPr>
        <sz val="11"/>
        <color rgb="FF000000"/>
        <rFont val="Calibri"/>
      </rPr>
      <t>Log in to OpenShift using the oc CLI tool.</t>
    </r>
    <r>
      <rPr>
        <sz val="11"/>
        <color rgb="FF000000"/>
        <rFont val="Calibri"/>
      </rPr>
      <t xml:space="preserve">
</t>
    </r>
    <r>
      <rPr>
        <sz val="11"/>
        <color rgb="FF000000"/>
        <rFont val="Calibri"/>
      </rPr>
      <t>oc login -u &lt;USER&gt; &lt;OPENSHIFT_URL&gt;</t>
    </r>
    <r>
      <rPr>
        <sz val="11"/>
        <color rgb="FF000000"/>
        <rFont val="Calibri"/>
      </rPr>
      <t xml:space="preserve">
</t>
    </r>
    <r>
      <rPr>
        <sz val="11"/>
        <color rgb="FF000000"/>
        <rFont val="Calibri"/>
      </rPr>
      <t>enter password when prompted</t>
    </r>
    <r>
      <rPr>
        <sz val="11"/>
        <color rgb="FF000000"/>
        <rFont val="Calibri"/>
      </rPr>
      <t xml:space="preserve">
</t>
    </r>
    <r>
      <rPr>
        <sz val="11"/>
        <color rgb="FF000000"/>
        <rFont val="Calibri"/>
      </rPr>
      <t>If the DOD Notice and Consent Banner is not displayed, this is a finding.</t>
    </r>
    <r>
      <rPr>
        <sz val="11"/>
        <color rgb="FF000000"/>
        <rFont val="Calibri"/>
      </rPr>
      <t xml:space="preserve">
</t>
    </r>
    <r>
      <rPr>
        <sz val="11"/>
        <color rgb="FF000000"/>
        <rFont val="Calibri"/>
      </rPr>
      <t>Or</t>
    </r>
    <r>
      <rPr>
        <sz val="11"/>
        <color rgb="FF000000"/>
        <rFont val="Calibri"/>
      </rPr>
      <t xml:space="preserve">
</t>
    </r>
    <r>
      <rPr>
        <sz val="11"/>
        <color rgb="FF000000"/>
        <rFont val="Calibri"/>
      </rPr>
      <t>Verify that motd config map exists and contains the DOD Notice and Consent Banner by executing the following:</t>
    </r>
    <r>
      <rPr>
        <sz val="11"/>
        <color rgb="FF000000"/>
        <rFont val="Calibri"/>
      </rPr>
      <t xml:space="preserve">
</t>
    </r>
    <r>
      <rPr>
        <sz val="11"/>
        <color rgb="FF000000"/>
        <rFont val="Calibri"/>
      </rPr>
      <t>oc describe configmap/motd -n openshift</t>
    </r>
    <r>
      <rPr>
        <sz val="11"/>
        <color rgb="FF000000"/>
        <rFont val="Calibri"/>
      </rPr>
      <t xml:space="preserve">
</t>
    </r>
    <r>
      <rPr>
        <sz val="11"/>
        <color rgb="FF000000"/>
        <rFont val="Calibri"/>
      </rPr>
      <t>If the configmap does not exist, or it does not contain the DOD Notice and Consent Banner text in the message data attribute, this is a finding.</t>
    </r>
  </si>
  <si>
    <t>V-257517</t>
  </si>
  <si>
    <r>
      <rPr>
        <sz val="11"/>
        <rFont val="Calibri"/>
      </rPr>
      <t>OpenShift must generate audit records for all DOD-defined auditable events within all components in the platform.</t>
    </r>
  </si>
  <si>
    <r>
      <rPr>
        <sz val="11"/>
        <color rgb="FF000000"/>
        <rFont val="Calibri"/>
      </rPr>
      <t>As the cluster administrator, update the APIServer.config.openshift.io/cluster object to set the profile to the defined level of detail. For example, to configure the profile to WriteRequestBodies, meaning that all write requests to any API server object are logged in their entirety, execute the following:</t>
    </r>
    <r>
      <rPr>
        <sz val="11"/>
        <color rgb="FF000000"/>
        <rFont val="Calibri"/>
      </rPr>
      <t xml:space="preserve">
</t>
    </r>
    <r>
      <rPr>
        <sz val="11"/>
        <color rgb="FF000000"/>
        <rFont val="Calibri"/>
      </rPr>
      <t>oc patch apiserver.config.openshift.io/cluster --type=merge -p &amp;#039;{&amp;#039;spec&amp;#039;: {&amp;#039;audit&amp;#039;: {&amp;#039;profile&amp;#039;: &amp;#039;WriteRequestBodies&amp;#039;}}}&amp;#039;</t>
    </r>
    <r>
      <rPr>
        <sz val="11"/>
        <color rgb="FF000000"/>
        <rFont val="Calibri"/>
      </rPr>
      <t xml:space="preserve">
</t>
    </r>
    <r>
      <rPr>
        <sz val="11"/>
        <color rgb="FF000000"/>
        <rFont val="Calibri"/>
      </rPr>
      <t>Where OpenShift Virtualization is enabled:</t>
    </r>
    <r>
      <rPr>
        <sz val="11"/>
        <color rgb="FF000000"/>
        <rFont val="Calibri"/>
      </rPr>
      <t xml:space="preserve">
</t>
    </r>
    <r>
      <rPr>
        <sz val="11"/>
        <color rgb="FF000000"/>
        <rFont val="Calibri"/>
      </rPr>
      <t>To remove the errorPolicy flag on the first disk (index 0) of a given VM, use this command:</t>
    </r>
    <r>
      <rPr>
        <sz val="11"/>
        <color rgb="FF000000"/>
        <rFont val="Calibri"/>
      </rPr>
      <t xml:space="preserve">
</t>
    </r>
    <r>
      <rPr>
        <sz val="11"/>
        <color rgb="FF000000"/>
        <rFont val="Calibri"/>
      </rPr>
      <t>$ oc patch vm &lt;vm-name&gt; --type='json' -p='[</t>
    </r>
    <r>
      <rPr>
        <sz val="11"/>
        <color rgb="FF000000"/>
        <rFont val="Calibri"/>
      </rPr>
      <t xml:space="preserve">
</t>
    </r>
    <r>
      <rPr>
        <sz val="11"/>
        <color rgb="FF000000"/>
        <rFont val="Calibri"/>
      </rPr>
      <t>{"op": "remove", "path":</t>
    </r>
    <r>
      <rPr>
        <sz val="11"/>
        <color rgb="FF000000"/>
        <rFont val="Calibri"/>
      </rPr>
      <t xml:space="preserve">
</t>
    </r>
    <r>
      <rPr>
        <sz val="11"/>
        <color rgb="FF000000"/>
        <rFont val="Calibri"/>
      </rPr>
      <t>"/spec/template/spec/domain/devices/disks/0/errorPolicy"},</t>
    </r>
    <r>
      <rPr>
        <sz val="11"/>
        <color rgb="FF000000"/>
        <rFont val="Calibri"/>
      </rPr>
      <t xml:space="preserve">
</t>
    </r>
    <r>
      <rPr>
        <sz val="11"/>
        <color rgb="FF000000"/>
        <rFont val="Calibri"/>
      </rPr>
      <t>]'</t>
    </r>
  </si>
  <si>
    <r>
      <rPr>
        <sz val="11"/>
        <color rgb="FF000000"/>
        <rFont val="Calibri"/>
      </rPr>
      <t>The OpenShift Platform supports three audit levels: Default, WriteRequestBodies, and AllRequestBodies. The identities of the users are logged for all three audit levels log level. The WriteRequestBodies will log the metadata and the request body for any create, update, or patch request. The AllRequestBodies will log the metadata and the request body for all read and write requests. As this generates a significant number of logs, this level is only to be used as needed. To capture sufficient data to investigate an issue, it is required to set the audit level to WriteRequestBodies.</t>
    </r>
    <r>
      <rPr>
        <sz val="11"/>
        <color rgb="FF000000"/>
        <rFont val="Calibri"/>
      </rPr>
      <t xml:space="preserve">
</t>
    </r>
    <r>
      <rPr>
        <sz val="11"/>
        <color rgb="FF000000"/>
        <rFont val="Calibri"/>
      </rPr>
      <t>For more detailed documentation on what is being logged, refer to https://docs.openshift.com/container-platform/4.8/security/audit-log-view.html.</t>
    </r>
    <r>
      <rPr>
        <sz val="11"/>
        <color rgb="FF000000"/>
        <rFont val="Calibri"/>
      </rPr>
      <t xml:space="preserve">
</t>
    </r>
    <r>
      <rPr>
        <sz val="11"/>
        <color rgb="FF000000"/>
        <rFont val="Calibri"/>
      </rPr>
      <t>Satisfies: SRG-APP-000089-CTR-000150, SRG-APP-000090-CTR-000155, SRG-APP-000101-CTR-000205, SRG-APP-000510-CTR-001310, SRG-APP-000516-CTR-000790</t>
    </r>
  </si>
  <si>
    <r>
      <rPr>
        <sz val="11"/>
        <color rgb="FF000000"/>
        <rFont val="Calibri"/>
      </rPr>
      <t xml:space="preserve">To determine at what level the OpenShift audit policy logging verbosity is configured, as a cluster-administrator execute the following command: </t>
    </r>
    <r>
      <rPr>
        <sz val="11"/>
        <color rgb="FF000000"/>
        <rFont val="Calibri"/>
      </rPr>
      <t xml:space="preserve">
</t>
    </r>
    <r>
      <rPr>
        <sz val="11"/>
        <color rgb="FF000000"/>
        <rFont val="Calibri"/>
      </rPr>
      <t>oc get apiserver.config.openshift.io/cluster -ojsonpath=&amp;#039;{.spec.audit.profile}&amp;#039;</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output from the options does not return WriteRequestBodies or AllRequestBodies, this is a finding.</t>
    </r>
    <r>
      <rPr>
        <sz val="11"/>
        <color rgb="FF000000"/>
        <rFont val="Calibri"/>
      </rPr>
      <t xml:space="preserve">
</t>
    </r>
    <r>
      <rPr>
        <sz val="11"/>
        <color rgb="FF000000"/>
        <rFont val="Calibri"/>
      </rPr>
      <t>Where OpenShift Virtualization is enabled:</t>
    </r>
    <r>
      <rPr>
        <sz val="11"/>
        <color rgb="FF000000"/>
        <rFont val="Calibri"/>
      </rPr>
      <t xml:space="preserve">
</t>
    </r>
    <r>
      <rPr>
        <sz val="11"/>
        <color rgb="FF000000"/>
        <rFont val="Calibri"/>
      </rPr>
      <t>$ oc get vm -ojson -A | jq '.items[] |</t>
    </r>
    <r>
      <rPr>
        <sz val="11"/>
        <color rgb="FF000000"/>
        <rFont val="Calibri"/>
      </rPr>
      <t xml:space="preserve">
</t>
    </r>
    <r>
      <rPr>
        <sz val="11"/>
        <color rgb="FF000000"/>
        <rFont val="Calibri"/>
      </rPr>
      <t>select(.spec.template.spec.domain.devices.disks[].errorPolicy ==</t>
    </r>
    <r>
      <rPr>
        <sz val="11"/>
        <color rgb="FF000000"/>
        <rFont val="Calibri"/>
      </rPr>
      <t xml:space="preserve">
</t>
    </r>
    <r>
      <rPr>
        <sz val="11"/>
        <color rgb="FF000000"/>
        <rFont val="Calibri"/>
      </rPr>
      <t>"ignore")| .metadata.namespace + "/" + .metadata.name'</t>
    </r>
    <r>
      <rPr>
        <sz val="11"/>
        <color rgb="FF000000"/>
        <rFont val="Calibri"/>
      </rPr>
      <t xml:space="preserve">
</t>
    </r>
    <r>
      <rPr>
        <sz val="11"/>
        <color rgb="FF000000"/>
        <rFont val="Calibri"/>
      </rPr>
      <t>If the results show errorPolicy is set to "ignore", this is a finding.</t>
    </r>
  </si>
  <si>
    <t>V-257518</t>
  </si>
  <si>
    <r>
      <rPr>
        <sz val="11"/>
        <rFont val="Calibri"/>
      </rPr>
      <t>OpenShift must generate audit records when successful/unsuccessful attempts to access privileges occur.</t>
    </r>
  </si>
  <si>
    <r>
      <rPr>
        <sz val="11"/>
        <color rgb="FF000000"/>
        <rFont val="Calibri"/>
      </rPr>
      <t>Apply the following machine config and generate audit records by executing following:</t>
    </r>
    <r>
      <rPr>
        <sz val="11"/>
        <color rgb="FF000000"/>
        <rFont val="Calibri"/>
      </rPr>
      <t xml:space="preserve">
</t>
    </r>
    <r>
      <rPr>
        <sz val="11"/>
        <color rgb="FF000000"/>
        <rFont val="Calibri"/>
      </rPr>
      <t xml:space="preserve"> for mcpool in $(oc get mcp -oname | sed "s:.*/::" ); do</t>
    </r>
    <r>
      <rPr>
        <sz val="11"/>
        <color rgb="FF000000"/>
        <rFont val="Calibri"/>
      </rPr>
      <t xml:space="preserve">
</t>
    </r>
    <r>
      <rPr>
        <sz val="11"/>
        <color rgb="FF000000"/>
        <rFont val="Calibri"/>
      </rPr>
      <t>echo "apiVersion: machineconfiguration.openshift.io/v1</t>
    </r>
    <r>
      <rPr>
        <sz val="11"/>
        <color rgb="FF000000"/>
        <rFont val="Calibri"/>
      </rPr>
      <t xml:space="preserve">
</t>
    </r>
    <r>
      <rPr>
        <sz val="11"/>
        <color rgb="FF000000"/>
        <rFont val="Calibri"/>
      </rPr>
      <t>kind: MachineConfig</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75-access-privileges-rules-$mcpool</t>
    </r>
    <r>
      <rPr>
        <sz val="11"/>
        <color rgb="FF000000"/>
        <rFont val="Calibri"/>
      </rPr>
      <t xml:space="preserve">
</t>
    </r>
    <r>
      <rPr>
        <sz val="11"/>
        <color rgb="FF000000"/>
        <rFont val="Calibri"/>
      </rPr>
      <t xml:space="preserve">  labels:</t>
    </r>
    <r>
      <rPr>
        <sz val="11"/>
        <color rgb="FF000000"/>
        <rFont val="Calibri"/>
      </rPr>
      <t xml:space="preserve">
</t>
    </r>
    <r>
      <rPr>
        <sz val="11"/>
        <color rgb="FF000000"/>
        <rFont val="Calibri"/>
      </rPr>
      <t xml:space="preserve">    machineconfiguration.openshift.io/role: $mcpool</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config:</t>
    </r>
    <r>
      <rPr>
        <sz val="11"/>
        <color rgb="FF000000"/>
        <rFont val="Calibri"/>
      </rPr>
      <t xml:space="preserve">
</t>
    </r>
    <r>
      <rPr>
        <sz val="11"/>
        <color rgb="FF000000"/>
        <rFont val="Calibri"/>
      </rPr>
      <t xml:space="preserve">    ignition:</t>
    </r>
    <r>
      <rPr>
        <sz val="11"/>
        <color rgb="FF000000"/>
        <rFont val="Calibri"/>
      </rPr>
      <t xml:space="preserve">
</t>
    </r>
    <r>
      <rPr>
        <sz val="11"/>
        <color rgb="FF000000"/>
        <rFont val="Calibri"/>
      </rPr>
      <t xml:space="preserve">      version: 3.1.0</t>
    </r>
    <r>
      <rPr>
        <sz val="11"/>
        <color rgb="FF000000"/>
        <rFont val="Calibri"/>
      </rPr>
      <t xml:space="preserve">
</t>
    </r>
    <r>
      <rPr>
        <sz val="11"/>
        <color rgb="FF000000"/>
        <rFont val="Calibri"/>
      </rPr>
      <t xml:space="preserve">    storage:</t>
    </r>
    <r>
      <rPr>
        <sz val="11"/>
        <color rgb="FF000000"/>
        <rFont val="Calibri"/>
      </rPr>
      <t xml:space="preserve">
</t>
    </r>
    <r>
      <rPr>
        <sz val="11"/>
        <color rgb="FF000000"/>
        <rFont val="Calibri"/>
      </rPr>
      <t xml:space="preserve">      files:</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data:,-a%20always%2Cexit%20-F%20arch%3Db32%20-S%20chmod%20-F%20auid%3E%3D1000%20-F%20auid%21%3Dunset%20-F%20key%3Dperm_mod%0A-a%20always%2Cexit%20-F%20arch%3Db64%20-S%20chmod%20-F%20auid%3E%3D1000%20-F%20auid%21%3Dunset%20-F%20key%3Dperm_mod%0A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/etc/audit/rules.d/75-chmod_dac_modification.rules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data:,-a%20always%2Cexit%20-F%20arch%3Db32%20-S%20chown%20-F%20auid%3E%3D1000%20-F%20auid%21%3Dunset%20-F%20key%3Dperm_mod%0A-a%20always%2Cexit%20-F%20arch%3Db64%20-S%20chown%20-F%20auid%3E%3D1000%20-F%20auid%21%3Dunset%20-F%20key%3Dperm_mod%0A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/etc/audit/rules.d/75-chown_dac_modification.rules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data:,-a%20always%2Cexit%20-F%20arch%3Db32%20-S%20fchmod%20-F%20auid%3E%3D1000%20-F%20auid%21%3Dunset%20-F%20key%3Dperm_mod%0A-a%20always%2Cexit%20-F%20arch%3Db64%20-S%20fchmod%20-F%20auid%3E%3D1000%20-F%20auid%21%3Dunset%20-F%20key%3Dperm_mod%0A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/etc/audit/rules.d/75-fchmod_dac_modification.rules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data:,-a%20always%2Cexit%20-F%20arch%3Db32%20-S%20fchmodat%20-F%20auid%3E%3D1000%20-F%20auid%21%3Dunset%20-F%20key%3Dperm_mod%0A-a%20always%2Cexit%20-F%20arch%3Db64%20-S%20fchmodat%20-F%20auid%3E%3D1000%20-F%20auid%21%3Dunset%20-F%20key%3Dperm_mod%0A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/etc/audit/rules.d/75-fchmodat_dac_modification.rules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data:,-a%20always%2Cexit%20-F%20arch%3Db32%20-S%20fchown%20-F%20auid%3E%3D1000%20-F%20auid%21%3Dunset%20-F%20key%3Dperm_mod%0A-a%20always%2Cexit%20-F%20arch%3Db64%20-S%20fchown%20-F%20auid%3E%3D1000%20-F%20auid%21%3Dunset%20-F%20key%3Dperm_mod%0A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/etc/audit/rules.d/75-fchown_dac_modification.rules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data:,-a%20always%2Cexit%20-F%20arch%3Db32%20-S%20fchownat%20-F%20auid%3E%3D1000%20-F%20auid%21%3Dunset%20-F%20key%3Dperm_mod%0A-a%20always%2Cexit%20-F%20arch%3Db64%20-S%20fchownat%20-F%20auid%3E%3D1000%20-F%20auid%21%3Dunset%20-F%20key%3Dperm_mod%0A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/etc/audit/rules.d/75-fchownat_dac_modification.rules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data:,-a%20always%2Cexit%20-F%20arch%3Db32%20-S%20fremovexattr%20-F%20auid%3E%3D1000%20-F%20auid%21%3Dunset%20-F%20key%3Dperm_mod%0A-a%20always%2Cexit%20-F%20arch%3Db64%20-S%20fremovexattr%20-F%20auid%3E%3D1000%20-F%20auid%21%3Dunset%20-F%20key%3Dperm_mod%0A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/etc/audit/rules.d/75-fremovexattr_dac_modification.rules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data:,-a%20always%2Cexit%20-F%20arch%3Db32%20-S%20fsetxattr%20-F%20auid%3E%3D1000%20-F%20auid%21%3Dunset%20-F%20key%3Dperm_mod%0A-a%20always%2Cexit%20-F%20arch%3Db64%20-S%20fsetxattr%20-F%20auid%3E%3D1000%20-F%20auid%21%3Dunset%20-F%20key%3Dperm_mod%0A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/etc/audit/rules.d/75-fsetxattr_dac_modification.rules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data:,-a%20always%2Cexit%20-F%20arch%3Db32%20-S%20lchown%20-F%20auid%3E%3D1000%20-F%20auid%21%3Dunset%20-F%20key%3Dperm_mod%0A-a%20always%2Cexit%20-F%20arch%3Db64%20-S%20lchown%20-F%20auid%3E%3D1000%20-F%20auid%21%3Dunset%20-F%20key%3Dperm_mod%0A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/etc/audit/rules.d/75-lchown_dac_modification.rules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data:,-a%20always%2Cexit%20-F%20arch%3Db32%20-S%20lremovexattr%20-F%20auid%3E%3D1000%20-F%20auid%21%3Dunset%20-F%20key%3Dperm_mod%0A-a%20always%2Cexit%20-F%20arch%3Db64%20-S%20lremovexattr%20-F%20auid%3E%3D1000%20-F%20auid%21%3Dunset%20-F%20key%3Dperm_mod%0A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/etc/audit/rules.d/75-lremovexattr_dac_modification.rules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data:,-a%20always%2Cexit%20-F%20arch%3Db32%20-S%20lsetxattr%20-F%20auid%3E%3D1000%20-F%20auid%21%3Dunset%20-F%20key%3Dperm_mod%0A-a%20always%2Cexit%20-F%20arch%3Db64%20-S%20lsetxattr%20-F%20auid%3E%3D1000%20-F%20auid%21%3Dunset%20-F%20key%3Dperm_mod%0A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/etc/audit/rules.d/75-lsetxattr_dac_modification.rules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data:,-a%20always%2Cexit%20-F%20arch%3Db32%20-S%20removexattr%20-F%20auid%3E%3D1000%20-F%20auid%21%3Dunset%20-F%20key%3Dperm_mod%0A-a%20always%2Cexit%20-F%20arch%3Db64%20-S%20removexattr%20-F%20auid%3E%3D1000%20-F%20auid%21%3Dunset%20-F%20key%3Dperm_mod%0A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/etc/audit/rules.d/75-removexattr_dac_modification.rules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data:,-a%20always%2Cexit%20-F%20arch%3Db32%20-S%20setxattr%20-F%20auid%3E%3D1000%20-F%20auid%21%3Dunset%20-F%20key%3Dperm_mod%0A-a%20always%2Cexit%20-F%20arch%3Db64%20-S%20setxattr%20-F%20auid%3E%3D1000%20-F%20auid%21%3Dunset%20-F%20key%3Dperm_mod%0A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/etc/audit/rules.d/75-setxattr_dac_modification.rules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23%23%20This%20content%20is%20a%20section%20of%20an%20Audit%20config%20snapshot%20recommended%20for%20Red%2520Hat%2520Enterprise%2520Linux%2520CoreOS%25204%20systems%20that%20target%20OSPP%20compliance.%0A%23%23%20The%20following%20content%20has%20been%20retreived%20on%202019-03-11%20from%3A%20https%3A//github.com/linux-audit/audit-userspace/blob/master/rules/30-ospp-v42.rules%0A%0A%23%23%20The%20purpose%20of%20these%20rules%20is%20to%20meet%20the%20requirements%20for%20Operating%0A%23%23%20System%20Protection%20Profile%20%28OSPP%29v4.2.%20These%20rules%20depends%20on%20having%0A%23%23%2010-base-config.rules%2C%2011-loginuid.rules%2C%20and%2043-module-load.rules%20installed.%0A%0A%23%23%20Unsuccessful%20file%20creation%20%28open%20with%20O_CREAT%29%0A-a%20always%2Cexit%20-F%20arch%3Db32%20-S%20openat%2Copen_by_handle_at%20-F%20a2%260100%20-F%20exit%3D-EACCES%20-F%20auid%3E%3D1000%20-F%20auid%21%3Dunset%20-F%20key%3Dunsuccessful-create%0A-a%20always%2Cexit%20-F%20arch%3Db64%20-S%20openat%2Copen_by_handle_at%20-F%20a2%260100%20-F%20exit%3D-EACCES%20-F%20auid%3E%3D1000%20-F%20auid%21%3Dunset%20-F%20key%3Dunsuccessful-create%0A-a%20always%2Cexit%20-F%20arch%3Db32%20-S%20open%20-F%20a1%260100%20-F%20exit%3D-EACCES%20-F%20auid%3E%3D1000%20-F%20auid%21%3Dunset%20-F%20key%3Dunsuccessful-create%0A-a%20always%2Cexit%20-F%20arch%3Db64%20-S%20open%20-F%20a1%260100%20-F%20exit%3D-EACCES%20-F%20auid%3E%3D1000%20-F%20auid%21%3Dunset%20-F%20key%3Dunsuccessful-create%0A-a%20always%2Cexit%20-F%20arch%3Db32%20-S%20openat%2Copen_by_handle_at%20-F%20a2%260100%20-F%20exit%3D-EPERM%20-F%20auid%3E%3D1000%20-F%20auid%21%3Dunset%20-F%20key%3Dunsuccessful-create%0A-a%20always%2Cexit%20-F%20arch%3Db64%20-S%20openat%2Copen_by_handle_at%20-F%20a2%260100%20-F%20exit%3D-EPERM%20-F%20auid%3E%3D1000%20-F%20auid%21%3Dunset%20-F%20key%3Dunsuccessful-create%0A-a%20always%2Cexit%20-F%20arch%3Db32%20-S%20open%20-F%20a1%260100%20-F%20exit%3D-EPERM%20-F%20auid%3E%3D1000%20-F%20auid%21%3Dunset%20-F%20key%3Dunsuccessful-create%0A-a%20always%2Cexit%20-F%20arch%3Db64%20-S%20open%20-F%20a1%260100%20-F%20exit%3D-EPERM%20-F%20auid%3E%3D1000%20-F%20auid%21%3Dunset%20-F%20key%3Dunsuccessful-create%0A-a%20always%2Cexit%20-F%20arch%3Db32%20-S%20creat%20-F%20exit%3D-EACCES%20-F%20auid%3E%3D1000%20-F%20auid%21%3Dunset%20-F%20key%3Dunsuccessful-create%0A-a%20always%2Cexit%20-F%20arch%3Db64%20-S%20creat%20-F%20exit%3D-EACCES%20-F%20auid%3E%3D1000%20-F%20auid%21%3Dunset%20-F%20key%3Dunsuccessful-create%0A-a%20always%2Cexit%20-F%20arch%3Db32%20-S%20creat%20-F%20exit%3D-EPERM%20-F%20auid%3E%3D1000%20-F%20auid%21%3Dunset%20-F%20key%3Dunsuccessful-create%0A-a%20always%2Cexit%20-F%20arch%3Db64%20-S%20creat%20-F%20exit%3D-EPERM%20-F%20auid%3E%3D1000%20-F%20auid%21%3Dunset%20-F%20key%3Dunsuccessful-create%0A%0A%23%23%20Unsuccessful%20file%20modifications%20%28open%20for%20write%20or%20truncate%29%0A-a%20always%2Cexit%20-F%20arch%3Db32%20-S%20openat%2Copen_by_handle_at%20-F%20a2%2601003%20-F%20exit%3D-EACCES%20-F%20auid%3E%3D1000%20-F%20auid%21%3Dunset%20-F%20key%3Dunsuccessful-modification%0A-a%20always%2Cexit%20-F%20arch%3Db64%20-S%20openat%2Copen_by_handle_at%20-F%20a2%2601003%20-F%20exit%3D-EACCES%20-F%20auid%3E%3D1000%20-F%20auid%21%3Dunset%20-F%20key%3Dunsuccessful-modification%0A-a%20always%2Cexit%20-F%20arch%3Db32%20-S%20open%20-F%20a1%2601003%20-F%20exit%3D-EACCES%20-F%20auid%3E%3D1000%20-F%20auid%21%3Dunset%20-F%20key%3Dunsuccessful-modification%0A-a%20always%2Cexit%20-F%20arch%3Db64%20-S%20open%20-F%20a1%2601003%20-F%20exit%3D-EACCES%20-F%20auid%3E%3D1000%20-F%20auid%21%3Dunset%20-F%20key%3Dunsuccessful-modification%0A-a%20always%2Cexit%20-F%20arch%3Db32%20-S%20openat%2Copen_by_handle_at%20-F%20a2%2601003%20-F%20exit%3D-EPERM%20-F%20auid%3E%3D1000%20-F%20auid%21%3Dunset%20-F%20key%3Dunsuccessful-modification%0A-a%20always%2Cexit%20-F%20arch%3Db64%20-S%20openat%2Copen_by_handle_at%20-F%20a2%2601003%20-F%20exit%3D-EPERM%20-F%20auid%3E%3D1000%20-F%20auid%21%3Dunset%20-F%20key%3Dunsuccessful-modification%0A-a%20always%2Cexit%20-F%20arch%3Db32%20-S%20open%20-F%20a1%2601003%20-F%20exit%3D-EPERM%20-F%20auid%3E%3D1000%20-F%20auid%21%3Dunset%20-F%20key%3Dunsuccessful-modification%0A-a%20always%2Cexit%20-F%20arch%3Db64%20-S%20open%20-F%20a1%2601003%20-F%20exit%3D-EPERM%20-F%20auid%3E%3D1000%20-F%20auid%21%3Dunset%20-F%20key%3Dunsuccessful-modification%0A-a%20always%2Cexit%20-F%20arch%3Db32%20-S%20truncate%2Cftruncate%20-F%20exit%3D-EACCES%20-F%20auid%3E%3D1000%20-F%20auid%21%3Dunset%20-F%20key%3Dunsuccessful-modification%0A-a%20always%2Cexit%20-F%20arch%3Db64%20-S%20truncate%2Cftruncate%20-F%20exit%3D-EACCES%20-F%20auid%3E%3D1000%20-F%20auid%21%3Dunset%20-F%20key%3Dunsuccessful-modification%0A-a%20always%2Cexit%20-F%20arch%3Db32%20-S%20truncate%2Cftruncate%20-F%20exit%3D-EPERM%20-F%20auid%3E%3D1000%20-F%20auid%21%3Dunset%20-F%20key%3Dunsuccessful-modification%0A-a%20always%2Cexit%20-F%20arch%3Db64%20-S%20truncate%2Cftruncate%20-F%20exit%3D-EPERM%20-F%20auid%3E%3D1000%20-F%20auid%21%3Dunset%20-F%20key%3Dunsuccessful-modification%0A%0A%23%23%20Unsuccessful%20file%20access%20%28any%20other%20opens%29%20This%20has%20to%20go%20last.%0A-a%20always%2Cexit%20-F%20arch%3Db32%20-S%20open%2Ccreat%2Ctruncate%2Cftruncate%2Copenat%2Copen_by_handle_at%20-F%20exit%3D-EACCES%20-F%20auid%3E%3D1000%20-F%20auid%21%3Dunset%20-F%20key%3Dunsuccessful-access%0A-a%20always%2Cexit%20-F%20arch%3Db64%20-S%20open%2Ccreat%2Ctruncate%2Cftruncate%2Copenat%2Copen_by_handle_at%20-F%20exit%3D-EACCES%20-F%20auid%3E%3D1000%20-F%20auid%21%3Dunset%20-F%20key%3Dunsuccessful-access%0A-a%20always%2Cexit%20-F%20arch%3Db32%20-S%20open%2Ccreat%2Ctruncate%2Cftruncate%2Copenat%2Copen_by_handle_at%20-F%20exit%3D-EPERM%20-F%20auid%3E%3D1000%20-F%20auid%21%3Dunset%20-F%20key%3Dunsuccessful-access%0A-a%20always%2Cexit%20-F%20arch%3Db64%20-S%20open%2Ccreat%2Ctruncate%2Cftruncate%2Copenat%2Copen_by_handle_at%20-F%20exit%3D-EPERM%20-F%20auid%3E%3D1000%20-F%20auid%21%3Dunset%20-F%20key%3Dunsuccessful-access%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/etc/audit/rules.d/30-ospp-v42-remediation.rules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 oc apply -f -</t>
    </r>
    <r>
      <rPr>
        <sz val="11"/>
        <color rgb="FF000000"/>
        <rFont val="Calibri"/>
      </rPr>
      <t xml:space="preserve">
</t>
    </r>
    <r>
      <rPr>
        <sz val="11"/>
        <color rgb="FF000000"/>
        <rFont val="Calibri"/>
      </rPr>
      <t>done</t>
    </r>
  </si>
  <si>
    <r>
      <rPr>
        <sz val="11"/>
        <color rgb="FF000000"/>
        <rFont val="Calibri"/>
      </rPr>
      <t>OpenShift and its components must generate audit records when successful/unsuccessful attempts to access or delete security objects, security levels, and privileges occur.</t>
    </r>
    <r>
      <rPr>
        <sz val="11"/>
        <color rgb="FF000000"/>
        <rFont val="Calibri"/>
      </rPr>
      <t xml:space="preserve">
</t>
    </r>
    <r>
      <rPr>
        <sz val="11"/>
        <color rgb="FF000000"/>
        <rFont val="Calibri"/>
      </rPr>
      <t>All the components must use the same standard so that the events can be tied together to understand what took place within the overall container platform. This must establish, correlate, and assist with investigating the events relating to an incident or identify those responsible.</t>
    </r>
    <r>
      <rPr>
        <sz val="11"/>
        <color rgb="FF000000"/>
        <rFont val="Calibri"/>
      </rPr>
      <t xml:space="preserve">
</t>
    </r>
    <r>
      <rPr>
        <sz val="11"/>
        <color rgb="FF000000"/>
        <rFont val="Calibri"/>
      </rPr>
      <t>Without audit record generation, access control levels can be accessed by unauthorized users unknowingly for malicious intent, creating vulnerabilities within the container platform.</t>
    </r>
    <r>
      <rPr>
        <sz val="11"/>
        <color rgb="FF000000"/>
        <rFont val="Calibri"/>
      </rPr>
      <t xml:space="preserve">
</t>
    </r>
    <r>
      <rPr>
        <sz val="11"/>
        <color rgb="FF000000"/>
        <rFont val="Calibri"/>
      </rPr>
      <t>Satisfies: SRG-APP-000091-CTR-000160, SRG-APP-000492-CTR-001220, SRG-APP-000493-CTR-001225, SRG-APP-000494-CTR-001230, SRG-APP-000500-CTR-001260, SRG-APP-000507-CTR-001295</t>
    </r>
  </si>
  <si>
    <r>
      <rPr>
        <sz val="11"/>
        <color rgb="FF000000"/>
        <rFont val="Calibri"/>
      </rPr>
      <t>Verify OpenShift is configured to generate audit records when successful/unsuccessful attempts to access or delete security objects, security levels, and privileges occur by executing the following: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for node in $(oc get node -oname); do oc debug $node -- chroot /host /bin/bash -c 'echo -n "$HOSTNAME "; grep -e "key=perm_mod" -e "key=unsuccessful-create"  -e "key=unsuccessful-modification" -e "key=unsuccessful-access" /etc/audit/audit.rules|| echo "not found"' 2&gt;/dev/null; done</t>
    </r>
    <r>
      <rPr>
        <sz val="11"/>
        <color rgb="FF000000"/>
        <rFont val="Calibri"/>
      </rPr>
      <t xml:space="preserve">
</t>
    </r>
    <r>
      <rPr>
        <sz val="11"/>
        <color rgb="FF000000"/>
        <rFont val="Calibri"/>
      </rPr>
      <t>Confirm the following rules exist on each node:</t>
    </r>
    <r>
      <rPr>
        <sz val="11"/>
        <color rgb="FF000000"/>
        <rFont val="Calibri"/>
      </rPr>
      <t xml:space="preserve">
</t>
    </r>
    <r>
      <rPr>
        <sz val="11"/>
        <color rgb="FF000000"/>
        <rFont val="Calibri"/>
      </rPr>
      <t>-a always,exit -F arch=b32 -S chmod -F auid&gt;=1000 -F auid!=unset -F key=perm_mod</t>
    </r>
    <r>
      <rPr>
        <sz val="11"/>
        <color rgb="FF000000"/>
        <rFont val="Calibri"/>
      </rPr>
      <t xml:space="preserve">
</t>
    </r>
    <r>
      <rPr>
        <sz val="11"/>
        <color rgb="FF000000"/>
        <rFont val="Calibri"/>
      </rPr>
      <t>-a always,exit -F arch=b32 -S chown -F auid&gt;=1000 -F auid!=unset -F key=perm_mod</t>
    </r>
    <r>
      <rPr>
        <sz val="11"/>
        <color rgb="FF000000"/>
        <rFont val="Calibri"/>
      </rPr>
      <t xml:space="preserve">
</t>
    </r>
    <r>
      <rPr>
        <sz val="11"/>
        <color rgb="FF000000"/>
        <rFont val="Calibri"/>
      </rPr>
      <t>-a always,exit -F arch=b32 -S fchmod -F auid&gt;=1000 -F auid!=unset -F key=perm_mod</t>
    </r>
    <r>
      <rPr>
        <sz val="11"/>
        <color rgb="FF000000"/>
        <rFont val="Calibri"/>
      </rPr>
      <t xml:space="preserve">
</t>
    </r>
    <r>
      <rPr>
        <sz val="11"/>
        <color rgb="FF000000"/>
        <rFont val="Calibri"/>
      </rPr>
      <t>-a always,exit -F arch=b32 -S fchmodat -F auid&gt;=1000 -F auid!=unset -F key=perm_mod</t>
    </r>
    <r>
      <rPr>
        <sz val="11"/>
        <color rgb="FF000000"/>
        <rFont val="Calibri"/>
      </rPr>
      <t xml:space="preserve">
</t>
    </r>
    <r>
      <rPr>
        <sz val="11"/>
        <color rgb="FF000000"/>
        <rFont val="Calibri"/>
      </rPr>
      <t>-a always,exit -F arch=b32 -S fchown -F auid&gt;=1000 -F auid!=unset -F key=perm_mod</t>
    </r>
    <r>
      <rPr>
        <sz val="11"/>
        <color rgb="FF000000"/>
        <rFont val="Calibri"/>
      </rPr>
      <t xml:space="preserve">
</t>
    </r>
    <r>
      <rPr>
        <sz val="11"/>
        <color rgb="FF000000"/>
        <rFont val="Calibri"/>
      </rPr>
      <t>-a always,exit -F arch=b32 -S fchownat -F auid&gt;=1000 -F auid!=unset -F key=perm_mod</t>
    </r>
    <r>
      <rPr>
        <sz val="11"/>
        <color rgb="FF000000"/>
        <rFont val="Calibri"/>
      </rPr>
      <t xml:space="preserve">
</t>
    </r>
    <r>
      <rPr>
        <sz val="11"/>
        <color rgb="FF000000"/>
        <rFont val="Calibri"/>
      </rPr>
      <t>-a always,exit -F arch=b32 -S fremovexattr -F auid&gt;=1000 -F auid!=unset -F key=perm_mod</t>
    </r>
    <r>
      <rPr>
        <sz val="11"/>
        <color rgb="FF000000"/>
        <rFont val="Calibri"/>
      </rPr>
      <t xml:space="preserve">
</t>
    </r>
    <r>
      <rPr>
        <sz val="11"/>
        <color rgb="FF000000"/>
        <rFont val="Calibri"/>
      </rPr>
      <t>-a always,exit -F arch=b32 -S fsetxattr -F auid&gt;=1000 -F auid!=unset -F key=perm_mod</t>
    </r>
    <r>
      <rPr>
        <sz val="11"/>
        <color rgb="FF000000"/>
        <rFont val="Calibri"/>
      </rPr>
      <t xml:space="preserve">
</t>
    </r>
    <r>
      <rPr>
        <sz val="11"/>
        <color rgb="FF000000"/>
        <rFont val="Calibri"/>
      </rPr>
      <t>-a always,exit -F arch=b32 -S lchown -F auid&gt;=1000 -F auid!=unset -F key=perm_mod</t>
    </r>
    <r>
      <rPr>
        <sz val="11"/>
        <color rgb="FF000000"/>
        <rFont val="Calibri"/>
      </rPr>
      <t xml:space="preserve">
</t>
    </r>
    <r>
      <rPr>
        <sz val="11"/>
        <color rgb="FF000000"/>
        <rFont val="Calibri"/>
      </rPr>
      <t>-a always,exit -F arch=b32 -S lremovexattr -F auid&gt;=1000 -F auid!=unset -F key=perm_mod</t>
    </r>
    <r>
      <rPr>
        <sz val="11"/>
        <color rgb="FF000000"/>
        <rFont val="Calibri"/>
      </rPr>
      <t xml:space="preserve">
</t>
    </r>
    <r>
      <rPr>
        <sz val="11"/>
        <color rgb="FF000000"/>
        <rFont val="Calibri"/>
      </rPr>
      <t>-a always,exit -F arch=b32 -S lsetxattr -F auid&gt;=1000 -F auid!=unset -F key=perm_mod</t>
    </r>
    <r>
      <rPr>
        <sz val="11"/>
        <color rgb="FF000000"/>
        <rFont val="Calibri"/>
      </rPr>
      <t xml:space="preserve">
</t>
    </r>
    <r>
      <rPr>
        <sz val="11"/>
        <color rgb="FF000000"/>
        <rFont val="Calibri"/>
      </rPr>
      <t>-a always,exit -F arch=b32 -S removexattr -F auid&gt;=1000 -F auid!=unset -F key=perm_mod</t>
    </r>
    <r>
      <rPr>
        <sz val="11"/>
        <color rgb="FF000000"/>
        <rFont val="Calibri"/>
      </rPr>
      <t xml:space="preserve">
</t>
    </r>
    <r>
      <rPr>
        <sz val="11"/>
        <color rgb="FF000000"/>
        <rFont val="Calibri"/>
      </rPr>
      <t>-a always,exit -F arch=b32 -S setxattr -F auid&gt;=1000 -F auid!=unset -F key=perm_mod</t>
    </r>
    <r>
      <rPr>
        <sz val="11"/>
        <color rgb="FF000000"/>
        <rFont val="Calibri"/>
      </rPr>
      <t xml:space="preserve">
</t>
    </r>
    <r>
      <rPr>
        <sz val="11"/>
        <color rgb="FF000000"/>
        <rFont val="Calibri"/>
      </rPr>
      <t>-a always,exit -F arch=b64 -S chmod -F auid&gt;=1000 -F auid!=unset -F key=perm_mod</t>
    </r>
    <r>
      <rPr>
        <sz val="11"/>
        <color rgb="FF000000"/>
        <rFont val="Calibri"/>
      </rPr>
      <t xml:space="preserve">
</t>
    </r>
    <r>
      <rPr>
        <sz val="11"/>
        <color rgb="FF000000"/>
        <rFont val="Calibri"/>
      </rPr>
      <t>-a always,exit -F arch=b64 -S chown -F auid&gt;=1000 -F auid!=unset -F key=perm_mod</t>
    </r>
    <r>
      <rPr>
        <sz val="11"/>
        <color rgb="FF000000"/>
        <rFont val="Calibri"/>
      </rPr>
      <t xml:space="preserve">
</t>
    </r>
    <r>
      <rPr>
        <sz val="11"/>
        <color rgb="FF000000"/>
        <rFont val="Calibri"/>
      </rPr>
      <t>-a always,exit -F arch=b64 -S fchmod -F auid&gt;=1000 -F auid!=unset -F key=perm_mod</t>
    </r>
    <r>
      <rPr>
        <sz val="11"/>
        <color rgb="FF000000"/>
        <rFont val="Calibri"/>
      </rPr>
      <t xml:space="preserve">
</t>
    </r>
    <r>
      <rPr>
        <sz val="11"/>
        <color rgb="FF000000"/>
        <rFont val="Calibri"/>
      </rPr>
      <t>-a always,exit -F arch=b64 -S fchmodat -F auid&gt;=1000 -F auid!=unset -F key=perm_mod</t>
    </r>
    <r>
      <rPr>
        <sz val="11"/>
        <color rgb="FF000000"/>
        <rFont val="Calibri"/>
      </rPr>
      <t xml:space="preserve">
</t>
    </r>
    <r>
      <rPr>
        <sz val="11"/>
        <color rgb="FF000000"/>
        <rFont val="Calibri"/>
      </rPr>
      <t>-a always,exit -F arch=b64 -S fchown -F auid&gt;=1000 -F auid!=unset -F key=perm_mod</t>
    </r>
    <r>
      <rPr>
        <sz val="11"/>
        <color rgb="FF000000"/>
        <rFont val="Calibri"/>
      </rPr>
      <t xml:space="preserve">
</t>
    </r>
    <r>
      <rPr>
        <sz val="11"/>
        <color rgb="FF000000"/>
        <rFont val="Calibri"/>
      </rPr>
      <t>-a always,exit -F arch=b64 -S fchownat -F auid&gt;=1000 -F auid!=unset -F key=perm_mod</t>
    </r>
    <r>
      <rPr>
        <sz val="11"/>
        <color rgb="FF000000"/>
        <rFont val="Calibri"/>
      </rPr>
      <t xml:space="preserve">
</t>
    </r>
    <r>
      <rPr>
        <sz val="11"/>
        <color rgb="FF000000"/>
        <rFont val="Calibri"/>
      </rPr>
      <t>-a always,exit -F arch=b64 -S fremovexattr -F auid&gt;=1000 -F auid!=unset -F key=perm_mod</t>
    </r>
    <r>
      <rPr>
        <sz val="11"/>
        <color rgb="FF000000"/>
        <rFont val="Calibri"/>
      </rPr>
      <t xml:space="preserve">
</t>
    </r>
    <r>
      <rPr>
        <sz val="11"/>
        <color rgb="FF000000"/>
        <rFont val="Calibri"/>
      </rPr>
      <t>-a always,exit -F arch=b64 -S fsetxattr -F auid&gt;=1000 -F auid!=unset -F key=perm_mod</t>
    </r>
    <r>
      <rPr>
        <sz val="11"/>
        <color rgb="FF000000"/>
        <rFont val="Calibri"/>
      </rPr>
      <t xml:space="preserve">
</t>
    </r>
    <r>
      <rPr>
        <sz val="11"/>
        <color rgb="FF000000"/>
        <rFont val="Calibri"/>
      </rPr>
      <t>-a always,exit -F arch=b64 -S lchown -F auid&gt;=1000 -F auid!=unset -F key=perm_mod</t>
    </r>
    <r>
      <rPr>
        <sz val="11"/>
        <color rgb="FF000000"/>
        <rFont val="Calibri"/>
      </rPr>
      <t xml:space="preserve">
</t>
    </r>
    <r>
      <rPr>
        <sz val="11"/>
        <color rgb="FF000000"/>
        <rFont val="Calibri"/>
      </rPr>
      <t>-a always,exit -F arch=b64 -S lremovexattr -F auid&gt;=1000 -F auid!=unset -F key=perm_mod</t>
    </r>
    <r>
      <rPr>
        <sz val="11"/>
        <color rgb="FF000000"/>
        <rFont val="Calibri"/>
      </rPr>
      <t xml:space="preserve">
</t>
    </r>
    <r>
      <rPr>
        <sz val="11"/>
        <color rgb="FF000000"/>
        <rFont val="Calibri"/>
      </rPr>
      <t>-a always,exit -F arch=b64 -S lsetxattr -F auid&gt;=1000 -F auid!=unset -F key=perm_mod</t>
    </r>
    <r>
      <rPr>
        <sz val="11"/>
        <color rgb="FF000000"/>
        <rFont val="Calibri"/>
      </rPr>
      <t xml:space="preserve">
</t>
    </r>
    <r>
      <rPr>
        <sz val="11"/>
        <color rgb="FF000000"/>
        <rFont val="Calibri"/>
      </rPr>
      <t>-a always,exit -F arch=b64 -S removexattr -F auid&gt;=1000 -F auid!=unset -F key=perm_mod</t>
    </r>
    <r>
      <rPr>
        <sz val="11"/>
        <color rgb="FF000000"/>
        <rFont val="Calibri"/>
      </rPr>
      <t xml:space="preserve">
</t>
    </r>
    <r>
      <rPr>
        <sz val="11"/>
        <color rgb="FF000000"/>
        <rFont val="Calibri"/>
      </rPr>
      <t>-a always,exit -F arch=b64 -S setxattr -F auid&gt;=1000 -F auid!=unset -F key=perm_mod</t>
    </r>
    <r>
      <rPr>
        <sz val="11"/>
        <color rgb="FF000000"/>
        <rFont val="Calibri"/>
      </rPr>
      <t xml:space="preserve">
</t>
    </r>
    <r>
      <rPr>
        <sz val="11"/>
        <color rgb="FF000000"/>
        <rFont val="Calibri"/>
      </rPr>
      <t>-a always,exit -F arch=b32 -S open -F a1&amp;0x40 -F exit=-EACCES -F auid&gt;=1000 -F auid!=unset -F key=unsuccessful-create</t>
    </r>
    <r>
      <rPr>
        <sz val="11"/>
        <color rgb="FF000000"/>
        <rFont val="Calibri"/>
      </rPr>
      <t xml:space="preserve">
</t>
    </r>
    <r>
      <rPr>
        <sz val="11"/>
        <color rgb="FF000000"/>
        <rFont val="Calibri"/>
      </rPr>
      <t>-a always,exit -F arch=b32 -S open -F a1&amp;0x40 -F exit=-EPERM -F auid&gt;=1000 -F auid!=unset -F key=unsuccessful-create</t>
    </r>
    <r>
      <rPr>
        <sz val="11"/>
        <color rgb="FF000000"/>
        <rFont val="Calibri"/>
      </rPr>
      <t xml:space="preserve">
</t>
    </r>
    <r>
      <rPr>
        <sz val="11"/>
        <color rgb="FF000000"/>
        <rFont val="Calibri"/>
      </rPr>
      <t>-a always,exit -F arch=b32 -S openat,open_by_handle_at -F a2&amp;0x40 -F exit=-EACCES -F auid&gt;=1000 -F auid!=unset -F key=unsuccessful-create</t>
    </r>
    <r>
      <rPr>
        <sz val="11"/>
        <color rgb="FF000000"/>
        <rFont val="Calibri"/>
      </rPr>
      <t xml:space="preserve">
</t>
    </r>
    <r>
      <rPr>
        <sz val="11"/>
        <color rgb="FF000000"/>
        <rFont val="Calibri"/>
      </rPr>
      <t>-a always,exit -F arch=b32 -S openat,open_by_handle_at -F a2&amp;0x40 -F exit=-EPERM -F auid&gt;=1000 -F auid!=unset -F key=unsuccessful-create</t>
    </r>
    <r>
      <rPr>
        <sz val="11"/>
        <color rgb="FF000000"/>
        <rFont val="Calibri"/>
      </rPr>
      <t xml:space="preserve">
</t>
    </r>
    <r>
      <rPr>
        <sz val="11"/>
        <color rgb="FF000000"/>
        <rFont val="Calibri"/>
      </rPr>
      <t>-a always,exit -F arch=b64 -S open -F a1&amp;0x40 -F exit=-EACCES -F auid&gt;=1000 -F auid!=unset -F key=unsuccessful-create</t>
    </r>
    <r>
      <rPr>
        <sz val="11"/>
        <color rgb="FF000000"/>
        <rFont val="Calibri"/>
      </rPr>
      <t xml:space="preserve">
</t>
    </r>
    <r>
      <rPr>
        <sz val="11"/>
        <color rgb="FF000000"/>
        <rFont val="Calibri"/>
      </rPr>
      <t>-a always,exit -F arch=b64 -S open -F a1&amp;0x40 -F exit=-EPERM -F auid&gt;=1000 -F auid!=unset -F key=unsuccessful-create</t>
    </r>
    <r>
      <rPr>
        <sz val="11"/>
        <color rgb="FF000000"/>
        <rFont val="Calibri"/>
      </rPr>
      <t xml:space="preserve">
</t>
    </r>
    <r>
      <rPr>
        <sz val="11"/>
        <color rgb="FF000000"/>
        <rFont val="Calibri"/>
      </rPr>
      <t>-a always,exit -F arch=b64 -S openat,open_by_handle_at -F a2&amp;0x40 -F exit=-EACCES -F auid&gt;=1000 -F auid!=unset -F key=unsuccessful-create</t>
    </r>
    <r>
      <rPr>
        <sz val="11"/>
        <color rgb="FF000000"/>
        <rFont val="Calibri"/>
      </rPr>
      <t xml:space="preserve">
</t>
    </r>
    <r>
      <rPr>
        <sz val="11"/>
        <color rgb="FF000000"/>
        <rFont val="Calibri"/>
      </rPr>
      <t>-a always,exit -F arch=b64 -S openat,open_by_handle_at -F a2&amp;0x40 -F exit=-EPERM -F auid&gt;=1000 -F auid!=unset -F key=unsuccessful-create</t>
    </r>
    <r>
      <rPr>
        <sz val="11"/>
        <color rgb="FF000000"/>
        <rFont val="Calibri"/>
      </rPr>
      <t xml:space="preserve">
</t>
    </r>
    <r>
      <rPr>
        <sz val="11"/>
        <color rgb="FF000000"/>
        <rFont val="Calibri"/>
      </rPr>
      <t>-a always,exit -F arch=b32 -S open -F a1&amp;0x203 -F exit=-EACCES -F auid&gt;=1000 -F auid!=unset -F key=unsuccessful-modification</t>
    </r>
    <r>
      <rPr>
        <sz val="11"/>
        <color rgb="FF000000"/>
        <rFont val="Calibri"/>
      </rPr>
      <t xml:space="preserve">
</t>
    </r>
    <r>
      <rPr>
        <sz val="11"/>
        <color rgb="FF000000"/>
        <rFont val="Calibri"/>
      </rPr>
      <t>-a always,exit -F arch=b32 -S open -F a1&amp;0x203 -F exit=-EPERM -F auid&gt;=1000 -F auid!=unset -F key=unsuccessful-modification</t>
    </r>
    <r>
      <rPr>
        <sz val="11"/>
        <color rgb="FF000000"/>
        <rFont val="Calibri"/>
      </rPr>
      <t xml:space="preserve">
</t>
    </r>
    <r>
      <rPr>
        <sz val="11"/>
        <color rgb="FF000000"/>
        <rFont val="Calibri"/>
      </rPr>
      <t>-a always,exit -F arch=b32 -S openat,open_by_handle_at -F a2&amp;0x203 -F exit=-EACCES -F auid&gt;=1000 -F auid!=unset -F key=unsuccessful-modification</t>
    </r>
    <r>
      <rPr>
        <sz val="11"/>
        <color rgb="FF000000"/>
        <rFont val="Calibri"/>
      </rPr>
      <t xml:space="preserve">
</t>
    </r>
    <r>
      <rPr>
        <sz val="11"/>
        <color rgb="FF000000"/>
        <rFont val="Calibri"/>
      </rPr>
      <t>-a always,exit -F arch=b32 -S openat,open_by_handle_at -F a2&amp;0x203 -F exit=-EPERM -F auid&gt;=1000 -F auid!=unset -F key=unsuccessful-modification</t>
    </r>
    <r>
      <rPr>
        <sz val="11"/>
        <color rgb="FF000000"/>
        <rFont val="Calibri"/>
      </rPr>
      <t xml:space="preserve">
</t>
    </r>
    <r>
      <rPr>
        <sz val="11"/>
        <color rgb="FF000000"/>
        <rFont val="Calibri"/>
      </rPr>
      <t>-a always,exit -F arch=b64 -S open -F a1&amp;0x203 -F exit=-EACCES -F auid&gt;=1000 -F auid!=unset -F key=unsuccessful-modification</t>
    </r>
    <r>
      <rPr>
        <sz val="11"/>
        <color rgb="FF000000"/>
        <rFont val="Calibri"/>
      </rPr>
      <t xml:space="preserve">
</t>
    </r>
    <r>
      <rPr>
        <sz val="11"/>
        <color rgb="FF000000"/>
        <rFont val="Calibri"/>
      </rPr>
      <t>-a always,exit -F arch=b64 -S open -F a1&amp;0x203 -F exit=-EPERM -F auid&gt;=1000 -F auid!=unset -F key=unsuccessful-modification</t>
    </r>
    <r>
      <rPr>
        <sz val="11"/>
        <color rgb="FF000000"/>
        <rFont val="Calibri"/>
      </rPr>
      <t xml:space="preserve">
</t>
    </r>
    <r>
      <rPr>
        <sz val="11"/>
        <color rgb="FF000000"/>
        <rFont val="Calibri"/>
      </rPr>
      <t>-a always,exit -F arch=b64 -S openat,open_by_handle_at -F a2&amp;0x203 -F exit=-EACCES -F auid&gt;=1000 -F auid!=unset -F key=unsuccessful-modification</t>
    </r>
    <r>
      <rPr>
        <sz val="11"/>
        <color rgb="FF000000"/>
        <rFont val="Calibri"/>
      </rPr>
      <t xml:space="preserve">
</t>
    </r>
    <r>
      <rPr>
        <sz val="11"/>
        <color rgb="FF000000"/>
        <rFont val="Calibri"/>
      </rPr>
      <t>-a always,exit -F arch=b64 -S openat,open_by_handle_at -F a2&amp;0x203 -F exit=-EPERM -F auid&gt;=1000 -F auid!=unset -F key=unsuccessful-modification</t>
    </r>
    <r>
      <rPr>
        <sz val="11"/>
        <color rgb="FF000000"/>
        <rFont val="Calibri"/>
      </rPr>
      <t xml:space="preserve">
</t>
    </r>
    <r>
      <rPr>
        <sz val="11"/>
        <color rgb="FF000000"/>
        <rFont val="Calibri"/>
      </rPr>
      <t>-a always,exit -F arch=b32 -S open,creat,truncate,ftruncate,openat,open_by_handle_at -F exit=-EACCES -F auid&gt;=1000 -F auid!=unset -F key=unsuccessful-access</t>
    </r>
    <r>
      <rPr>
        <sz val="11"/>
        <color rgb="FF000000"/>
        <rFont val="Calibri"/>
      </rPr>
      <t xml:space="preserve">
</t>
    </r>
    <r>
      <rPr>
        <sz val="11"/>
        <color rgb="FF000000"/>
        <rFont val="Calibri"/>
      </rPr>
      <t>-a always,exit -F arch=b32 -S open,creat,truncate,ftruncate,openat,open_by_handle_at -F exit=-EPERM -F auid&gt;=1000 -F auid!=unset -F key=unsuccessful-access</t>
    </r>
    <r>
      <rPr>
        <sz val="11"/>
        <color rgb="FF000000"/>
        <rFont val="Calibri"/>
      </rPr>
      <t xml:space="preserve">
</t>
    </r>
    <r>
      <rPr>
        <sz val="11"/>
        <color rgb="FF000000"/>
        <rFont val="Calibri"/>
      </rPr>
      <t>-a always,exit -F arch=b64 -S open,truncate,ftruncate,creat,openat,open_by_handle_at -F exit=-EACCES -F auid&gt;=1000 -F auid!=unset -F key=unsuccessful-access</t>
    </r>
    <r>
      <rPr>
        <sz val="11"/>
        <color rgb="FF000000"/>
        <rFont val="Calibri"/>
      </rPr>
      <t xml:space="preserve">
</t>
    </r>
    <r>
      <rPr>
        <sz val="11"/>
        <color rgb="FF000000"/>
        <rFont val="Calibri"/>
      </rPr>
      <t>-a always,exit -F arch=b64 -S open,truncate,ftruncate,creat,openat,open_by_handle_at -F exit=-EPERM -F auid&gt;=1000 -F auid!=unset -F key=unsuccessful-access</t>
    </r>
    <r>
      <rPr>
        <sz val="11"/>
        <color rgb="FF000000"/>
        <rFont val="Calibri"/>
      </rPr>
      <t xml:space="preserve">
</t>
    </r>
    <r>
      <rPr>
        <sz val="11"/>
        <color rgb="FF000000"/>
        <rFont val="Calibri"/>
      </rPr>
      <t>-a always,exit -F arch=b32 -S creat -F exit=-EACCES -F auid&gt;=1000 -F auid!=unset -F key=unsuccessful-create</t>
    </r>
    <r>
      <rPr>
        <sz val="11"/>
        <color rgb="FF000000"/>
        <rFont val="Calibri"/>
      </rPr>
      <t xml:space="preserve">
</t>
    </r>
    <r>
      <rPr>
        <sz val="11"/>
        <color rgb="FF000000"/>
        <rFont val="Calibri"/>
      </rPr>
      <t>-a always,exit -F arch=b32 -S creat -F exit=-EPERM -F auid&gt;=1000 -F auid!=unset -F key=unsuccessful-create</t>
    </r>
    <r>
      <rPr>
        <sz val="11"/>
        <color rgb="FF000000"/>
        <rFont val="Calibri"/>
      </rPr>
      <t xml:space="preserve">
</t>
    </r>
    <r>
      <rPr>
        <sz val="11"/>
        <color rgb="FF000000"/>
        <rFont val="Calibri"/>
      </rPr>
      <t>-a always,exit -F arch=b64 -S creat -F exit=-EACCES -F auid&gt;=1000 -F auid!=unset -F key=unsuccessful-create</t>
    </r>
    <r>
      <rPr>
        <sz val="11"/>
        <color rgb="FF000000"/>
        <rFont val="Calibri"/>
      </rPr>
      <t xml:space="preserve">
</t>
    </r>
    <r>
      <rPr>
        <sz val="11"/>
        <color rgb="FF000000"/>
        <rFont val="Calibri"/>
      </rPr>
      <t>-a always,exit -F arch=b64 -S creat -F exit=-EPERM -F auid&gt;=1000 -F auid!=unset -F key=unsuccessful-create</t>
    </r>
    <r>
      <rPr>
        <sz val="11"/>
        <color rgb="FF000000"/>
        <rFont val="Calibri"/>
      </rPr>
      <t xml:space="preserve">
</t>
    </r>
    <r>
      <rPr>
        <sz val="11"/>
        <color rgb="FF000000"/>
        <rFont val="Calibri"/>
      </rPr>
      <t>-a always,exit -F arch=b32 -S truncate,ftruncate -F exit=-EACCES -F auid&gt;=1000 -F auid!=unset -F key=unsuccessful-modification</t>
    </r>
    <r>
      <rPr>
        <sz val="11"/>
        <color rgb="FF000000"/>
        <rFont val="Calibri"/>
      </rPr>
      <t xml:space="preserve">
</t>
    </r>
    <r>
      <rPr>
        <sz val="11"/>
        <color rgb="FF000000"/>
        <rFont val="Calibri"/>
      </rPr>
      <t>-a always,exit -F arch=b32 -S truncate,ftruncate -F exit=-EPERM -F auid&gt;=1000 -F auid!=unset -F key=unsuccessful-modification</t>
    </r>
    <r>
      <rPr>
        <sz val="11"/>
        <color rgb="FF000000"/>
        <rFont val="Calibri"/>
      </rPr>
      <t xml:space="preserve">
</t>
    </r>
    <r>
      <rPr>
        <sz val="11"/>
        <color rgb="FF000000"/>
        <rFont val="Calibri"/>
      </rPr>
      <t>-a always,exit -F arch=b64 -S truncate,ftruncate -F exit=-EACCES -F auid&gt;=1000 -F auid!=unset -F key=unsuccessful-modification</t>
    </r>
    <r>
      <rPr>
        <sz val="11"/>
        <color rgb="FF000000"/>
        <rFont val="Calibri"/>
      </rPr>
      <t xml:space="preserve">
</t>
    </r>
    <r>
      <rPr>
        <sz val="11"/>
        <color rgb="FF000000"/>
        <rFont val="Calibri"/>
      </rPr>
      <t>-a always,exit -F arch=b64 -S truncate,ftruncate -F exit=-EPERM -F auid&gt;=1000 -F auid!=unset -F key=unsuccessful-modification</t>
    </r>
    <r>
      <rPr>
        <sz val="11"/>
        <color rgb="FF000000"/>
        <rFont val="Calibri"/>
      </rPr>
      <t xml:space="preserve">
</t>
    </r>
    <r>
      <rPr>
        <sz val="11"/>
        <color rgb="FF000000"/>
        <rFont val="Calibri"/>
      </rPr>
      <t>On each node, if the above rules are not listed, or the return is "not found", this is a finding.</t>
    </r>
  </si>
  <si>
    <t>V-257519</t>
  </si>
  <si>
    <r>
      <rPr>
        <sz val="11"/>
        <rFont val="Calibri"/>
      </rPr>
      <t>Red Hat Enterprise Linux CoreOS (RHCOS) must initiate session audits at system startup.</t>
    </r>
  </si>
  <si>
    <r>
      <rPr>
        <sz val="11"/>
        <color rgb="FF000000"/>
        <rFont val="Calibri"/>
      </rPr>
      <t>Apply the machine config by executing the following:</t>
    </r>
    <r>
      <rPr>
        <sz val="11"/>
        <color rgb="FF000000"/>
        <rFont val="Calibri"/>
      </rPr>
      <t xml:space="preserve">
</t>
    </r>
    <r>
      <rPr>
        <sz val="11"/>
        <color rgb="FF000000"/>
        <rFont val="Calibri"/>
      </rPr>
      <t>for mcpool in $(oc get mcp -oname | sed "s:.*/::" ); do</t>
    </r>
    <r>
      <rPr>
        <sz val="11"/>
        <color rgb="FF000000"/>
        <rFont val="Calibri"/>
      </rPr>
      <t xml:space="preserve">
</t>
    </r>
    <r>
      <rPr>
        <sz val="11"/>
        <color rgb="FF000000"/>
        <rFont val="Calibri"/>
      </rPr>
      <t>echo "apiVersion: machineconfiguration.openshift.io/v1</t>
    </r>
    <r>
      <rPr>
        <sz val="11"/>
        <color rgb="FF000000"/>
        <rFont val="Calibri"/>
      </rPr>
      <t xml:space="preserve">
</t>
    </r>
    <r>
      <rPr>
        <sz val="11"/>
        <color rgb="FF000000"/>
        <rFont val="Calibri"/>
      </rPr>
      <t>kind: MachineConfig</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05-kernelarg-audit-enabled-$mcpool</t>
    </r>
    <r>
      <rPr>
        <sz val="11"/>
        <color rgb="FF000000"/>
        <rFont val="Calibri"/>
      </rPr>
      <t xml:space="preserve">
</t>
    </r>
    <r>
      <rPr>
        <sz val="11"/>
        <color rgb="FF000000"/>
        <rFont val="Calibri"/>
      </rPr>
      <t xml:space="preserve">  labels:</t>
    </r>
    <r>
      <rPr>
        <sz val="11"/>
        <color rgb="FF000000"/>
        <rFont val="Calibri"/>
      </rPr>
      <t xml:space="preserve">
</t>
    </r>
    <r>
      <rPr>
        <sz val="11"/>
        <color rgb="FF000000"/>
        <rFont val="Calibri"/>
      </rPr>
      <t xml:space="preserve">    machineconfiguration.openshift.io/role: $mcpool</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config:</t>
    </r>
    <r>
      <rPr>
        <sz val="11"/>
        <color rgb="FF000000"/>
        <rFont val="Calibri"/>
      </rPr>
      <t xml:space="preserve">
</t>
    </r>
    <r>
      <rPr>
        <sz val="11"/>
        <color rgb="FF000000"/>
        <rFont val="Calibri"/>
      </rPr>
      <t xml:space="preserve">    ignition:</t>
    </r>
    <r>
      <rPr>
        <sz val="11"/>
        <color rgb="FF000000"/>
        <rFont val="Calibri"/>
      </rPr>
      <t xml:space="preserve">
</t>
    </r>
    <r>
      <rPr>
        <sz val="11"/>
        <color rgb="FF000000"/>
        <rFont val="Calibri"/>
      </rPr>
      <t xml:space="preserve">      version: 3.1.0</t>
    </r>
    <r>
      <rPr>
        <sz val="11"/>
        <color rgb="FF000000"/>
        <rFont val="Calibri"/>
      </rPr>
      <t xml:space="preserve">
</t>
    </r>
    <r>
      <rPr>
        <sz val="11"/>
        <color rgb="FF000000"/>
        <rFont val="Calibri"/>
      </rPr>
      <t xml:space="preserve">  kernelArguments:</t>
    </r>
    <r>
      <rPr>
        <sz val="11"/>
        <color rgb="FF000000"/>
        <rFont val="Calibri"/>
      </rPr>
      <t xml:space="preserve">
</t>
    </r>
    <r>
      <rPr>
        <sz val="11"/>
        <color rgb="FF000000"/>
        <rFont val="Calibri"/>
      </rPr>
      <t xml:space="preserve">  - audit=1</t>
    </r>
    <r>
      <rPr>
        <sz val="11"/>
        <color rgb="FF000000"/>
        <rFont val="Calibri"/>
      </rPr>
      <t xml:space="preserve">
</t>
    </r>
    <r>
      <rPr>
        <sz val="11"/>
        <color rgb="FF000000"/>
        <rFont val="Calibri"/>
      </rPr>
      <t xml:space="preserve">  - audit_backlog_limit=8192</t>
    </r>
    <r>
      <rPr>
        <sz val="11"/>
        <color rgb="FF000000"/>
        <rFont val="Calibri"/>
      </rPr>
      <t xml:space="preserve">
</t>
    </r>
    <r>
      <rPr>
        <sz val="11"/>
        <color rgb="FF000000"/>
        <rFont val="Calibri"/>
      </rPr>
      <t>" | oc create -f -</t>
    </r>
    <r>
      <rPr>
        <sz val="11"/>
        <color rgb="FF000000"/>
        <rFont val="Calibri"/>
      </rPr>
      <t xml:space="preserve">
</t>
    </r>
    <r>
      <rPr>
        <sz val="11"/>
        <color rgb="FF000000"/>
        <rFont val="Calibri"/>
      </rPr>
      <t>done</t>
    </r>
  </si>
  <si>
    <r>
      <rPr>
        <sz val="11"/>
        <color rgb="FF000000"/>
        <rFont val="Calibri"/>
      </rPr>
      <t>Initiating session audits at system startup allows for comprehensive monitoring of user activities and system events from the moment the system is powered on. Audit logs capture information about login attempts, commands executed, file access, and other system activities. By starting session audits at system startup, RHCOS ensures that all relevant events are recorded, providing a complete security monitoring solution. Some audit systems also maintain state information only available if auditing is enabled before a given process is created.</t>
    </r>
    <r>
      <rPr>
        <sz val="11"/>
        <color rgb="FF000000"/>
        <rFont val="Calibri"/>
      </rPr>
      <t xml:space="preserve">
</t>
    </r>
    <r>
      <rPr>
        <sz val="11"/>
        <color rgb="FF000000"/>
        <rFont val="Calibri"/>
      </rPr>
      <t>By initiating session audits at system startup, RHCOS enhances security monitoring, aids in timely incident detection and response, meets compliance requirements, facilitates forensic analysis, and promotes accountability and governance.</t>
    </r>
  </si>
  <si>
    <r>
      <rPr>
        <sz val="11"/>
        <color rgb="FF000000"/>
        <rFont val="Calibri"/>
      </rPr>
      <t>Verify the RHCOS boot loader configuration has audit enabled, including backlog:</t>
    </r>
    <r>
      <rPr>
        <sz val="11"/>
        <color rgb="FF000000"/>
        <rFont val="Calibri"/>
      </rPr>
      <t xml:space="preserve">
</t>
    </r>
    <r>
      <rPr>
        <sz val="11"/>
        <color rgb="FF000000"/>
        <rFont val="Calibri"/>
      </rPr>
      <t>for node in $(oc get node -oname); do oc debug $node -- chroot /host /bin/bash -c 'echo -n "$HOSTNAME ";  grep audit /boot/loader/entries/*.conf || echo "not found"' 2&gt;/dev/null; done</t>
    </r>
    <r>
      <rPr>
        <sz val="11"/>
        <color rgb="FF000000"/>
        <rFont val="Calibri"/>
      </rPr>
      <t xml:space="preserve">
</t>
    </r>
    <r>
      <rPr>
        <sz val="11"/>
        <color rgb="FF000000"/>
        <rFont val="Calibri"/>
      </rPr>
      <t>If "audit" is not set to "1" or returns "not found", this is a finding.</t>
    </r>
    <r>
      <rPr>
        <sz val="11"/>
        <color rgb="FF000000"/>
        <rFont val="Calibri"/>
      </rPr>
      <t xml:space="preserve">
</t>
    </r>
    <r>
      <rPr>
        <sz val="11"/>
        <color rgb="FF000000"/>
        <rFont val="Calibri"/>
      </rPr>
      <t>If "audit_backlog" is not set to 8192 or returns "not found", this is a finding.</t>
    </r>
  </si>
  <si>
    <t>V-257520</t>
  </si>
  <si>
    <r>
      <rPr>
        <sz val="11"/>
        <rFont val="Calibri"/>
      </rPr>
      <t>All audit records must identify what type of event has occurred within OpenShift.</t>
    </r>
  </si>
  <si>
    <r>
      <rPr>
        <sz val="11"/>
        <color rgb="FF000000"/>
        <rFont val="Calibri"/>
      </rPr>
      <t>Apply the machine config setting auditd to active and enabled by executing the following:</t>
    </r>
    <r>
      <rPr>
        <sz val="11"/>
        <color rgb="FF000000"/>
        <rFont val="Calibri"/>
      </rPr>
      <t xml:space="preserve">
</t>
    </r>
    <r>
      <rPr>
        <sz val="11"/>
        <color rgb="FF000000"/>
        <rFont val="Calibri"/>
      </rPr>
      <t>for mcpool in $(oc get mcp -oname | sed "s:.*/::" ); do</t>
    </r>
    <r>
      <rPr>
        <sz val="11"/>
        <color rgb="FF000000"/>
        <rFont val="Calibri"/>
      </rPr>
      <t xml:space="preserve">
</t>
    </r>
    <r>
      <rPr>
        <sz val="11"/>
        <color rgb="FF000000"/>
        <rFont val="Calibri"/>
      </rPr>
      <t>echo "apiVersion: machineconfiguration.openshift.io/v1</t>
    </r>
    <r>
      <rPr>
        <sz val="11"/>
        <color rgb="FF000000"/>
        <rFont val="Calibri"/>
      </rPr>
      <t xml:space="preserve">
</t>
    </r>
    <r>
      <rPr>
        <sz val="11"/>
        <color rgb="FF000000"/>
        <rFont val="Calibri"/>
      </rPr>
      <t>kind: MachineConfig</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80-auditd-service-enable-$mcpool</t>
    </r>
    <r>
      <rPr>
        <sz val="11"/>
        <color rgb="FF000000"/>
        <rFont val="Calibri"/>
      </rPr>
      <t xml:space="preserve">
</t>
    </r>
    <r>
      <rPr>
        <sz val="11"/>
        <color rgb="FF000000"/>
        <rFont val="Calibri"/>
      </rPr>
      <t xml:space="preserve">  labels:</t>
    </r>
    <r>
      <rPr>
        <sz val="11"/>
        <color rgb="FF000000"/>
        <rFont val="Calibri"/>
      </rPr>
      <t xml:space="preserve">
</t>
    </r>
    <r>
      <rPr>
        <sz val="11"/>
        <color rgb="FF000000"/>
        <rFont val="Calibri"/>
      </rPr>
      <t xml:space="preserve">    machineconfiguration.openshift.io/role: $mcpool</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config:</t>
    </r>
    <r>
      <rPr>
        <sz val="11"/>
        <color rgb="FF000000"/>
        <rFont val="Calibri"/>
      </rPr>
      <t xml:space="preserve">
</t>
    </r>
    <r>
      <rPr>
        <sz val="11"/>
        <color rgb="FF000000"/>
        <rFont val="Calibri"/>
      </rPr>
      <t xml:space="preserve">    ignition:</t>
    </r>
    <r>
      <rPr>
        <sz val="11"/>
        <color rgb="FF000000"/>
        <rFont val="Calibri"/>
      </rPr>
      <t xml:space="preserve">
</t>
    </r>
    <r>
      <rPr>
        <sz val="11"/>
        <color rgb="FF000000"/>
        <rFont val="Calibri"/>
      </rPr>
      <t xml:space="preserve">      version: 3.1.0</t>
    </r>
    <r>
      <rPr>
        <sz val="11"/>
        <color rgb="FF000000"/>
        <rFont val="Calibri"/>
      </rPr>
      <t xml:space="preserve">
</t>
    </r>
    <r>
      <rPr>
        <sz val="11"/>
        <color rgb="FF000000"/>
        <rFont val="Calibri"/>
      </rPr>
      <t xml:space="preserve">    systemd:</t>
    </r>
    <r>
      <rPr>
        <sz val="11"/>
        <color rgb="FF000000"/>
        <rFont val="Calibri"/>
      </rPr>
      <t xml:space="preserve">
</t>
    </r>
    <r>
      <rPr>
        <sz val="11"/>
        <color rgb="FF000000"/>
        <rFont val="Calibri"/>
      </rPr>
      <t xml:space="preserve">      units:</t>
    </r>
    <r>
      <rPr>
        <sz val="11"/>
        <color rgb="FF000000"/>
        <rFont val="Calibri"/>
      </rPr>
      <t xml:space="preserve">
</t>
    </r>
    <r>
      <rPr>
        <sz val="11"/>
        <color rgb="FF000000"/>
        <rFont val="Calibri"/>
      </rPr>
      <t xml:space="preserve">      - name: auditd.service</t>
    </r>
    <r>
      <rPr>
        <sz val="11"/>
        <color rgb="FF000000"/>
        <rFont val="Calibri"/>
      </rPr>
      <t xml:space="preserve">
</t>
    </r>
    <r>
      <rPr>
        <sz val="11"/>
        <color rgb="FF000000"/>
        <rFont val="Calibri"/>
      </rPr>
      <t xml:space="preserve">        enabled: true</t>
    </r>
    <r>
      <rPr>
        <sz val="11"/>
        <color rgb="FF000000"/>
        <rFont val="Calibri"/>
      </rPr>
      <t xml:space="preserve">
</t>
    </r>
    <r>
      <rPr>
        <sz val="11"/>
        <color rgb="FF000000"/>
        <rFont val="Calibri"/>
      </rPr>
      <t>" | oc apply -f -</t>
    </r>
    <r>
      <rPr>
        <sz val="11"/>
        <color rgb="FF000000"/>
        <rFont val="Calibri"/>
      </rPr>
      <t xml:space="preserve">
</t>
    </r>
    <r>
      <rPr>
        <sz val="11"/>
        <color rgb="FF000000"/>
        <rFont val="Calibri"/>
      </rPr>
      <t>done</t>
    </r>
  </si>
  <si>
    <r>
      <rPr>
        <sz val="11"/>
        <color rgb="FF000000"/>
        <rFont val="Calibri"/>
      </rPr>
      <t>Within the container platform, audit data can be generated from any of the deployed container platform components. This audit data is important when there are issues such as security incidents that must be investigated. Identifying the type of event in audit records helps classify and categorize different activities or actions within OpenShift. This classification allows for easier analysis, reporting, and filtering of audit logs based on specific event types. It helps distinguish between user actions, system events, policy violations, or security incidents, providing a clearer understanding of the activities occurring within the platform.</t>
    </r>
    <r>
      <rPr>
        <sz val="11"/>
        <color rgb="FF000000"/>
        <rFont val="Calibri"/>
      </rPr>
      <t xml:space="preserve">
</t>
    </r>
    <r>
      <rPr>
        <sz val="11"/>
        <color rgb="FF000000"/>
        <rFont val="Calibri"/>
      </rPr>
      <t>Satisfies: SRG-APP-000095-CTR-000170, SRG-APP-000409-CTR-000990, SRG-APP-000508-CTR-001300, SRG-APP-000510-CTR-001310</t>
    </r>
  </si>
  <si>
    <r>
      <rPr>
        <sz val="11"/>
        <color rgb="FF000000"/>
        <rFont val="Calibri"/>
      </rPr>
      <t>Verify the audit service is enabled and active by executing the following:</t>
    </r>
    <r>
      <rPr>
        <sz val="11"/>
        <color rgb="FF000000"/>
        <rFont val="Calibri"/>
      </rPr>
      <t xml:space="preserve">
</t>
    </r>
    <r>
      <rPr>
        <sz val="11"/>
        <color rgb="FF000000"/>
        <rFont val="Calibri"/>
      </rPr>
      <t>for node in $(oc get node -oname); do oc debug $node -- chroot /host /bin/bash -c 'echo -n "$HOSTNAME "; systemctl is-enabled auditd.service; systemctl is-active auditd.service' 2&gt;/dev/null; done</t>
    </r>
    <r>
      <rPr>
        <sz val="11"/>
        <color rgb="FF000000"/>
        <rFont val="Calibri"/>
      </rPr>
      <t xml:space="preserve">
</t>
    </r>
    <r>
      <rPr>
        <sz val="11"/>
        <color rgb="FF000000"/>
        <rFont val="Calibri"/>
      </rPr>
      <t>If the auditd service is not "enabled" and "active" this is a finding.</t>
    </r>
  </si>
  <si>
    <t>V-257521</t>
  </si>
  <si>
    <r>
      <rPr>
        <sz val="11"/>
        <rFont val="Calibri"/>
      </rPr>
      <t>OpenShift audit records must have a date and time association with all events.</t>
    </r>
  </si>
  <si>
    <r>
      <rPr>
        <sz val="11"/>
        <color rgb="FF000000"/>
        <rFont val="Calibri"/>
      </rPr>
      <t>Apply the machine config by executing the following:</t>
    </r>
    <r>
      <rPr>
        <sz val="11"/>
        <color rgb="FF000000"/>
        <rFont val="Calibri"/>
      </rPr>
      <t xml:space="preserve">
</t>
    </r>
    <r>
      <rPr>
        <sz val="11"/>
        <color rgb="FF000000"/>
        <rFont val="Calibri"/>
      </rPr>
      <t>for mcpool in $(oc get mcp -oname | sed "s:.*/::" ); do</t>
    </r>
    <r>
      <rPr>
        <sz val="11"/>
        <color rgb="FF000000"/>
        <rFont val="Calibri"/>
      </rPr>
      <t xml:space="preserve">
</t>
    </r>
    <r>
      <rPr>
        <sz val="11"/>
        <color rgb="FF000000"/>
        <rFont val="Calibri"/>
      </rPr>
      <t>echo "apiVersion: machineconfiguration.openshift.io/v1</t>
    </r>
    <r>
      <rPr>
        <sz val="11"/>
        <color rgb="FF000000"/>
        <rFont val="Calibri"/>
      </rPr>
      <t xml:space="preserve">
</t>
    </r>
    <r>
      <rPr>
        <sz val="11"/>
        <color rgb="FF000000"/>
        <rFont val="Calibri"/>
      </rPr>
      <t>kind: MachineConfig</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70-auditd-conf-$mcpool</t>
    </r>
    <r>
      <rPr>
        <sz val="11"/>
        <color rgb="FF000000"/>
        <rFont val="Calibri"/>
      </rPr>
      <t xml:space="preserve">
</t>
    </r>
    <r>
      <rPr>
        <sz val="11"/>
        <color rgb="FF000000"/>
        <rFont val="Calibri"/>
      </rPr>
      <t xml:space="preserve">  labels:</t>
    </r>
    <r>
      <rPr>
        <sz val="11"/>
        <color rgb="FF000000"/>
        <rFont val="Calibri"/>
      </rPr>
      <t xml:space="preserve">
</t>
    </r>
    <r>
      <rPr>
        <sz val="11"/>
        <color rgb="FF000000"/>
        <rFont val="Calibri"/>
      </rPr>
      <t xml:space="preserve">    machineconfiguration.openshift.io/role: $mcpool</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config:</t>
    </r>
    <r>
      <rPr>
        <sz val="11"/>
        <color rgb="FF000000"/>
        <rFont val="Calibri"/>
      </rPr>
      <t xml:space="preserve">
</t>
    </r>
    <r>
      <rPr>
        <sz val="11"/>
        <color rgb="FF000000"/>
        <rFont val="Calibri"/>
      </rPr>
      <t xml:space="preserve">    ignition:</t>
    </r>
    <r>
      <rPr>
        <sz val="11"/>
        <color rgb="FF000000"/>
        <rFont val="Calibri"/>
      </rPr>
      <t xml:space="preserve">
</t>
    </r>
    <r>
      <rPr>
        <sz val="11"/>
        <color rgb="FF000000"/>
        <rFont val="Calibri"/>
      </rPr>
      <t xml:space="preserve">      version: 3.1.0</t>
    </r>
    <r>
      <rPr>
        <sz val="11"/>
        <color rgb="FF000000"/>
        <rFont val="Calibri"/>
      </rPr>
      <t xml:space="preserve">
</t>
    </r>
    <r>
      <rPr>
        <sz val="11"/>
        <color rgb="FF000000"/>
        <rFont val="Calibri"/>
      </rPr>
      <t xml:space="preserve">    storage:</t>
    </r>
    <r>
      <rPr>
        <sz val="11"/>
        <color rgb="FF000000"/>
        <rFont val="Calibri"/>
      </rPr>
      <t xml:space="preserve">
</t>
    </r>
    <r>
      <rPr>
        <sz val="11"/>
        <color rgb="FF000000"/>
        <rFont val="Calibri"/>
      </rPr>
      <t xml:space="preserve">      files:</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23%0A%23%20This%20file%20controls%20the%20configuration%20of%20the%20audit%20daemon%0A%23%0A%0Alocal_events%20%3D%20yes%0Awrite_logs%20%3D%20yes%0Alog_file%20%3D%20%2Fvar%2Flog%2Faudit%2Faudit.log%0Alog_group%20%3D%20root%0Alog_format%20%3D%20ENRICHED%0Aflush%20%3D%20incremental_async%0Afreq%20%3D%2050%0Amax_log_file%20%3D%206%0Anum_logs%20%3D%205%0Apriority_boost%20%3D%204%0Aname_format%20%3D%20hostname%0A%23%23name%20%3D%20mydomain%0Amax_log_file_action%20%3D%20syslog%0Aspace_left%20%3D%2025%25%0Aspace_left_action%20%3D%20syslog%0Averify_email%20%3D%20yes%0Aaction_mail_acct%20%3D%20root%0Aadmin_space_left%20%3D%2050%0Aadmin_space_left_action%20%3D%20syslog%0Adisk_full_action%20%3D%20HALT%0Adisk_error_action%20%3D%20HALT%0Ause_libwrap%20%3D%20yes%0A%23%23tcp_listen_port%20%3D%2060%0Atcp_listen_queue%20%3D%205%0Atcp_max_per_addr%20%3D%201%0A%23%23tcp_client_ports%20%3D%201024-65535%0Atcp_client_max_idle%20%3D%200%0Atransport%20%3D%20TCP%0Akrb5_principal%20%3D%20auditd%0A%23%23krb5_key_file%20%3D%20%2Fetc%2Faudit%2Faudit.key%0Adistribute_network%20%3D%20no%0Aq_depth%20%3D%20400%0Aoverflow_action%20%3D%20syslog%0Amax_restarts%20%3D%2010%0Aplugin_dir%20%3D%20%2Fetc%2Faudit%2Fplugins.d%0A</t>
    </r>
    <r>
      <rPr>
        <sz val="11"/>
        <color rgb="FF000000"/>
        <rFont val="Calibri"/>
      </rPr>
      <t xml:space="preserve">
</t>
    </r>
    <r>
      <rPr>
        <sz val="11"/>
        <color rgb="FF000000"/>
        <rFont val="Calibri"/>
      </rPr>
      <t xml:space="preserve">        mode: 0640</t>
    </r>
    <r>
      <rPr>
        <sz val="11"/>
        <color rgb="FF000000"/>
        <rFont val="Calibri"/>
      </rPr>
      <t xml:space="preserve">
</t>
    </r>
    <r>
      <rPr>
        <sz val="11"/>
        <color rgb="FF000000"/>
        <rFont val="Calibri"/>
      </rPr>
      <t xml:space="preserve">        path: /etc/audit/auditd.conf</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 oc apply -f -</t>
    </r>
    <r>
      <rPr>
        <sz val="11"/>
        <color rgb="FF000000"/>
        <rFont val="Calibri"/>
      </rPr>
      <t xml:space="preserve">
</t>
    </r>
    <r>
      <rPr>
        <sz val="11"/>
        <color rgb="FF000000"/>
        <rFont val="Calibri"/>
      </rPr>
      <t>done</t>
    </r>
  </si>
  <si>
    <r>
      <rPr>
        <sz val="11"/>
        <color rgb="FF000000"/>
        <rFont val="Calibri"/>
      </rPr>
      <t>Within the container platform, audit data can be generated from any of the deployed container platform components. This audit data is important when there are issues, such as security incidents, that must be investigated. To make the audit data worthwhile for the investigation of events, it is necessary to know when the event occurred. To establish the time of the event, the audit record must contain the date and time.</t>
    </r>
  </si>
  <si>
    <r>
      <rPr>
        <sz val="11"/>
        <color rgb="FF000000"/>
        <rFont val="Calibri"/>
      </rPr>
      <t>1. Verify Red Hat Enterprise Linux CoreOS (RHCOS) Audit Daemon is configured to resolve audit information before writing to disk by executing the following command:</t>
    </r>
    <r>
      <rPr>
        <sz val="11"/>
        <color rgb="FF000000"/>
        <rFont val="Calibri"/>
      </rPr>
      <t xml:space="preserve">
</t>
    </r>
    <r>
      <rPr>
        <sz val="11"/>
        <color rgb="FF000000"/>
        <rFont val="Calibri"/>
      </rPr>
      <t>for node in $(oc get node -oname); do oc debug $node -- chroot /host /bin/bash -c 'echo -n "$HOSTNAME "; grep "log_format" /etc/audit/auditd.conf' 2&gt;/dev/null; done</t>
    </r>
    <r>
      <rPr>
        <sz val="11"/>
        <color rgb="FF000000"/>
        <rFont val="Calibri"/>
      </rPr>
      <t xml:space="preserve">
</t>
    </r>
    <r>
      <rPr>
        <sz val="11"/>
        <color rgb="FF000000"/>
        <rFont val="Calibri"/>
      </rPr>
      <t>If the "log_format" option is not "ENRICHED", or the line is missing or commented out, this is a finding.</t>
    </r>
    <r>
      <rPr>
        <sz val="11"/>
        <color rgb="FF000000"/>
        <rFont val="Calibri"/>
      </rPr>
      <t xml:space="preserve">
</t>
    </r>
    <r>
      <rPr>
        <sz val="11"/>
        <color rgb="FF000000"/>
        <rFont val="Calibri"/>
      </rPr>
      <t>2. Verify RHCOS takes the appropriate action when an audit processing failure occurs.</t>
    </r>
    <r>
      <rPr>
        <sz val="11"/>
        <color rgb="FF000000"/>
        <rFont val="Calibri"/>
      </rPr>
      <t xml:space="preserve">
</t>
    </r>
    <r>
      <rPr>
        <sz val="11"/>
        <color rgb="FF000000"/>
        <rFont val="Calibri"/>
      </rPr>
      <t>Verify RHCOS takes the appropriate action when an audit processing failure occurs by executing following command:</t>
    </r>
    <r>
      <rPr>
        <sz val="11"/>
        <color rgb="FF000000"/>
        <rFont val="Calibri"/>
      </rPr>
      <t xml:space="preserve">
</t>
    </r>
    <r>
      <rPr>
        <sz val="11"/>
        <color rgb="FF000000"/>
        <rFont val="Calibri"/>
      </rPr>
      <t>for node in $(oc get node -oname); do oc debug $node -- chroot /host /bin/bash -c 'echo -n "$HOSTNAME "; grep disk_error_action /etc/audit/auditd.conf' 2&gt;/dev/null; done</t>
    </r>
    <r>
      <rPr>
        <sz val="11"/>
        <color rgb="FF000000"/>
        <rFont val="Calibri"/>
      </rPr>
      <t xml:space="preserve">
</t>
    </r>
    <r>
      <rPr>
        <sz val="11"/>
        <color rgb="FF000000"/>
        <rFont val="Calibri"/>
      </rPr>
      <t>If the value of the "disk_error_action" option is not "SYSLOG", "SINGLE", or "HALT", or the line is missing or commented out, ask the system administrator to indicate how the system takes appropriate action when an audit process failure occurs. If there is no evidence of appropriate action, this is a finding.</t>
    </r>
    <r>
      <rPr>
        <sz val="11"/>
        <color rgb="FF000000"/>
        <rFont val="Calibri"/>
      </rPr>
      <t xml:space="preserve">
</t>
    </r>
    <r>
      <rPr>
        <sz val="11"/>
        <color rgb="FF000000"/>
        <rFont val="Calibri"/>
      </rPr>
      <t>3. Verify the SA and ISSO (at a minimum) are notified when the audit storage volume is full.</t>
    </r>
    <r>
      <rPr>
        <sz val="11"/>
        <color rgb="FF000000"/>
        <rFont val="Calibri"/>
      </rPr>
      <t xml:space="preserve">
</t>
    </r>
    <r>
      <rPr>
        <sz val="11"/>
        <color rgb="FF000000"/>
        <rFont val="Calibri"/>
      </rPr>
      <t>Check which action RHEL takes when the audit storage volume is full by executing the following command:</t>
    </r>
    <r>
      <rPr>
        <sz val="11"/>
        <color rgb="FF000000"/>
        <rFont val="Calibri"/>
      </rPr>
      <t xml:space="preserve">
</t>
    </r>
    <r>
      <rPr>
        <sz val="11"/>
        <color rgb="FF000000"/>
        <rFont val="Calibri"/>
      </rPr>
      <t>for node in $(oc get node -oname); do oc debug $node -- chroot /host /bin/bash -c 'echo -n "$HOSTNAME "; grep max_log_file_action /etc/audit/auditd.conf' 2&gt;/dev/null; done</t>
    </r>
    <r>
      <rPr>
        <sz val="11"/>
        <color rgb="FF000000"/>
        <rFont val="Calibri"/>
      </rPr>
      <t xml:space="preserve">
</t>
    </r>
    <r>
      <rPr>
        <sz val="11"/>
        <color rgb="FF000000"/>
        <rFont val="Calibri"/>
      </rPr>
      <t>If the value of the "max_log_file_action" option is set to "ignore", "rotate", or "suspend", or the line is missing or commented out, ask the system administrator to indicate how the system takes appropriate action when an audit storage volume is full. If there is no evidence of appropriate action, this is a finding.</t>
    </r>
  </si>
  <si>
    <t>V-257522</t>
  </si>
  <si>
    <r>
      <rPr>
        <sz val="11"/>
        <rFont val="Calibri"/>
      </rPr>
      <t>All audit records must generate the event results within OpenShift.</t>
    </r>
  </si>
  <si>
    <r>
      <rPr>
        <sz val="11"/>
        <color rgb="FF000000"/>
        <rFont val="Calibri"/>
      </rPr>
      <t>Within the container platform, audit data can be generated from any of the deployed container platform components. Since the audit data may be part of a larger audit system, it is important for the audit data to also include the container platform name for traceability back to the container platform itself and not just the container platform components. This audit data is important when there are issues, such as security incidents, that must be investigated. To make the audit data worthwhile for the investigation of events, it is necessary to know the outcome of the event.</t>
    </r>
    <r>
      <rPr>
        <sz val="11"/>
        <color rgb="FF000000"/>
        <rFont val="Calibri"/>
      </rPr>
      <t xml:space="preserve">
</t>
    </r>
    <r>
      <rPr>
        <sz val="11"/>
        <color rgb="FF000000"/>
        <rFont val="Calibri"/>
      </rPr>
      <t>Protecting the integrity of the tools used for auditing purposes is a critical step to ensuring the integrity of audit data. Audit data includes all information (e.g., audit records, audit settings, and audit reports) needed to successfully audit information system activity.</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r>
      <rPr>
        <sz val="11"/>
        <color rgb="FF000000"/>
        <rFont val="Calibri"/>
      </rPr>
      <t xml:space="preserve">
</t>
    </r>
    <r>
      <rPr>
        <sz val="11"/>
        <color rgb="FF000000"/>
        <rFont val="Calibri"/>
      </rPr>
      <t>It is common for attackers to replace the audit tools or inject code into the existing tools with the purpose of providing the capability to hide or erase system activity from the audit logs.</t>
    </r>
    <r>
      <rPr>
        <sz val="11"/>
        <color rgb="FF000000"/>
        <rFont val="Calibri"/>
      </rPr>
      <t xml:space="preserve">
</t>
    </r>
    <r>
      <rPr>
        <sz val="11"/>
        <color rgb="FF000000"/>
        <rFont val="Calibri"/>
      </rPr>
      <t>To address this risk, audit tools must be cryptographically signed in order to provide the capability to identify when the audit tools have been modified, manipulated, or replaced. An example is a checksum hash of the file or files.</t>
    </r>
    <r>
      <rPr>
        <sz val="11"/>
        <color rgb="FF000000"/>
        <rFont val="Calibri"/>
      </rPr>
      <t xml:space="preserve">
</t>
    </r>
    <r>
      <rPr>
        <sz val="11"/>
        <color rgb="FF000000"/>
        <rFont val="Calibri"/>
      </rPr>
      <t>Satisfies: SRG-APP-000099-CTR-000190, SRG-APP-000097-CTR-000180, SRG-APP-000098-CTR-000185, SRG-APP-000100-CTR-000195, SRG-APP-000100-CTR-000200, SRG-APP-000109-CTR-000215, SRG-APP-000290-CTR-000670, SRG-APP-000357-CTR-000800</t>
    </r>
  </si>
  <si>
    <r>
      <rPr>
        <sz val="11"/>
        <color rgb="FF000000"/>
        <rFont val="Calibri"/>
      </rPr>
      <t>1. Verify Red Hat Enterprise Linux CoreOS (RHCOS) Audit Daemon is configured to resolve audit information before writing to disk, by executing the following command:</t>
    </r>
    <r>
      <rPr>
        <sz val="11"/>
        <color rgb="FF000000"/>
        <rFont val="Calibri"/>
      </rPr>
      <t xml:space="preserve">
</t>
    </r>
    <r>
      <rPr>
        <sz val="11"/>
        <color rgb="FF000000"/>
        <rFont val="Calibri"/>
      </rPr>
      <t>for node in $(oc get node -oname); do oc debug $node -- chroot /host /bin/bash -c 'echo -n "$HOSTNAME "; grep "log_format" /etc/audit/auditd.conf' 2&gt;/dev/null; done</t>
    </r>
    <r>
      <rPr>
        <sz val="11"/>
        <color rgb="FF000000"/>
        <rFont val="Calibri"/>
      </rPr>
      <t xml:space="preserve">
</t>
    </r>
    <r>
      <rPr>
        <sz val="11"/>
        <color rgb="FF000000"/>
        <rFont val="Calibri"/>
      </rPr>
      <t>If the "log_format" option is not "ENRICHED", or the line is missing or commented out, this is a finding.</t>
    </r>
    <r>
      <rPr>
        <sz val="11"/>
        <color rgb="FF000000"/>
        <rFont val="Calibri"/>
      </rPr>
      <t xml:space="preserve">
</t>
    </r>
    <r>
      <rPr>
        <sz val="11"/>
        <color rgb="FF000000"/>
        <rFont val="Calibri"/>
      </rPr>
      <t>2. Verify RHCOS takes the appropriate action when an audit processing failure occurs by executing following command:</t>
    </r>
    <r>
      <rPr>
        <sz val="11"/>
        <color rgb="FF000000"/>
        <rFont val="Calibri"/>
      </rPr>
      <t xml:space="preserve">
</t>
    </r>
    <r>
      <rPr>
        <sz val="11"/>
        <color rgb="FF000000"/>
        <rFont val="Calibri"/>
      </rPr>
      <t>for node in $(oc get node -oname); do oc debug $node -- chroot /host /bin/bash -c 'echo -n "$HOSTNAME "; grep disk_error_action /etc/audit/auditd.conf' 2&gt;/dev/null; done</t>
    </r>
    <r>
      <rPr>
        <sz val="11"/>
        <color rgb="FF000000"/>
        <rFont val="Calibri"/>
      </rPr>
      <t xml:space="preserve">
</t>
    </r>
    <r>
      <rPr>
        <sz val="11"/>
        <color rgb="FF000000"/>
        <rFont val="Calibri"/>
      </rPr>
      <t>If the value of the "disk_error_action" option is not "SYSLOG", "SINGLE", or "HALT", or the line is missing, or commented out, ask the system administrator to indicate how the system takes appropriate action when an audit process failure occurs. If there is no evidence of appropriate action, this is a finding.</t>
    </r>
    <r>
      <rPr>
        <sz val="11"/>
        <color rgb="FF000000"/>
        <rFont val="Calibri"/>
      </rPr>
      <t xml:space="preserve">
</t>
    </r>
    <r>
      <rPr>
        <sz val="11"/>
        <color rgb="FF000000"/>
        <rFont val="Calibri"/>
      </rPr>
      <t>3. Verify the SA and ISSO (at a minimum) are notified when the audit storage volume is full.</t>
    </r>
    <r>
      <rPr>
        <sz val="11"/>
        <color rgb="FF000000"/>
        <rFont val="Calibri"/>
      </rPr>
      <t xml:space="preserve">
</t>
    </r>
    <r>
      <rPr>
        <sz val="11"/>
        <color rgb="FF000000"/>
        <rFont val="Calibri"/>
      </rPr>
      <t>Check which action RHEL takes when the audit storage volume is full by executing the following command:</t>
    </r>
    <r>
      <rPr>
        <sz val="11"/>
        <color rgb="FF000000"/>
        <rFont val="Calibri"/>
      </rPr>
      <t xml:space="preserve">
</t>
    </r>
    <r>
      <rPr>
        <sz val="11"/>
        <color rgb="FF000000"/>
        <rFont val="Calibri"/>
      </rPr>
      <t>for node in $(oc get node -oname); do oc debug $node -- chroot /host /bin/bash -c 'echo -n "$HOSTNAME "; grep max_log_file_action /etc/audit/auditd.conf' 2&gt;/dev/null; done</t>
    </r>
    <r>
      <rPr>
        <sz val="11"/>
        <color rgb="FF000000"/>
        <rFont val="Calibri"/>
      </rPr>
      <t xml:space="preserve">
</t>
    </r>
    <r>
      <rPr>
        <sz val="11"/>
        <color rgb="FF000000"/>
        <rFont val="Calibri"/>
      </rPr>
      <t>If the value of the "max_log_file_action" option is set to "ignore", "rotate", or "suspend", or the line is missing or commented out, ask the system administrator to indicate how the system takes appropriate action when an audit storage volume is full. If there is no evidence of appropriate action, this is a finding.</t>
    </r>
  </si>
  <si>
    <t>V-257523</t>
  </si>
  <si>
    <r>
      <rPr>
        <sz val="11"/>
        <rFont val="Calibri"/>
      </rPr>
      <t>OpenShift must take appropriate action upon an audit failure.</t>
    </r>
  </si>
  <si>
    <r>
      <rPr>
        <sz val="11"/>
        <color rgb="FF000000"/>
        <rFont val="Calibri"/>
      </rPr>
      <t>Apply the following Prometheus rule by executing the following:</t>
    </r>
    <r>
      <rPr>
        <sz val="11"/>
        <color rgb="FF000000"/>
        <rFont val="Calibri"/>
      </rPr>
      <t xml:space="preserve">
</t>
    </r>
    <r>
      <rPr>
        <sz val="11"/>
        <color rgb="FF000000"/>
        <rFont val="Calibri"/>
      </rPr>
      <t>oc apply -f - &lt;&lt; 'EOF'</t>
    </r>
    <r>
      <rPr>
        <sz val="11"/>
        <color rgb="FF000000"/>
        <rFont val="Calibri"/>
      </rPr>
      <t xml:space="preserve">
</t>
    </r>
    <r>
      <rPr>
        <sz val="11"/>
        <color rgb="FF000000"/>
        <rFont val="Calibri"/>
      </rPr>
      <t>---</t>
    </r>
    <r>
      <rPr>
        <sz val="11"/>
        <color rgb="FF000000"/>
        <rFont val="Calibri"/>
      </rPr>
      <t xml:space="preserve">
</t>
    </r>
    <r>
      <rPr>
        <sz val="11"/>
        <color rgb="FF000000"/>
        <rFont val="Calibri"/>
      </rPr>
      <t># platform = multi_platform_ocp</t>
    </r>
    <r>
      <rPr>
        <sz val="11"/>
        <color rgb="FF000000"/>
        <rFont val="Calibri"/>
      </rPr>
      <t xml:space="preserve">
</t>
    </r>
    <r>
      <rPr>
        <sz val="11"/>
        <color rgb="FF000000"/>
        <rFont val="Calibri"/>
      </rPr>
      <t>apiVersion: monitoring.coreos.com/v1</t>
    </r>
    <r>
      <rPr>
        <sz val="11"/>
        <color rgb="FF000000"/>
        <rFont val="Calibri"/>
      </rPr>
      <t xml:space="preserve">
</t>
    </r>
    <r>
      <rPr>
        <sz val="11"/>
        <color rgb="FF000000"/>
        <rFont val="Calibri"/>
      </rPr>
      <t>kind: PrometheusRule</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audit-errors</t>
    </r>
    <r>
      <rPr>
        <sz val="11"/>
        <color rgb="FF000000"/>
        <rFont val="Calibri"/>
      </rPr>
      <t xml:space="preserve">
</t>
    </r>
    <r>
      <rPr>
        <sz val="11"/>
        <color rgb="FF000000"/>
        <rFont val="Calibri"/>
      </rPr>
      <t xml:space="preserve">  namespace: openshift-kube-apiserver</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groups:</t>
    </r>
    <r>
      <rPr>
        <sz val="11"/>
        <color rgb="FF000000"/>
        <rFont val="Calibri"/>
      </rPr>
      <t xml:space="preserve">
</t>
    </r>
    <r>
      <rPr>
        <sz val="11"/>
        <color rgb="FF000000"/>
        <rFont val="Calibri"/>
      </rPr>
      <t xml:space="preserve">  - name: apiserver-audit</t>
    </r>
    <r>
      <rPr>
        <sz val="11"/>
        <color rgb="FF000000"/>
        <rFont val="Calibri"/>
      </rPr>
      <t xml:space="preserve">
</t>
    </r>
    <r>
      <rPr>
        <sz val="11"/>
        <color rgb="FF000000"/>
        <rFont val="Calibri"/>
      </rPr>
      <t xml:space="preserve">    rules:</t>
    </r>
    <r>
      <rPr>
        <sz val="11"/>
        <color rgb="FF000000"/>
        <rFont val="Calibri"/>
      </rPr>
      <t xml:space="preserve">
</t>
    </r>
    <r>
      <rPr>
        <sz val="11"/>
        <color rgb="FF000000"/>
        <rFont val="Calibri"/>
      </rPr>
      <t xml:space="preserve">    - alert: AuditLogError</t>
    </r>
    <r>
      <rPr>
        <sz val="11"/>
        <color rgb="FF000000"/>
        <rFont val="Calibri"/>
      </rPr>
      <t xml:space="preserve">
</t>
    </r>
    <r>
      <rPr>
        <sz val="11"/>
        <color rgb="FF000000"/>
        <rFont val="Calibri"/>
      </rPr>
      <t xml:space="preserve">      annotations:</t>
    </r>
    <r>
      <rPr>
        <sz val="11"/>
        <color rgb="FF000000"/>
        <rFont val="Calibri"/>
      </rPr>
      <t xml:space="preserve">
</t>
    </r>
    <r>
      <rPr>
        <sz val="11"/>
        <color rgb="FF000000"/>
        <rFont val="Calibri"/>
      </rPr>
      <t xml:space="preserve">        summary: |-</t>
    </r>
    <r>
      <rPr>
        <sz val="11"/>
        <color rgb="FF000000"/>
        <rFont val="Calibri"/>
      </rPr>
      <t xml:space="preserve">
</t>
    </r>
    <r>
      <rPr>
        <sz val="11"/>
        <color rgb="FF000000"/>
        <rFont val="Calibri"/>
      </rPr>
      <t xml:space="preserve">          An API Server instance was unable to write audit logs. This could be</t>
    </r>
    <r>
      <rPr>
        <sz val="11"/>
        <color rgb="FF000000"/>
        <rFont val="Calibri"/>
      </rPr>
      <t xml:space="preserve">
</t>
    </r>
    <r>
      <rPr>
        <sz val="11"/>
        <color rgb="FF000000"/>
        <rFont val="Calibri"/>
      </rPr>
      <t xml:space="preserve">          triggered by the node running out of space, or a malicious actor</t>
    </r>
    <r>
      <rPr>
        <sz val="11"/>
        <color rgb="FF000000"/>
        <rFont val="Calibri"/>
      </rPr>
      <t xml:space="preserve">
</t>
    </r>
    <r>
      <rPr>
        <sz val="11"/>
        <color rgb="FF000000"/>
        <rFont val="Calibri"/>
      </rPr>
      <t xml:space="preserve">          tampering with the audit logs.</t>
    </r>
    <r>
      <rPr>
        <sz val="11"/>
        <color rgb="FF000000"/>
        <rFont val="Calibri"/>
      </rPr>
      <t xml:space="preserve">
</t>
    </r>
    <r>
      <rPr>
        <sz val="11"/>
        <color rgb="FF000000"/>
        <rFont val="Calibri"/>
      </rPr>
      <t xml:space="preserve">        description: An API Server had an error writing to an audit log.</t>
    </r>
    <r>
      <rPr>
        <sz val="11"/>
        <color rgb="FF000000"/>
        <rFont val="Calibri"/>
      </rPr>
      <t xml:space="preserve">
</t>
    </r>
    <r>
      <rPr>
        <sz val="11"/>
        <color rgb="FF000000"/>
        <rFont val="Calibri"/>
      </rPr>
      <t xml:space="preserve">      expr: |</t>
    </r>
    <r>
      <rPr>
        <sz val="11"/>
        <color rgb="FF000000"/>
        <rFont val="Calibri"/>
      </rPr>
      <t xml:space="preserve">
</t>
    </r>
    <r>
      <rPr>
        <sz val="11"/>
        <color rgb="FF000000"/>
        <rFont val="Calibri"/>
      </rPr>
      <t xml:space="preserve">        sum by (apiserver,instance)(rate(apiserver_audit_error_total{apiserver=~".+-apiserver"}[5m])) / sum by (apiserver,instance) (rate(apiserver_audit_event_total{apiserver=~".+-apiserver"}[5m])) &gt; 0</t>
    </r>
    <r>
      <rPr>
        <sz val="11"/>
        <color rgb="FF000000"/>
        <rFont val="Calibri"/>
      </rPr>
      <t xml:space="preserve">
</t>
    </r>
    <r>
      <rPr>
        <sz val="11"/>
        <color rgb="FF000000"/>
        <rFont val="Calibri"/>
      </rPr>
      <t xml:space="preserve">      for: 1m</t>
    </r>
    <r>
      <rPr>
        <sz val="11"/>
        <color rgb="FF000000"/>
        <rFont val="Calibri"/>
      </rPr>
      <t xml:space="preserve">
</t>
    </r>
    <r>
      <rPr>
        <sz val="11"/>
        <color rgb="FF000000"/>
        <rFont val="Calibri"/>
      </rPr>
      <t xml:space="preserve">      labels:</t>
    </r>
    <r>
      <rPr>
        <sz val="11"/>
        <color rgb="FF000000"/>
        <rFont val="Calibri"/>
      </rPr>
      <t xml:space="preserve">
</t>
    </r>
    <r>
      <rPr>
        <sz val="11"/>
        <color rgb="FF000000"/>
        <rFont val="Calibri"/>
      </rPr>
      <t xml:space="preserve">        severity: warning</t>
    </r>
    <r>
      <rPr>
        <sz val="11"/>
        <color rgb="FF000000"/>
        <rFont val="Calibri"/>
      </rPr>
      <t xml:space="preserve">
</t>
    </r>
    <r>
      <rPr>
        <sz val="11"/>
        <color rgb="FF000000"/>
        <rFont val="Calibri"/>
      </rPr>
      <t>EOF</t>
    </r>
  </si>
  <si>
    <r>
      <rPr>
        <sz val="11"/>
        <color rgb="FF000000"/>
        <rFont val="Calibri"/>
      </rPr>
      <t>It is critical that when the container platform is at risk of failing to process audit logs as required that it takes action to mitigate the failure. Audit processing failures include software/hardware errors, failures in the audit capturing mechanisms, and audit storage capacity being reached or exceeded. Responses to audit failure depend upon the nature of the failure mode.</t>
    </r>
    <r>
      <rPr>
        <sz val="11"/>
        <color rgb="FF000000"/>
        <rFont val="Calibri"/>
      </rPr>
      <t xml:space="preserve">
</t>
    </r>
    <r>
      <rPr>
        <sz val="11"/>
        <color rgb="FF000000"/>
        <rFont val="Calibri"/>
      </rPr>
      <t>Because availability of the services provided by the container platform, approved actions in response to an audit failure are as follows:</t>
    </r>
    <r>
      <rPr>
        <sz val="11"/>
        <color rgb="FF000000"/>
        <rFont val="Calibri"/>
      </rPr>
      <t xml:space="preserve">
</t>
    </r>
    <r>
      <rPr>
        <sz val="11"/>
        <color rgb="FF000000"/>
        <rFont val="Calibri"/>
      </rPr>
      <t>(i) If the failure was caused by the lack of audit record storage capacity, the container platform must continue generating audit records if possible (automatically restarting the audit service if necessary), overwriting the oldest audit records in a first-in-first-out manner.</t>
    </r>
    <r>
      <rPr>
        <sz val="11"/>
        <color rgb="FF000000"/>
        <rFont val="Calibri"/>
      </rPr>
      <t xml:space="preserve">
</t>
    </r>
    <r>
      <rPr>
        <sz val="11"/>
        <color rgb="FF000000"/>
        <rFont val="Calibri"/>
      </rPr>
      <t>(ii) If audit records are sent to a centralized collection server and communication with this server is lost or the server fails, the container platform must queue audit records locally until communication is restored or until the audit records are retrieved manually. Upon restoration of the connection to the centralized collection server, action must be taken to synchronize the local audit data with the collection server.</t>
    </r>
  </si>
  <si>
    <r>
      <rPr>
        <sz val="11"/>
        <color rgb="FF000000"/>
        <rFont val="Calibri"/>
      </rPr>
      <t>Verify there is a Prometheus rule to watch for audit events by executing the following:</t>
    </r>
    <r>
      <rPr>
        <sz val="11"/>
        <color rgb="FF000000"/>
        <rFont val="Calibri"/>
      </rPr>
      <t xml:space="preserve">
</t>
    </r>
    <r>
      <rPr>
        <sz val="11"/>
        <color rgb="FF000000"/>
        <rFont val="Calibri"/>
      </rPr>
      <t>oc get prometheusrule -o yaml --all-namespaces | grep apiserver_audit</t>
    </r>
    <r>
      <rPr>
        <sz val="11"/>
        <color rgb="FF000000"/>
        <rFont val="Calibri"/>
      </rPr>
      <t xml:space="preserve">
</t>
    </r>
    <r>
      <rPr>
        <sz val="11"/>
        <color rgb="FF000000"/>
        <rFont val="Calibri"/>
      </rPr>
      <t>Output:</t>
    </r>
    <r>
      <rPr>
        <sz val="11"/>
        <color rgb="FF000000"/>
        <rFont val="Calibri"/>
      </rPr>
      <t xml:space="preserve">
</t>
    </r>
    <r>
      <rPr>
        <sz val="11"/>
        <color rgb="FF000000"/>
        <rFont val="Calibri"/>
      </rPr>
      <t xml:space="preserve">         sum by (apiserver,instance)(rate(apiserver_audit_error_total{apiserver=~".+-apiserver"}[5m])) / sum by (apiserver,instance) (rate(apiserver_audit_event_total{apiserver=~".+-apiserver"}[5m])) &gt; 0</t>
    </r>
    <r>
      <rPr>
        <sz val="11"/>
        <color rgb="FF000000"/>
        <rFont val="Calibri"/>
      </rPr>
      <t xml:space="preserve">
</t>
    </r>
    <r>
      <rPr>
        <sz val="11"/>
        <color rgb="FF000000"/>
        <rFont val="Calibri"/>
      </rPr>
      <t>If the output above is not displayed, this is a finding.</t>
    </r>
  </si>
  <si>
    <t>V-257524</t>
  </si>
  <si>
    <r>
      <rPr>
        <sz val="11"/>
        <rFont val="Calibri"/>
      </rPr>
      <t>OpenShift components must provide the ability to send audit logs to a central enterprise repository for review and analysis.</t>
    </r>
  </si>
  <si>
    <r>
      <rPr>
        <sz val="11"/>
        <color rgb="FF000000"/>
        <rFont val="Calibri"/>
      </rPr>
      <t>To configure log forwarding, the OpenShift Cluster Logging operator first must be installed, and then the Cluster Log Forwarder is configured to forward logs to a centralized log aggregation service.</t>
    </r>
    <r>
      <rPr>
        <sz val="11"/>
        <color rgb="FF000000"/>
        <rFont val="Calibri"/>
      </rPr>
      <t xml:space="preserve">
</t>
    </r>
    <r>
      <rPr>
        <sz val="11"/>
        <color rgb="FF000000"/>
        <rFont val="Calibri"/>
      </rPr>
      <t>To install the OpenShift Cluster Logging operator, execute the following command to apply the subscription manifests to the cluster:</t>
    </r>
    <r>
      <rPr>
        <sz val="11"/>
        <color rgb="FF000000"/>
        <rFont val="Calibri"/>
      </rPr>
      <t xml:space="preserve">
</t>
    </r>
    <r>
      <rPr>
        <sz val="11"/>
        <color rgb="FF000000"/>
        <rFont val="Calibri"/>
      </rPr>
      <t>oc apply -f - &lt;&lt; 'EOF'</t>
    </r>
    <r>
      <rPr>
        <sz val="11"/>
        <color rgb="FF000000"/>
        <rFont val="Calibri"/>
      </rPr>
      <t xml:space="preserve">
</t>
    </r>
    <r>
      <rPr>
        <sz val="11"/>
        <color rgb="FF000000"/>
        <rFont val="Calibri"/>
      </rPr>
      <t>---</t>
    </r>
    <r>
      <rPr>
        <sz val="11"/>
        <color rgb="FF000000"/>
        <rFont val="Calibri"/>
      </rPr>
      <t xml:space="preserve">
</t>
    </r>
    <r>
      <rPr>
        <sz val="11"/>
        <color rgb="FF000000"/>
        <rFont val="Calibri"/>
      </rPr>
      <t>apiVersion: project.openshift.io/v1</t>
    </r>
    <r>
      <rPr>
        <sz val="11"/>
        <color rgb="FF000000"/>
        <rFont val="Calibri"/>
      </rPr>
      <t xml:space="preserve">
</t>
    </r>
    <r>
      <rPr>
        <sz val="11"/>
        <color rgb="FF000000"/>
        <rFont val="Calibri"/>
      </rPr>
      <t>kind: Project</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labels:</t>
    </r>
    <r>
      <rPr>
        <sz val="11"/>
        <color rgb="FF000000"/>
        <rFont val="Calibri"/>
      </rPr>
      <t xml:space="preserve">
</t>
    </r>
    <r>
      <rPr>
        <sz val="11"/>
        <color rgb="FF000000"/>
        <rFont val="Calibri"/>
      </rPr>
      <t xml:space="preserve">    kubernetes.io/metadata.name: openshift-logging</t>
    </r>
    <r>
      <rPr>
        <sz val="11"/>
        <color rgb="FF000000"/>
        <rFont val="Calibri"/>
      </rPr>
      <t xml:space="preserve">
</t>
    </r>
    <r>
      <rPr>
        <sz val="11"/>
        <color rgb="FF000000"/>
        <rFont val="Calibri"/>
      </rPr>
      <t xml:space="preserve">    openshift.io/cluster-monitoring: "true"</t>
    </r>
    <r>
      <rPr>
        <sz val="11"/>
        <color rgb="FF000000"/>
        <rFont val="Calibri"/>
      </rPr>
      <t xml:space="preserve">
</t>
    </r>
    <r>
      <rPr>
        <sz val="11"/>
        <color rgb="FF000000"/>
        <rFont val="Calibri"/>
      </rPr>
      <t xml:space="preserve">  name: openshift-logging</t>
    </r>
    <r>
      <rPr>
        <sz val="11"/>
        <color rgb="FF000000"/>
        <rFont val="Calibri"/>
      </rPr>
      <t xml:space="preserve">
</t>
    </r>
    <r>
      <rPr>
        <sz val="11"/>
        <color rgb="FF000000"/>
        <rFont val="Calibri"/>
      </rPr>
      <t>spec: {}</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apiVersion: operators.coreos.com/v1</t>
    </r>
    <r>
      <rPr>
        <sz val="11"/>
        <color rgb="FF000000"/>
        <rFont val="Calibri"/>
      </rPr>
      <t xml:space="preserve">
</t>
    </r>
    <r>
      <rPr>
        <sz val="11"/>
        <color rgb="FF000000"/>
        <rFont val="Calibri"/>
      </rPr>
      <t>kind: OperatorGroup</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openshift-logging</t>
    </r>
    <r>
      <rPr>
        <sz val="11"/>
        <color rgb="FF000000"/>
        <rFont val="Calibri"/>
      </rPr>
      <t xml:space="preserve">
</t>
    </r>
    <r>
      <rPr>
        <sz val="11"/>
        <color rgb="FF000000"/>
        <rFont val="Calibri"/>
      </rPr>
      <t xml:space="preserve">  namespace: openshift-logging</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targetNamespaces:</t>
    </r>
    <r>
      <rPr>
        <sz val="11"/>
        <color rgb="FF000000"/>
        <rFont val="Calibri"/>
      </rPr>
      <t xml:space="preserve">
</t>
    </r>
    <r>
      <rPr>
        <sz val="11"/>
        <color rgb="FF000000"/>
        <rFont val="Calibri"/>
      </rPr>
      <t xml:space="preserve">  - openshift-logging</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apiVersion: operators.coreos.com/v1alpha1</t>
    </r>
    <r>
      <rPr>
        <sz val="11"/>
        <color rgb="FF000000"/>
        <rFont val="Calibri"/>
      </rPr>
      <t xml:space="preserve">
</t>
    </r>
    <r>
      <rPr>
        <sz val="11"/>
        <color rgb="FF000000"/>
        <rFont val="Calibri"/>
      </rPr>
      <t>kind: Subscription</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labels:</t>
    </r>
    <r>
      <rPr>
        <sz val="11"/>
        <color rgb="FF000000"/>
        <rFont val="Calibri"/>
      </rPr>
      <t xml:space="preserve">
</t>
    </r>
    <r>
      <rPr>
        <sz val="11"/>
        <color rgb="FF000000"/>
        <rFont val="Calibri"/>
      </rPr>
      <t xml:space="preserve">    operators.coreos.com/cluster-logging.openshift-logging: ""</t>
    </r>
    <r>
      <rPr>
        <sz val="11"/>
        <color rgb="FF000000"/>
        <rFont val="Calibri"/>
      </rPr>
      <t xml:space="preserve">
</t>
    </r>
    <r>
      <rPr>
        <sz val="11"/>
        <color rgb="FF000000"/>
        <rFont val="Calibri"/>
      </rPr>
      <t xml:space="preserve">  name: cluster-logging</t>
    </r>
    <r>
      <rPr>
        <sz val="11"/>
        <color rgb="FF000000"/>
        <rFont val="Calibri"/>
      </rPr>
      <t xml:space="preserve">
</t>
    </r>
    <r>
      <rPr>
        <sz val="11"/>
        <color rgb="FF000000"/>
        <rFont val="Calibri"/>
      </rPr>
      <t xml:space="preserve">  namespace: openshift-logging</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channel: stable</t>
    </r>
    <r>
      <rPr>
        <sz val="11"/>
        <color rgb="FF000000"/>
        <rFont val="Calibri"/>
      </rPr>
      <t xml:space="preserve">
</t>
    </r>
    <r>
      <rPr>
        <sz val="11"/>
        <color rgb="FF000000"/>
        <rFont val="Calibri"/>
      </rPr>
      <t xml:space="preserve">  installPlanApproval: Automatic</t>
    </r>
    <r>
      <rPr>
        <sz val="11"/>
        <color rgb="FF000000"/>
        <rFont val="Calibri"/>
      </rPr>
      <t xml:space="preserve">
</t>
    </r>
    <r>
      <rPr>
        <sz val="11"/>
        <color rgb="FF000000"/>
        <rFont val="Calibri"/>
      </rPr>
      <t xml:space="preserve">  name: cluster-logging</t>
    </r>
    <r>
      <rPr>
        <sz val="11"/>
        <color rgb="FF000000"/>
        <rFont val="Calibri"/>
      </rPr>
      <t xml:space="preserve">
</t>
    </r>
    <r>
      <rPr>
        <sz val="11"/>
        <color rgb="FF000000"/>
        <rFont val="Calibri"/>
      </rPr>
      <t xml:space="preserve">  source: redhat-operators</t>
    </r>
    <r>
      <rPr>
        <sz val="11"/>
        <color rgb="FF000000"/>
        <rFont val="Calibri"/>
      </rPr>
      <t xml:space="preserve">
</t>
    </r>
    <r>
      <rPr>
        <sz val="11"/>
        <color rgb="FF000000"/>
        <rFont val="Calibri"/>
      </rPr>
      <t xml:space="preserve">  sourceNamespace: openshift-marketplace</t>
    </r>
    <r>
      <rPr>
        <sz val="11"/>
        <color rgb="FF000000"/>
        <rFont val="Calibri"/>
      </rPr>
      <t xml:space="preserve">
</t>
    </r>
    <r>
      <rPr>
        <sz val="11"/>
        <color rgb="FF000000"/>
        <rFont val="Calibri"/>
      </rPr>
      <t>...</t>
    </r>
    <r>
      <rPr>
        <sz val="11"/>
        <color rgb="FF000000"/>
        <rFont val="Calibri"/>
      </rPr>
      <t xml:space="preserve">
</t>
    </r>
    <r>
      <rPr>
        <sz val="11"/>
        <color rgb="FF000000"/>
        <rFont val="Calibri"/>
      </rPr>
      <t>EOF</t>
    </r>
    <r>
      <rPr>
        <sz val="11"/>
        <color rgb="FF000000"/>
        <rFont val="Calibri"/>
      </rPr>
      <t xml:space="preserve">
</t>
    </r>
    <r>
      <rPr>
        <sz val="11"/>
        <color rgb="FF000000"/>
        <rFont val="Calibri"/>
      </rPr>
      <t>After the OpenShift Logging operator has finished installing, a ClusterLogForwarder instance can be created to forward cluster logs to a log aggregator. A basic configuration that would forward OpenShift audit, application, and infrastructure logs to an rsyslog server that is managed separately and is configured for mTLS authentication over TCP when sending audit logs, but traditional UDP access for other types of logs, can be provided by editing the appropriate values in the Secret resource below and changing the "url" parameters in the "outputs" section of the "spec" below, then running the command to apply (Example):</t>
    </r>
    <r>
      <rPr>
        <sz val="11"/>
        <color rgb="FF000000"/>
        <rFont val="Calibri"/>
      </rPr>
      <t xml:space="preserve">
</t>
    </r>
    <r>
      <rPr>
        <sz val="11"/>
        <color rgb="FF000000"/>
        <rFont val="Calibri"/>
      </rPr>
      <t>oc apply -f - &lt;&lt; 'EOF'</t>
    </r>
    <r>
      <rPr>
        <sz val="11"/>
        <color rgb="FF000000"/>
        <rFont val="Calibri"/>
      </rPr>
      <t xml:space="preserve">
</t>
    </r>
    <r>
      <rPr>
        <sz val="11"/>
        <color rgb="FF000000"/>
        <rFont val="Calibri"/>
      </rPr>
      <t>---</t>
    </r>
    <r>
      <rPr>
        <sz val="11"/>
        <color rgb="FF000000"/>
        <rFont val="Calibri"/>
      </rPr>
      <t xml:space="preserve">
</t>
    </r>
    <r>
      <rPr>
        <sz val="11"/>
        <color rgb="FF000000"/>
        <rFont val="Calibri"/>
      </rPr>
      <t>apiVersion: v1</t>
    </r>
    <r>
      <rPr>
        <sz val="11"/>
        <color rgb="FF000000"/>
        <rFont val="Calibri"/>
      </rPr>
      <t xml:space="preserve">
</t>
    </r>
    <r>
      <rPr>
        <sz val="11"/>
        <color rgb="FF000000"/>
        <rFont val="Calibri"/>
      </rPr>
      <t>kind: Secret</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rsyslog-tls-secret</t>
    </r>
    <r>
      <rPr>
        <sz val="11"/>
        <color rgb="FF000000"/>
        <rFont val="Calibri"/>
      </rPr>
      <t xml:space="preserve">
</t>
    </r>
    <r>
      <rPr>
        <sz val="11"/>
        <color rgb="FF000000"/>
        <rFont val="Calibri"/>
      </rPr>
      <t xml:space="preserve">  namespace: openshift-logging</t>
    </r>
    <r>
      <rPr>
        <sz val="11"/>
        <color rgb="FF000000"/>
        <rFont val="Calibri"/>
      </rPr>
      <t xml:space="preserve">
</t>
    </r>
    <r>
      <rPr>
        <sz val="11"/>
        <color rgb="FF000000"/>
        <rFont val="Calibri"/>
      </rPr>
      <t>data:</t>
    </r>
    <r>
      <rPr>
        <sz val="11"/>
        <color rgb="FF000000"/>
        <rFont val="Calibri"/>
      </rPr>
      <t xml:space="preserve">
</t>
    </r>
    <r>
      <rPr>
        <sz val="11"/>
        <color rgb="FF000000"/>
        <rFont val="Calibri"/>
      </rPr>
      <t xml:space="preserve">  tls.crt: &lt;base64 encoded client certificate&gt;</t>
    </r>
    <r>
      <rPr>
        <sz val="11"/>
        <color rgb="FF000000"/>
        <rFont val="Calibri"/>
      </rPr>
      <t xml:space="preserve">
</t>
    </r>
    <r>
      <rPr>
        <sz val="11"/>
        <color rgb="FF000000"/>
        <rFont val="Calibri"/>
      </rPr>
      <t xml:space="preserve">  tls.key: &lt;base64 encoded client key&gt;</t>
    </r>
    <r>
      <rPr>
        <sz val="11"/>
        <color rgb="FF000000"/>
        <rFont val="Calibri"/>
      </rPr>
      <t xml:space="preserve">
</t>
    </r>
    <r>
      <rPr>
        <sz val="11"/>
        <color rgb="FF000000"/>
        <rFont val="Calibri"/>
      </rPr>
      <t xml:space="preserve">  ca-bundle.crt: &lt;base64 encoded CA bundle that signed the certificate of your rsyslog server&gt;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apiVersion: logging.openshift.io/v1</t>
    </r>
    <r>
      <rPr>
        <sz val="11"/>
        <color rgb="FF000000"/>
        <rFont val="Calibri"/>
      </rPr>
      <t xml:space="preserve">
</t>
    </r>
    <r>
      <rPr>
        <sz val="11"/>
        <color rgb="FF000000"/>
        <rFont val="Calibri"/>
      </rPr>
      <t>kind: ClusterLogForwarder</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instance</t>
    </r>
    <r>
      <rPr>
        <sz val="11"/>
        <color rgb="FF000000"/>
        <rFont val="Calibri"/>
      </rPr>
      <t xml:space="preserve">
</t>
    </r>
    <r>
      <rPr>
        <sz val="11"/>
        <color rgb="FF000000"/>
        <rFont val="Calibri"/>
      </rPr>
      <t xml:space="preserve">  namespace: openshift-logging</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outputs:</t>
    </r>
    <r>
      <rPr>
        <sz val="11"/>
        <color rgb="FF000000"/>
        <rFont val="Calibri"/>
      </rPr>
      <t xml:space="preserve">
</t>
    </r>
    <r>
      <rPr>
        <sz val="11"/>
        <color rgb="FF000000"/>
        <rFont val="Calibri"/>
      </rPr>
      <t xml:space="preserve">   - name: rsyslog-audit</t>
    </r>
    <r>
      <rPr>
        <sz val="11"/>
        <color rgb="FF000000"/>
        <rFont val="Calibri"/>
      </rPr>
      <t xml:space="preserve">
</t>
    </r>
    <r>
      <rPr>
        <sz val="11"/>
        <color rgb="FF000000"/>
        <rFont val="Calibri"/>
      </rPr>
      <t xml:space="preserve">     type: syslog</t>
    </r>
    <r>
      <rPr>
        <sz val="11"/>
        <color rgb="FF000000"/>
        <rFont val="Calibri"/>
      </rPr>
      <t xml:space="preserve">
</t>
    </r>
    <r>
      <rPr>
        <sz val="11"/>
        <color rgb="FF000000"/>
        <rFont val="Calibri"/>
      </rPr>
      <t xml:space="preserve">     syslog:</t>
    </r>
    <r>
      <rPr>
        <sz val="11"/>
        <color rgb="FF000000"/>
        <rFont val="Calibri"/>
      </rPr>
      <t xml:space="preserve">
</t>
    </r>
    <r>
      <rPr>
        <sz val="11"/>
        <color rgb="FF000000"/>
        <rFont val="Calibri"/>
      </rPr>
      <t xml:space="preserve">       facility: security</t>
    </r>
    <r>
      <rPr>
        <sz val="11"/>
        <color rgb="FF000000"/>
        <rFont val="Calibri"/>
      </rPr>
      <t xml:space="preserve">
</t>
    </r>
    <r>
      <rPr>
        <sz val="11"/>
        <color rgb="FF000000"/>
        <rFont val="Calibri"/>
      </rPr>
      <t xml:space="preserve">       rfc: RFC5424</t>
    </r>
    <r>
      <rPr>
        <sz val="11"/>
        <color rgb="FF000000"/>
        <rFont val="Calibri"/>
      </rPr>
      <t xml:space="preserve">
</t>
    </r>
    <r>
      <rPr>
        <sz val="11"/>
        <color rgb="FF000000"/>
        <rFont val="Calibri"/>
      </rPr>
      <t xml:space="preserve">       severity: Informational</t>
    </r>
    <r>
      <rPr>
        <sz val="11"/>
        <color rgb="FF000000"/>
        <rFont val="Calibri"/>
      </rPr>
      <t xml:space="preserve">
</t>
    </r>
    <r>
      <rPr>
        <sz val="11"/>
        <color rgb="FF000000"/>
        <rFont val="Calibri"/>
      </rPr>
      <t xml:space="preserve">       appName: openshift</t>
    </r>
    <r>
      <rPr>
        <sz val="11"/>
        <color rgb="FF000000"/>
        <rFont val="Calibri"/>
      </rPr>
      <t xml:space="preserve">
</t>
    </r>
    <r>
      <rPr>
        <sz val="11"/>
        <color rgb="FF000000"/>
        <rFont val="Calibri"/>
      </rPr>
      <t xml:space="preserve">       msgID: audit</t>
    </r>
    <r>
      <rPr>
        <sz val="11"/>
        <color rgb="FF000000"/>
        <rFont val="Calibri"/>
      </rPr>
      <t xml:space="preserve">
</t>
    </r>
    <r>
      <rPr>
        <sz val="11"/>
        <color rgb="FF000000"/>
        <rFont val="Calibri"/>
      </rPr>
      <t xml:space="preserve">       procID: audit</t>
    </r>
    <r>
      <rPr>
        <sz val="11"/>
        <color rgb="FF000000"/>
        <rFont val="Calibri"/>
      </rPr>
      <t xml:space="preserve">
</t>
    </r>
    <r>
      <rPr>
        <sz val="11"/>
        <color rgb="FF000000"/>
        <rFont val="Calibri"/>
      </rPr>
      <t xml:space="preserve">     url: 'tls://rsyslogserver.example.com:514'</t>
    </r>
    <r>
      <rPr>
        <sz val="11"/>
        <color rgb="FF000000"/>
        <rFont val="Calibri"/>
      </rPr>
      <t xml:space="preserve">
</t>
    </r>
    <r>
      <rPr>
        <sz val="11"/>
        <color rgb="FF000000"/>
        <rFont val="Calibri"/>
      </rPr>
      <t xml:space="preserve">     secret:</t>
    </r>
    <r>
      <rPr>
        <sz val="11"/>
        <color rgb="FF000000"/>
        <rFont val="Calibri"/>
      </rPr>
      <t xml:space="preserve">
</t>
    </r>
    <r>
      <rPr>
        <sz val="11"/>
        <color rgb="FF000000"/>
        <rFont val="Calibri"/>
      </rPr>
      <t xml:space="preserve">       name: rsyslog-tls-secret</t>
    </r>
    <r>
      <rPr>
        <sz val="11"/>
        <color rgb="FF000000"/>
        <rFont val="Calibri"/>
      </rPr>
      <t xml:space="preserve">
</t>
    </r>
    <r>
      <rPr>
        <sz val="11"/>
        <color rgb="FF000000"/>
        <rFont val="Calibri"/>
      </rPr>
      <t xml:space="preserve">   - name: rsyslog-apps</t>
    </r>
    <r>
      <rPr>
        <sz val="11"/>
        <color rgb="FF000000"/>
        <rFont val="Calibri"/>
      </rPr>
      <t xml:space="preserve">
</t>
    </r>
    <r>
      <rPr>
        <sz val="11"/>
        <color rgb="FF000000"/>
        <rFont val="Calibri"/>
      </rPr>
      <t xml:space="preserve">     type: syslog</t>
    </r>
    <r>
      <rPr>
        <sz val="11"/>
        <color rgb="FF000000"/>
        <rFont val="Calibri"/>
      </rPr>
      <t xml:space="preserve">
</t>
    </r>
    <r>
      <rPr>
        <sz val="11"/>
        <color rgb="FF000000"/>
        <rFont val="Calibri"/>
      </rPr>
      <t xml:space="preserve">     syslog:</t>
    </r>
    <r>
      <rPr>
        <sz val="11"/>
        <color rgb="FF000000"/>
        <rFont val="Calibri"/>
      </rPr>
      <t xml:space="preserve">
</t>
    </r>
    <r>
      <rPr>
        <sz val="11"/>
        <color rgb="FF000000"/>
        <rFont val="Calibri"/>
      </rPr>
      <t xml:space="preserve">       facility: user</t>
    </r>
    <r>
      <rPr>
        <sz val="11"/>
        <color rgb="FF000000"/>
        <rFont val="Calibri"/>
      </rPr>
      <t xml:space="preserve">
</t>
    </r>
    <r>
      <rPr>
        <sz val="11"/>
        <color rgb="FF000000"/>
        <rFont val="Calibri"/>
      </rPr>
      <t xml:space="preserve">       rfc: RFC5424</t>
    </r>
    <r>
      <rPr>
        <sz val="11"/>
        <color rgb="FF000000"/>
        <rFont val="Calibri"/>
      </rPr>
      <t xml:space="preserve">
</t>
    </r>
    <r>
      <rPr>
        <sz val="11"/>
        <color rgb="FF000000"/>
        <rFont val="Calibri"/>
      </rPr>
      <t xml:space="preserve">       severity: Informational</t>
    </r>
    <r>
      <rPr>
        <sz val="11"/>
        <color rgb="FF000000"/>
        <rFont val="Calibri"/>
      </rPr>
      <t xml:space="preserve">
</t>
    </r>
    <r>
      <rPr>
        <sz val="11"/>
        <color rgb="FF000000"/>
        <rFont val="Calibri"/>
      </rPr>
      <t xml:space="preserve">       appName: openshift</t>
    </r>
    <r>
      <rPr>
        <sz val="11"/>
        <color rgb="FF000000"/>
        <rFont val="Calibri"/>
      </rPr>
      <t xml:space="preserve">
</t>
    </r>
    <r>
      <rPr>
        <sz val="11"/>
        <color rgb="FF000000"/>
        <rFont val="Calibri"/>
      </rPr>
      <t xml:space="preserve">       msgID: apps</t>
    </r>
    <r>
      <rPr>
        <sz val="11"/>
        <color rgb="FF000000"/>
        <rFont val="Calibri"/>
      </rPr>
      <t xml:space="preserve">
</t>
    </r>
    <r>
      <rPr>
        <sz val="11"/>
        <color rgb="FF000000"/>
        <rFont val="Calibri"/>
      </rPr>
      <t xml:space="preserve">       procID: apps</t>
    </r>
    <r>
      <rPr>
        <sz val="11"/>
        <color rgb="FF000000"/>
        <rFont val="Calibri"/>
      </rPr>
      <t xml:space="preserve">
</t>
    </r>
    <r>
      <rPr>
        <sz val="11"/>
        <color rgb="FF000000"/>
        <rFont val="Calibri"/>
      </rPr>
      <t xml:space="preserve">     url: 'udp://rsyslogserver.example.com:514'</t>
    </r>
    <r>
      <rPr>
        <sz val="11"/>
        <color rgb="FF000000"/>
        <rFont val="Calibri"/>
      </rPr>
      <t xml:space="preserve">
</t>
    </r>
    <r>
      <rPr>
        <sz val="11"/>
        <color rgb="FF000000"/>
        <rFont val="Calibri"/>
      </rPr>
      <t xml:space="preserve">   - name: rsyslog-infra</t>
    </r>
    <r>
      <rPr>
        <sz val="11"/>
        <color rgb="FF000000"/>
        <rFont val="Calibri"/>
      </rPr>
      <t xml:space="preserve">
</t>
    </r>
    <r>
      <rPr>
        <sz val="11"/>
        <color rgb="FF000000"/>
        <rFont val="Calibri"/>
      </rPr>
      <t xml:space="preserve">     type: syslog</t>
    </r>
    <r>
      <rPr>
        <sz val="11"/>
        <color rgb="FF000000"/>
        <rFont val="Calibri"/>
      </rPr>
      <t xml:space="preserve">
</t>
    </r>
    <r>
      <rPr>
        <sz val="11"/>
        <color rgb="FF000000"/>
        <rFont val="Calibri"/>
      </rPr>
      <t xml:space="preserve">     syslog:</t>
    </r>
    <r>
      <rPr>
        <sz val="11"/>
        <color rgb="FF000000"/>
        <rFont val="Calibri"/>
      </rPr>
      <t xml:space="preserve">
</t>
    </r>
    <r>
      <rPr>
        <sz val="11"/>
        <color rgb="FF000000"/>
        <rFont val="Calibri"/>
      </rPr>
      <t xml:space="preserve">       facility: local0</t>
    </r>
    <r>
      <rPr>
        <sz val="11"/>
        <color rgb="FF000000"/>
        <rFont val="Calibri"/>
      </rPr>
      <t xml:space="preserve">
</t>
    </r>
    <r>
      <rPr>
        <sz val="11"/>
        <color rgb="FF000000"/>
        <rFont val="Calibri"/>
      </rPr>
      <t xml:space="preserve">       rfc: RFC5424</t>
    </r>
    <r>
      <rPr>
        <sz val="11"/>
        <color rgb="FF000000"/>
        <rFont val="Calibri"/>
      </rPr>
      <t xml:space="preserve">
</t>
    </r>
    <r>
      <rPr>
        <sz val="11"/>
        <color rgb="FF000000"/>
        <rFont val="Calibri"/>
      </rPr>
      <t xml:space="preserve">       severity: Informational</t>
    </r>
    <r>
      <rPr>
        <sz val="11"/>
        <color rgb="FF000000"/>
        <rFont val="Calibri"/>
      </rPr>
      <t xml:space="preserve">
</t>
    </r>
    <r>
      <rPr>
        <sz val="11"/>
        <color rgb="FF000000"/>
        <rFont val="Calibri"/>
      </rPr>
      <t xml:space="preserve">       appName: openshift</t>
    </r>
    <r>
      <rPr>
        <sz val="11"/>
        <color rgb="FF000000"/>
        <rFont val="Calibri"/>
      </rPr>
      <t xml:space="preserve">
</t>
    </r>
    <r>
      <rPr>
        <sz val="11"/>
        <color rgb="FF000000"/>
        <rFont val="Calibri"/>
      </rPr>
      <t xml:space="preserve">       msgID: infra</t>
    </r>
    <r>
      <rPr>
        <sz val="11"/>
        <color rgb="FF000000"/>
        <rFont val="Calibri"/>
      </rPr>
      <t xml:space="preserve">
</t>
    </r>
    <r>
      <rPr>
        <sz val="11"/>
        <color rgb="FF000000"/>
        <rFont val="Calibri"/>
      </rPr>
      <t xml:space="preserve">       procID: infra</t>
    </r>
    <r>
      <rPr>
        <sz val="11"/>
        <color rgb="FF000000"/>
        <rFont val="Calibri"/>
      </rPr>
      <t xml:space="preserve">
</t>
    </r>
    <r>
      <rPr>
        <sz val="11"/>
        <color rgb="FF000000"/>
        <rFont val="Calibri"/>
      </rPr>
      <t xml:space="preserve">     url: 'udp://rsyslogserver.example.com:514'</t>
    </r>
    <r>
      <rPr>
        <sz val="11"/>
        <color rgb="FF000000"/>
        <rFont val="Calibri"/>
      </rPr>
      <t xml:space="preserve">
</t>
    </r>
    <r>
      <rPr>
        <sz val="11"/>
        <color rgb="FF000000"/>
        <rFont val="Calibri"/>
      </rPr>
      <t xml:space="preserve">  pipelines:</t>
    </r>
    <r>
      <rPr>
        <sz val="11"/>
        <color rgb="FF000000"/>
        <rFont val="Calibri"/>
      </rPr>
      <t xml:space="preserve">
</t>
    </r>
    <r>
      <rPr>
        <sz val="11"/>
        <color rgb="FF000000"/>
        <rFont val="Calibri"/>
      </rPr>
      <t xml:space="preserve">   - name: audit-logs</t>
    </r>
    <r>
      <rPr>
        <sz val="11"/>
        <color rgb="FF000000"/>
        <rFont val="Calibri"/>
      </rPr>
      <t xml:space="preserve">
</t>
    </r>
    <r>
      <rPr>
        <sz val="11"/>
        <color rgb="FF000000"/>
        <rFont val="Calibri"/>
      </rPr>
      <t xml:space="preserve">     inputRefs:</t>
    </r>
    <r>
      <rPr>
        <sz val="11"/>
        <color rgb="FF000000"/>
        <rFont val="Calibri"/>
      </rPr>
      <t xml:space="preserve">
</t>
    </r>
    <r>
      <rPr>
        <sz val="11"/>
        <color rgb="FF000000"/>
        <rFont val="Calibri"/>
      </rPr>
      <t xml:space="preserve">      - audit</t>
    </r>
    <r>
      <rPr>
        <sz val="11"/>
        <color rgb="FF000000"/>
        <rFont val="Calibri"/>
      </rPr>
      <t xml:space="preserve">
</t>
    </r>
    <r>
      <rPr>
        <sz val="11"/>
        <color rgb="FF000000"/>
        <rFont val="Calibri"/>
      </rPr>
      <t xml:space="preserve">     outputRefs:</t>
    </r>
    <r>
      <rPr>
        <sz val="11"/>
        <color rgb="FF000000"/>
        <rFont val="Calibri"/>
      </rPr>
      <t xml:space="preserve">
</t>
    </r>
    <r>
      <rPr>
        <sz val="11"/>
        <color rgb="FF000000"/>
        <rFont val="Calibri"/>
      </rPr>
      <t xml:space="preserve">      - rsyslog-audit</t>
    </r>
    <r>
      <rPr>
        <sz val="11"/>
        <color rgb="FF000000"/>
        <rFont val="Calibri"/>
      </rPr>
      <t xml:space="preserve">
</t>
    </r>
    <r>
      <rPr>
        <sz val="11"/>
        <color rgb="FF000000"/>
        <rFont val="Calibri"/>
      </rPr>
      <t xml:space="preserve">   - name: apps-logs</t>
    </r>
    <r>
      <rPr>
        <sz val="11"/>
        <color rgb="FF000000"/>
        <rFont val="Calibri"/>
      </rPr>
      <t xml:space="preserve">
</t>
    </r>
    <r>
      <rPr>
        <sz val="11"/>
        <color rgb="FF000000"/>
        <rFont val="Calibri"/>
      </rPr>
      <t xml:space="preserve">     inputRefs:</t>
    </r>
    <r>
      <rPr>
        <sz val="11"/>
        <color rgb="FF000000"/>
        <rFont val="Calibri"/>
      </rPr>
      <t xml:space="preserve">
</t>
    </r>
    <r>
      <rPr>
        <sz val="11"/>
        <color rgb="FF000000"/>
        <rFont val="Calibri"/>
      </rPr>
      <t xml:space="preserve">      - application</t>
    </r>
    <r>
      <rPr>
        <sz val="11"/>
        <color rgb="FF000000"/>
        <rFont val="Calibri"/>
      </rPr>
      <t xml:space="preserve">
</t>
    </r>
    <r>
      <rPr>
        <sz val="11"/>
        <color rgb="FF000000"/>
        <rFont val="Calibri"/>
      </rPr>
      <t xml:space="preserve">     outputRefs:</t>
    </r>
    <r>
      <rPr>
        <sz val="11"/>
        <color rgb="FF000000"/>
        <rFont val="Calibri"/>
      </rPr>
      <t xml:space="preserve">
</t>
    </r>
    <r>
      <rPr>
        <sz val="11"/>
        <color rgb="FF000000"/>
        <rFont val="Calibri"/>
      </rPr>
      <t xml:space="preserve">      - rsyslog-apps</t>
    </r>
    <r>
      <rPr>
        <sz val="11"/>
        <color rgb="FF000000"/>
        <rFont val="Calibri"/>
      </rPr>
      <t xml:space="preserve">
</t>
    </r>
    <r>
      <rPr>
        <sz val="11"/>
        <color rgb="FF000000"/>
        <rFont val="Calibri"/>
      </rPr>
      <t xml:space="preserve">   - name: infrastructure-logs</t>
    </r>
    <r>
      <rPr>
        <sz val="11"/>
        <color rgb="FF000000"/>
        <rFont val="Calibri"/>
      </rPr>
      <t xml:space="preserve">
</t>
    </r>
    <r>
      <rPr>
        <sz val="11"/>
        <color rgb="FF000000"/>
        <rFont val="Calibri"/>
      </rPr>
      <t xml:space="preserve">     inputRefs:</t>
    </r>
    <r>
      <rPr>
        <sz val="11"/>
        <color rgb="FF000000"/>
        <rFont val="Calibri"/>
      </rPr>
      <t xml:space="preserve">
</t>
    </r>
    <r>
      <rPr>
        <sz val="11"/>
        <color rgb="FF000000"/>
        <rFont val="Calibri"/>
      </rPr>
      <t xml:space="preserve">      - infrastructure</t>
    </r>
    <r>
      <rPr>
        <sz val="11"/>
        <color rgb="FF000000"/>
        <rFont val="Calibri"/>
      </rPr>
      <t xml:space="preserve">
</t>
    </r>
    <r>
      <rPr>
        <sz val="11"/>
        <color rgb="FF000000"/>
        <rFont val="Calibri"/>
      </rPr>
      <t xml:space="preserve">     outputRefs:</t>
    </r>
    <r>
      <rPr>
        <sz val="11"/>
        <color rgb="FF000000"/>
        <rFont val="Calibri"/>
      </rPr>
      <t xml:space="preserve">
</t>
    </r>
    <r>
      <rPr>
        <sz val="11"/>
        <color rgb="FF000000"/>
        <rFont val="Calibri"/>
      </rPr>
      <t xml:space="preserve">      - rsyslog-infra</t>
    </r>
    <r>
      <rPr>
        <sz val="11"/>
        <color rgb="FF000000"/>
        <rFont val="Calibri"/>
      </rPr>
      <t xml:space="preserve">
</t>
    </r>
    <r>
      <rPr>
        <sz val="11"/>
        <color rgb="FF000000"/>
        <rFont val="Calibri"/>
      </rPr>
      <t>...</t>
    </r>
    <r>
      <rPr>
        <sz val="11"/>
        <color rgb="FF000000"/>
        <rFont val="Calibri"/>
      </rPr>
      <t xml:space="preserve">
</t>
    </r>
    <r>
      <rPr>
        <sz val="11"/>
        <color rgb="FF000000"/>
        <rFont val="Calibri"/>
      </rPr>
      <t>EOF</t>
    </r>
    <r>
      <rPr>
        <sz val="11"/>
        <color rgb="FF000000"/>
        <rFont val="Calibri"/>
      </rPr>
      <t xml:space="preserve">
</t>
    </r>
    <r>
      <rPr>
        <sz val="11"/>
        <color rgb="FF000000"/>
        <rFont val="Calibri"/>
      </rPr>
      <t>Note that many log forwarding destinations are supported, and the fix does not require that users forward audit logs to rsyslog over mTLS. To better understand how to configure the ClusterLogForwarder, consult the OpenShift Logging documentation:</t>
    </r>
    <r>
      <rPr>
        <sz val="11"/>
        <color rgb="FF000000"/>
        <rFont val="Calibri"/>
      </rPr>
      <t xml:space="preserve">
</t>
    </r>
    <r>
      <rPr>
        <sz val="11"/>
        <color rgb="FF000000"/>
        <rFont val="Calibri"/>
      </rPr>
      <t>https://docs.openshift.com/container-platform/4.8/logging/cluster-logging-external.html</t>
    </r>
  </si>
  <si>
    <r>
      <rPr>
        <sz val="11"/>
        <color rgb="FF000000"/>
        <rFont val="Calibri"/>
      </rPr>
      <t>Sending audit logs to a central enterprise repository allows for centralized log management. Instead of scattered logs across multiple OpenShift components, having a centralized repository simplifies log storage, retention, and retrieval. It provides a single source of truth for audit logs, making it easier to manage and analyze log data.</t>
    </r>
    <r>
      <rPr>
        <sz val="11"/>
        <color rgb="FF000000"/>
        <rFont val="Calibri"/>
      </rPr>
      <t xml:space="preserve">
</t>
    </r>
    <r>
      <rPr>
        <sz val="11"/>
        <color rgb="FF000000"/>
        <rFont val="Calibri"/>
      </rPr>
      <t>Centralized audit logs are crucial for incident response and forensic investigations. When a security incident occurs, having audit logs in a central repository allows security teams to quickly access relevant log data for analysis. It facilitates incident reconstruction, root cause analysis, and the identification of the scope and impact of the incident. This is vital for effective incident response and minimizing the impact of security breaches.</t>
    </r>
    <r>
      <rPr>
        <sz val="11"/>
        <color rgb="FF000000"/>
        <rFont val="Calibri"/>
      </rPr>
      <t xml:space="preserve">
</t>
    </r>
    <r>
      <rPr>
        <sz val="11"/>
        <color rgb="FF000000"/>
        <rFont val="Calibri"/>
      </rPr>
      <t>Satisfies: SRG-APP-000111-CTR-000220, SRG-APP-000092-CTR-000165, SRG-APP-000358-CTR-000805</t>
    </r>
  </si>
  <si>
    <r>
      <rPr>
        <sz val="11"/>
        <color rgb="FF000000"/>
        <rFont val="Calibri"/>
      </rPr>
      <t>Determine if cluster log forwarding is configured.</t>
    </r>
    <r>
      <rPr>
        <sz val="11"/>
        <color rgb="FF000000"/>
        <rFont val="Calibri"/>
      </rPr>
      <t xml:space="preserve">
</t>
    </r>
    <r>
      <rPr>
        <sz val="11"/>
        <color rgb="FF000000"/>
        <rFont val="Calibri"/>
      </rPr>
      <t>1. Verify the cluster-logging operator is installed by executing the following:</t>
    </r>
    <r>
      <rPr>
        <sz val="11"/>
        <color rgb="FF000000"/>
        <rFont val="Calibri"/>
      </rPr>
      <t xml:space="preserve">
</t>
    </r>
    <r>
      <rPr>
        <sz val="11"/>
        <color rgb="FF000000"/>
        <rFont val="Calibri"/>
      </rPr>
      <t>oc get subscription/cluster-logging -n openshift-logging</t>
    </r>
    <r>
      <rPr>
        <sz val="11"/>
        <color rgb="FF000000"/>
        <rFont val="Calibri"/>
      </rPr>
      <t xml:space="preserve">
</t>
    </r>
    <r>
      <rPr>
        <sz val="11"/>
        <color rgb="FF000000"/>
        <rFont val="Calibri"/>
      </rPr>
      <t>(Example Output:</t>
    </r>
    <r>
      <rPr>
        <sz val="11"/>
        <color rgb="FF000000"/>
        <rFont val="Calibri"/>
      </rPr>
      <t xml:space="preserve">
</t>
    </r>
    <r>
      <rPr>
        <sz val="11"/>
        <color rgb="FF000000"/>
        <rFont val="Calibri"/>
      </rPr>
      <t>NAME              PACKAGE           SOURCE             CHANNEL</t>
    </r>
    <r>
      <rPr>
        <sz val="11"/>
        <color rgb="FF000000"/>
        <rFont val="Calibri"/>
      </rPr>
      <t xml:space="preserve">
</t>
    </r>
    <r>
      <rPr>
        <sz val="11"/>
        <color rgb="FF000000"/>
        <rFont val="Calibri"/>
      </rPr>
      <t>cluster-logging   cluster-logging   redhat-operators   stable</t>
    </r>
    <r>
      <rPr>
        <sz val="11"/>
        <color rgb="FF000000"/>
        <rFont val="Calibri"/>
      </rPr>
      <t xml:space="preserve">
</t>
    </r>
    <r>
      <rPr>
        <sz val="11"/>
        <color rgb="FF000000"/>
        <rFont val="Calibri"/>
      </rPr>
      <t>)</t>
    </r>
    <r>
      <rPr>
        <sz val="11"/>
        <color rgb="FF000000"/>
        <rFont val="Calibri"/>
      </rPr>
      <t xml:space="preserve">
</t>
    </r>
    <r>
      <rPr>
        <sz val="11"/>
        <color rgb="FF000000"/>
        <rFont val="Calibri"/>
      </rPr>
      <t>If the cluster-logging operator is not present, this is a finding.</t>
    </r>
    <r>
      <rPr>
        <sz val="11"/>
        <color rgb="FF000000"/>
        <rFont val="Calibri"/>
      </rPr>
      <t xml:space="preserve">
</t>
    </r>
    <r>
      <rPr>
        <sz val="11"/>
        <color rgb="FF000000"/>
        <rFont val="Calibri"/>
      </rPr>
      <t>2. List the cluster log forwarders defined by executing the following:</t>
    </r>
    <r>
      <rPr>
        <sz val="11"/>
        <color rgb="FF000000"/>
        <rFont val="Calibri"/>
      </rPr>
      <t xml:space="preserve">
</t>
    </r>
    <r>
      <rPr>
        <sz val="11"/>
        <color rgb="FF000000"/>
        <rFont val="Calibri"/>
      </rPr>
      <t>oc get clusterlogforwarder -n openshift-logging</t>
    </r>
    <r>
      <rPr>
        <sz val="11"/>
        <color rgb="FF000000"/>
        <rFont val="Calibri"/>
      </rPr>
      <t xml:space="preserve">
</t>
    </r>
    <r>
      <rPr>
        <sz val="11"/>
        <color rgb="FF000000"/>
        <rFont val="Calibri"/>
      </rPr>
      <t>If there are no clusterlogforwarders defined, this is a finding.</t>
    </r>
    <r>
      <rPr>
        <sz val="11"/>
        <color rgb="FF000000"/>
        <rFont val="Calibri"/>
      </rPr>
      <t xml:space="preserve">
</t>
    </r>
    <r>
      <rPr>
        <sz val="11"/>
        <color rgb="FF000000"/>
        <rFont val="Calibri"/>
      </rPr>
      <t>3. For each cluster log forwarder listed above, view the configuration details by executing the following: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oc describe clusterlogforwarder/&lt;CLF_NAME&gt; -n openshift-logging</t>
    </r>
    <r>
      <rPr>
        <sz val="11"/>
        <color rgb="FF000000"/>
        <rFont val="Calibri"/>
      </rPr>
      <t xml:space="preserve">
</t>
    </r>
    <r>
      <rPr>
        <sz val="11"/>
        <color rgb="FF000000"/>
        <rFont val="Calibri"/>
      </rPr>
      <t>Review the details of the cluster log forwarder.</t>
    </r>
    <r>
      <rPr>
        <sz val="11"/>
        <color rgb="FF000000"/>
        <rFont val="Calibri"/>
      </rPr>
      <t xml:space="preserve">
</t>
    </r>
    <r>
      <rPr>
        <sz val="11"/>
        <color rgb="FF000000"/>
        <rFont val="Calibri"/>
      </rPr>
      <t>If the configuration is not set to forward logs the organization's centralized logging service, this is a finding.</t>
    </r>
  </si>
  <si>
    <t>V-257525</t>
  </si>
  <si>
    <r>
      <rPr>
        <sz val="11"/>
        <rFont val="Calibri"/>
      </rPr>
      <t>OpenShift must use internal system clocks to generate audit record time stamps.</t>
    </r>
  </si>
  <si>
    <r>
      <rPr>
        <sz val="11"/>
        <color rgb="FF000000"/>
        <rFont val="Calibri"/>
      </rPr>
      <t>Apply the machine config to use internal system clocks for audit records by executing the following:</t>
    </r>
    <r>
      <rPr>
        <sz val="11"/>
        <color rgb="FF000000"/>
        <rFont val="Calibri"/>
      </rPr>
      <t xml:space="preserve">
</t>
    </r>
    <r>
      <rPr>
        <sz val="11"/>
        <color rgb="FF000000"/>
        <rFont val="Calibri"/>
      </rPr>
      <t>for mcpool in $(oc get mcp -oname | sed "s:.*/::" ); do</t>
    </r>
    <r>
      <rPr>
        <sz val="11"/>
        <color rgb="FF000000"/>
        <rFont val="Calibri"/>
      </rPr>
      <t xml:space="preserve">
</t>
    </r>
    <r>
      <rPr>
        <sz val="11"/>
        <color rgb="FF000000"/>
        <rFont val="Calibri"/>
      </rPr>
      <t>echo "apiVersion: machineconfiguration.openshift.io/v1</t>
    </r>
    <r>
      <rPr>
        <sz val="11"/>
        <color rgb="FF000000"/>
        <rFont val="Calibri"/>
      </rPr>
      <t xml:space="preserve">
</t>
    </r>
    <r>
      <rPr>
        <sz val="11"/>
        <color rgb="FF000000"/>
        <rFont val="Calibri"/>
      </rPr>
      <t>kind: MachineConfig</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80-chronyd-service-enable-$mcpool</t>
    </r>
    <r>
      <rPr>
        <sz val="11"/>
        <color rgb="FF000000"/>
        <rFont val="Calibri"/>
      </rPr>
      <t xml:space="preserve">
</t>
    </r>
    <r>
      <rPr>
        <sz val="11"/>
        <color rgb="FF000000"/>
        <rFont val="Calibri"/>
      </rPr>
      <t xml:space="preserve">  labels:</t>
    </r>
    <r>
      <rPr>
        <sz val="11"/>
        <color rgb="FF000000"/>
        <rFont val="Calibri"/>
      </rPr>
      <t xml:space="preserve">
</t>
    </r>
    <r>
      <rPr>
        <sz val="11"/>
        <color rgb="FF000000"/>
        <rFont val="Calibri"/>
      </rPr>
      <t xml:space="preserve">    machineconfiguration.openshift.io/role: $mcpool</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config:</t>
    </r>
    <r>
      <rPr>
        <sz val="11"/>
        <color rgb="FF000000"/>
        <rFont val="Calibri"/>
      </rPr>
      <t xml:space="preserve">
</t>
    </r>
    <r>
      <rPr>
        <sz val="11"/>
        <color rgb="FF000000"/>
        <rFont val="Calibri"/>
      </rPr>
      <t xml:space="preserve">    ignition:</t>
    </r>
    <r>
      <rPr>
        <sz val="11"/>
        <color rgb="FF000000"/>
        <rFont val="Calibri"/>
      </rPr>
      <t xml:space="preserve">
</t>
    </r>
    <r>
      <rPr>
        <sz val="11"/>
        <color rgb="FF000000"/>
        <rFont val="Calibri"/>
      </rPr>
      <t xml:space="preserve">      version: 3.1.0</t>
    </r>
    <r>
      <rPr>
        <sz val="11"/>
        <color rgb="FF000000"/>
        <rFont val="Calibri"/>
      </rPr>
      <t xml:space="preserve">
</t>
    </r>
    <r>
      <rPr>
        <sz val="11"/>
        <color rgb="FF000000"/>
        <rFont val="Calibri"/>
      </rPr>
      <t xml:space="preserve">    systemd:</t>
    </r>
    <r>
      <rPr>
        <sz val="11"/>
        <color rgb="FF000000"/>
        <rFont val="Calibri"/>
      </rPr>
      <t xml:space="preserve">
</t>
    </r>
    <r>
      <rPr>
        <sz val="11"/>
        <color rgb="FF000000"/>
        <rFont val="Calibri"/>
      </rPr>
      <t xml:space="preserve">      units:</t>
    </r>
    <r>
      <rPr>
        <sz val="11"/>
        <color rgb="FF000000"/>
        <rFont val="Calibri"/>
      </rPr>
      <t xml:space="preserve">
</t>
    </r>
    <r>
      <rPr>
        <sz val="11"/>
        <color rgb="FF000000"/>
        <rFont val="Calibri"/>
      </rPr>
      <t xml:space="preserve">      - name: chronyd.service</t>
    </r>
    <r>
      <rPr>
        <sz val="11"/>
        <color rgb="FF000000"/>
        <rFont val="Calibri"/>
      </rPr>
      <t xml:space="preserve">
</t>
    </r>
    <r>
      <rPr>
        <sz val="11"/>
        <color rgb="FF000000"/>
        <rFont val="Calibri"/>
      </rPr>
      <t xml:space="preserve">        enabled: true</t>
    </r>
    <r>
      <rPr>
        <sz val="11"/>
        <color rgb="FF000000"/>
        <rFont val="Calibri"/>
      </rPr>
      <t xml:space="preserve">
</t>
    </r>
    <r>
      <rPr>
        <sz val="11"/>
        <color rgb="FF000000"/>
        <rFont val="Calibri"/>
      </rPr>
      <t>" | oc apply -f -</t>
    </r>
    <r>
      <rPr>
        <sz val="11"/>
        <color rgb="FF000000"/>
        <rFont val="Calibri"/>
      </rPr>
      <t xml:space="preserve">
</t>
    </r>
    <r>
      <rPr>
        <sz val="11"/>
        <color rgb="FF000000"/>
        <rFont val="Calibri"/>
      </rPr>
      <t>done</t>
    </r>
  </si>
  <si>
    <r>
      <rPr>
        <sz val="11"/>
        <color rgb="FF000000"/>
        <rFont val="Calibri"/>
      </rPr>
      <t>Knowing when a sequence of events for an incident occurred is crucial to understand what may have taken place. Without a common clock, the components generating audit events could be out of synchronization and would then present a picture of the event that is warped and corrupted. To give a clear picture, it is important that the container platform and its components use a common internal clock.</t>
    </r>
  </si>
  <si>
    <r>
      <rPr>
        <sz val="11"/>
        <color rgb="FF000000"/>
        <rFont val="Calibri"/>
      </rPr>
      <t>Verify the chronyd service is enabled and active by executing the following:</t>
    </r>
    <r>
      <rPr>
        <sz val="11"/>
        <color rgb="FF000000"/>
        <rFont val="Calibri"/>
      </rPr>
      <t xml:space="preserve">
</t>
    </r>
    <r>
      <rPr>
        <sz val="11"/>
        <color rgb="FF000000"/>
        <rFont val="Calibri"/>
      </rPr>
      <t>for node in $(oc get node -oname); do oc debug $node -- chroot /host /bin/bash -c 'echo -n "$HOSTNAME "; systemctl is-enabled chronyd.service; systemctl is-active chronyd.service' 2&gt;/dev/null; done</t>
    </r>
    <r>
      <rPr>
        <sz val="11"/>
        <color rgb="FF000000"/>
        <rFont val="Calibri"/>
      </rPr>
      <t xml:space="preserve">
</t>
    </r>
    <r>
      <rPr>
        <sz val="11"/>
        <color rgb="FF000000"/>
        <rFont val="Calibri"/>
      </rPr>
      <t>If the auditd service is not "enabled" and "active", this is a finding.</t>
    </r>
  </si>
  <si>
    <t>V-257526</t>
  </si>
  <si>
    <r>
      <rPr>
        <sz val="11"/>
        <rFont val="Calibri"/>
      </rPr>
      <t>The Red Hat Enterprise Linux CoreOS (RHCOS) chrony Daemon must use multiple NTP servers to generate audit record time stamps.</t>
    </r>
  </si>
  <si>
    <r>
      <rPr>
        <sz val="11"/>
        <color rgb="FF000000"/>
        <rFont val="Calibri"/>
      </rPr>
      <t>Apply the machine config by executing the following, replacing the variables in the MachineConfig with organizationally-defined NTP servers.</t>
    </r>
    <r>
      <rPr>
        <sz val="11"/>
        <color rgb="FF000000"/>
        <rFont val="Calibri"/>
      </rPr>
      <t xml:space="preserve">
</t>
    </r>
    <r>
      <rPr>
        <sz val="11"/>
        <color rgb="FF000000"/>
        <rFont val="Calibri"/>
      </rPr>
      <t>for mcpool in $(oc get mcp -oname | sed ""s:.*/::"" ); do</t>
    </r>
    <r>
      <rPr>
        <sz val="11"/>
        <color rgb="FF000000"/>
        <rFont val="Calibri"/>
      </rPr>
      <t xml:space="preserve">
</t>
    </r>
    <r>
      <rPr>
        <sz val="11"/>
        <color rgb="FF000000"/>
        <rFont val="Calibri"/>
      </rPr>
      <t>echo "apiVersion: machineconfiguration.openshift.io/v1</t>
    </r>
    <r>
      <rPr>
        <sz val="11"/>
        <color rgb="FF000000"/>
        <rFont val="Calibri"/>
      </rPr>
      <t xml:space="preserve">
</t>
    </r>
    <r>
      <rPr>
        <sz val="11"/>
        <color rgb="FF000000"/>
        <rFont val="Calibri"/>
      </rPr>
      <t>kind: MachineConfig</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90-chrony-ntp-servers-set-$mcpool</t>
    </r>
    <r>
      <rPr>
        <sz val="11"/>
        <color rgb="FF000000"/>
        <rFont val="Calibri"/>
      </rPr>
      <t xml:space="preserve">
</t>
    </r>
    <r>
      <rPr>
        <sz val="11"/>
        <color rgb="FF000000"/>
        <rFont val="Calibri"/>
      </rPr>
      <t xml:space="preserve">  labels:</t>
    </r>
    <r>
      <rPr>
        <sz val="11"/>
        <color rgb="FF000000"/>
        <rFont val="Calibri"/>
      </rPr>
      <t xml:space="preserve">
</t>
    </r>
    <r>
      <rPr>
        <sz val="11"/>
        <color rgb="FF000000"/>
        <rFont val="Calibri"/>
      </rPr>
      <t xml:space="preserve">    machineconfiguration.openshift.io/role: $mcpool</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config:</t>
    </r>
    <r>
      <rPr>
        <sz val="11"/>
        <color rgb="FF000000"/>
        <rFont val="Calibri"/>
      </rPr>
      <t xml:space="preserve">
</t>
    </r>
    <r>
      <rPr>
        <sz val="11"/>
        <color rgb="FF000000"/>
        <rFont val="Calibri"/>
      </rPr>
      <t xml:space="preserve">    ignition:</t>
    </r>
    <r>
      <rPr>
        <sz val="11"/>
        <color rgb="FF000000"/>
        <rFont val="Calibri"/>
      </rPr>
      <t xml:space="preserve">
</t>
    </r>
    <r>
      <rPr>
        <sz val="11"/>
        <color rgb="FF000000"/>
        <rFont val="Calibri"/>
      </rPr>
      <t xml:space="preserve">      version: 3.1.0</t>
    </r>
    <r>
      <rPr>
        <sz val="11"/>
        <color rgb="FF000000"/>
        <rFont val="Calibri"/>
      </rPr>
      <t xml:space="preserve">
</t>
    </r>
    <r>
      <rPr>
        <sz val="11"/>
        <color rgb="FF000000"/>
        <rFont val="Calibri"/>
      </rPr>
      <t xml:space="preserve">      storage:</t>
    </r>
    <r>
      <rPr>
        <sz val="11"/>
        <color rgb="FF000000"/>
        <rFont val="Calibri"/>
      </rPr>
      <t xml:space="preserve">
</t>
    </r>
    <r>
      <rPr>
        <sz val="11"/>
        <color rgb="FF000000"/>
        <rFont val="Calibri"/>
      </rPr>
      <t xml:space="preserve">        files:</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23%20Allow%20for%20extra%20configuration%20files.%20This%20is%20useful%0A%23%20for%20admins%20specifying%20their%20own%20NTP%20servers%0Ainclude%20%2Fetc%2Fchrony.d%2F%2A.conf%0A%0A%23%20Set%20chronyd%20as%20client-only.%0Aport%200%0A%0A%23%20Disable%20chronyc%20from%20the%20network%0Acmdport%200%0A%0A%23%20Record%20the%20rate%20at%20which%20the%20system%20clock%20gains%2Flosses%20time.%0Adriftfile%20%2Fvar%2Flib%2Fchrony%2Fdrift%0A%0A%23%20Allow%20the%20system%20clock%20to%20be%20stepped%20in%20the%20first%20three%20updates%0A%23%20if%20its%20offset%20is%20larger%20than%201%20second.%0Amakestep%201.0%203%0A%0A%23%20Enable%20kernel%20synchronization%20of%20the%20real-time%20clock%20%28RTC%29.%0Artcsync%0A%0A%23%20Enable%20hardware%20timestamping%20on%20all%20interfaces%20that%20support%20it.%0A%23hwtimestamp%20%2A%0A%0A%23%20Increase%20the%20minimum%20number%20of%20selectable%20sources%20required%20to%20adjust%0A%23%20the%20system%20clock.%0A%23minsources%202%0A%0A%23%20Allow%20NTP%20client%20access%20from%20local%20network.%0A%23allow%20192.168.0.0%2F16%0A%0A%23%20Serve%20time%20even%20if%20not%20synchronized%20to%20a%20time%20source.%0A%23local%20stratum%2010%0A%0A%23%20Require%20authentication%20%28nts%20or%20key%20option%29%20for%20all%20NTP%20sources.%0A%23authselectmode%20require%0A%0A%23%20Specify%20file%20containing%20keys%20for%20NTP%20authentication.%0Akeyfile%20%2Fetc%2Fchrony.keys%0A%0A%23%20Insert%2Fdelete%20leap%20seconds%20by%20slewing%20instead%20of%20stepping.%0A%23leapsecmode%20slew%0A%0A%23%20Get%20TAI-UTC%20offset%20and%20leap%20seconds%20from%20the%20system%20tz%20database.%0Aleapsectz%20right%2FUTC%0A%0A%23%20Specify%20directory%20for%20log%20files.%0Alogdir%20%2Fvar%2Flog%2Fchrony%0A%0A%23%20Select%20which%20information%20is%20logged.%0A%23log%20measurements%20statistics%20tracking</t>
    </r>
    <r>
      <rPr>
        <sz val="11"/>
        <color rgb="FF000000"/>
        <rFont val="Calibri"/>
      </rPr>
      <t xml:space="preserve">
</t>
    </r>
    <r>
      <rPr>
        <sz val="11"/>
        <color rgb="FF000000"/>
        <rFont val="Calibri"/>
      </rPr>
      <t xml:space="preserve">            mode: 420</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path: /etc/chrony.conf</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t>
    </r>
    <r>
      <rPr>
        <sz val="11"/>
        <color rgb="FF000000"/>
        <rFont val="Calibri"/>
      </rPr>
      <t xml:space="preserve">
</t>
    </r>
    <r>
      <rPr>
        <sz val="11"/>
        <color rgb="FF000000"/>
        <rFont val="Calibri"/>
      </rPr>
      <t xml:space="preserve">          mode: 420</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path: /etc/chrony.d/.mco-keep</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23%0A%23%20This%20file%20controls%20the%20configuration%20of%20the%20ntp%20server%0A%23%200.pool.ntp.org%2C1.pool.ntp.org%2C2.pool.ntp.org%2C3.pool.ntp.org%20we%20have%20to%20put%20variable%20array%20name%20here%20for%20mutilines%20remediation%20%0A%0Aserver%20&lt;SERVER1.EXAMPLE.COM&gt;%20minpoll%204%20maxpoll%2010%0Aserver%20&lt;SERVER2.EXAMPLE.COM&gt;%20minpoll%204%20maxpoll%2010%0Aserver%20&lt;SERVER3.EXAMPLE.COM&gt;%20minpoll%204%20maxpoll%2010%0Aserver%20&lt;SERVER4.EXAMPLE.COM&gt;%20minpoll%204%20maxpoll%2010%0A</t>
    </r>
    <r>
      <rPr>
        <sz val="11"/>
        <color rgb="FF000000"/>
        <rFont val="Calibri"/>
      </rPr>
      <t xml:space="preserve">
</t>
    </r>
    <r>
      <rPr>
        <sz val="11"/>
        <color rgb="FF000000"/>
        <rFont val="Calibri"/>
      </rPr>
      <t xml:space="preserve">          mode: 420</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path: /etc/chrony.d/ntp-server.conf</t>
    </r>
    <r>
      <rPr>
        <sz val="11"/>
        <color rgb="FF000000"/>
        <rFont val="Calibri"/>
      </rPr>
      <t xml:space="preserve">
</t>
    </r>
    <r>
      <rPr>
        <sz val="11"/>
        <color rgb="FF000000"/>
        <rFont val="Calibri"/>
      </rPr>
      <t>" | oc apply -f -</t>
    </r>
    <r>
      <rPr>
        <sz val="11"/>
        <color rgb="FF000000"/>
        <rFont val="Calibri"/>
      </rPr>
      <t xml:space="preserve">
</t>
    </r>
    <r>
      <rPr>
        <sz val="11"/>
        <color rgb="FF000000"/>
        <rFont val="Calibri"/>
      </rPr>
      <t>done</t>
    </r>
  </si>
  <si>
    <r>
      <rPr>
        <sz val="11"/>
        <color rgb="FF000000"/>
        <rFont val="Calibri"/>
      </rPr>
      <t>Utilizing multiple NTP servers for the chrony daemon in RHCOS ensures accurate and reliable audit record timestamps. It improves time synchronization, mitigates time drift, provides redundancy, and enhances resilience against attacks. Knowing when a sequence of events for an incident occurred is crucial to understand what may have taken place. Without a common clock, the components generating audit events could be out of synchronization and would then present a picture of the event that is warped and corrupted. To give a clear picture, it is important that the container platform and its components use a common internal clock.</t>
    </r>
  </si>
  <si>
    <r>
      <rPr>
        <sz val="11"/>
        <color rgb="FF000000"/>
        <rFont val="Calibri"/>
      </rPr>
      <t>Verify Red Hat Enterprise Linux CoreOS (RHCOS) chrony Daemon is configured to use multiple NTP servers by executing the following:</t>
    </r>
    <r>
      <rPr>
        <sz val="11"/>
        <color rgb="FF000000"/>
        <rFont val="Calibri"/>
      </rPr>
      <t xml:space="preserve">
</t>
    </r>
    <r>
      <rPr>
        <sz val="11"/>
        <color rgb="FF000000"/>
        <rFont val="Calibri"/>
      </rPr>
      <t>for node in $(oc get node -oname); do oc debug $node -- chroot /host /bin/bash -c 'echo -n "$HOSTNAME "; grep "server" /etc/chrony.d/*' 2&gt;/dev/null; done</t>
    </r>
    <r>
      <rPr>
        <sz val="11"/>
        <color rgb="FF000000"/>
        <rFont val="Calibri"/>
      </rPr>
      <t xml:space="preserve">
</t>
    </r>
    <r>
      <rPr>
        <sz val="11"/>
        <color rgb="FF000000"/>
        <rFont val="Calibri"/>
      </rPr>
      <t>(Sample output: server &lt;SERVER1.EXAMPLE.COM&gt; minpoll 4 maxpoll 10</t>
    </r>
    <r>
      <rPr>
        <sz val="11"/>
        <color rgb="FF000000"/>
        <rFont val="Calibri"/>
      </rPr>
      <t xml:space="preserve">
</t>
    </r>
    <r>
      <rPr>
        <sz val="11"/>
        <color rgb="FF000000"/>
        <rFont val="Calibri"/>
      </rPr>
      <t>server &lt;SERVER2.EXAMPLE.COM&gt; minpoll 4 maxpoll 10)</t>
    </r>
    <r>
      <rPr>
        <sz val="11"/>
        <color rgb="FF000000"/>
        <rFont val="Calibri"/>
      </rPr>
      <t xml:space="preserve">
</t>
    </r>
    <r>
      <rPr>
        <sz val="11"/>
        <color rgb="FF000000"/>
        <rFont val="Calibri"/>
      </rPr>
      <t>If multiple NTP servers are not configured, this is a finding.</t>
    </r>
  </si>
  <si>
    <t>V-257527</t>
  </si>
  <si>
    <r>
      <rPr>
        <sz val="11"/>
        <rFont val="Calibri"/>
      </rPr>
      <t>OpenShift must protect audit logs from any type of unauthorized access.</t>
    </r>
  </si>
  <si>
    <r>
      <rPr>
        <sz val="11"/>
        <color rgb="FF000000"/>
        <rFont val="Calibri"/>
      </rPr>
      <t>Correct permissions (audit logs have a mode of "0600") by executing the following:</t>
    </r>
    <r>
      <rPr>
        <sz val="11"/>
        <color rgb="FF000000"/>
        <rFont val="Calibri"/>
      </rPr>
      <t xml:space="preserve">
</t>
    </r>
    <r>
      <rPr>
        <sz val="11"/>
        <color rgb="FF000000"/>
        <rFont val="Calibri"/>
      </rPr>
      <t>for node in $(oc get node -oname); do oc debug $node -- chroot /host /bin/bash -c 'echo -n "$HOSTNAME "; machine_id=$(systemd-machine-id-setup --print); chmod 600 /var/log/audit/audit.log' 2&gt;/dev/null; done</t>
    </r>
    <r>
      <rPr>
        <sz val="11"/>
        <color rgb="FF000000"/>
        <rFont val="Calibri"/>
      </rPr>
      <t xml:space="preserve">
</t>
    </r>
    <r>
      <rPr>
        <sz val="11"/>
        <color rgb="FF000000"/>
        <rFont val="Calibri"/>
      </rPr>
      <t>Correct permissions (audit log is owned by "root") by executing the following:</t>
    </r>
    <r>
      <rPr>
        <sz val="11"/>
        <color rgb="FF000000"/>
        <rFont val="Calibri"/>
      </rPr>
      <t xml:space="preserve">
</t>
    </r>
    <r>
      <rPr>
        <sz val="11"/>
        <color rgb="FF000000"/>
        <rFont val="Calibri"/>
      </rPr>
      <t>for node in $(oc get node -oname); do oc debug $node -- chroot /host /bin/bash -c 'echo -n "$HOSTNAME "; machine_id=$(systemd-machine-id-setup --print); chown root:root /var/log/audit/audit.log' 2&gt;/dev/null; done</t>
    </r>
    <r>
      <rPr>
        <sz val="11"/>
        <color rgb="FF000000"/>
        <rFont val="Calibri"/>
      </rPr>
      <t xml:space="preserve">
</t>
    </r>
    <r>
      <rPr>
        <sz val="11"/>
        <color rgb="FF000000"/>
        <rFont val="Calibri"/>
      </rPr>
      <t>Correct permissions (audit log directory is group-owned by "root") by executing the following:</t>
    </r>
    <r>
      <rPr>
        <sz val="11"/>
        <color rgb="FF000000"/>
        <rFont val="Calibri"/>
      </rPr>
      <t xml:space="preserve">
</t>
    </r>
    <r>
      <rPr>
        <sz val="11"/>
        <color rgb="FF000000"/>
        <rFont val="Calibri"/>
      </rPr>
      <t>for node in $(oc get node -oname); do oc debug $node -- chroot /host /bin/bash -c 'echo -n "$HOSTNAME "; machine_id=$(systemd-machine-id-setup --print); chown root:root /var/log/audit' 2&gt;/dev/null; done</t>
    </r>
    <r>
      <rPr>
        <sz val="11"/>
        <color rgb="FF000000"/>
        <rFont val="Calibri"/>
      </rPr>
      <t xml:space="preserve">
</t>
    </r>
    <r>
      <rPr>
        <sz val="11"/>
        <color rgb="FF000000"/>
        <rFont val="Calibri"/>
      </rPr>
      <t>Correct permissions ( audit log directories have a mode of "0700") by executing the following:</t>
    </r>
    <r>
      <rPr>
        <sz val="11"/>
        <color rgb="FF000000"/>
        <rFont val="Calibri"/>
      </rPr>
      <t xml:space="preserve">
</t>
    </r>
    <r>
      <rPr>
        <sz val="11"/>
        <color rgb="FF000000"/>
        <rFont val="Calibri"/>
      </rPr>
      <t>for node in $(oc get node -oname); do oc debug $node -- chroot /host /bin/bash -c 'echo -n "$HOSTNAME "; machine_id=$(systemd-machine-id-setup --print); chmod 700 /var/log/audit' 2&gt;/dev/null; done</t>
    </r>
  </si>
  <si>
    <r>
      <rPr>
        <sz val="11"/>
        <color rgb="FF000000"/>
        <rFont val="Calibri"/>
      </rPr>
      <t>If audit data were to become compromised, then competent forensic analysis and discovery of the true source of potentially malicious system activity is difficult, if not impossible, to achieve. In addition, access to audit records provides information an attacker could potentially use to their advantage.</t>
    </r>
    <r>
      <rPr>
        <sz val="11"/>
        <color rgb="FF000000"/>
        <rFont val="Calibri"/>
      </rPr>
      <t xml:space="preserve">
</t>
    </r>
    <r>
      <rPr>
        <sz val="11"/>
        <color rgb="FF000000"/>
        <rFont val="Calibri"/>
      </rPr>
      <t>To ensure the veracity of audit data, the information system and/or the application must protect audit information from all unauthorized access. This includes read, write, and copy access.</t>
    </r>
    <r>
      <rPr>
        <sz val="11"/>
        <color rgb="FF000000"/>
        <rFont val="Calibri"/>
      </rPr>
      <t xml:space="preserve">
</t>
    </r>
    <r>
      <rPr>
        <sz val="11"/>
        <color rgb="FF000000"/>
        <rFont val="Calibri"/>
      </rPr>
      <t>This requirement can be achieved through multiple methods, which will depend upon system architecture and design. Commonly employed methods for protecting audit information include least privilege permissions as well as restricting the location and number of log file repositories.</t>
    </r>
    <r>
      <rPr>
        <sz val="11"/>
        <color rgb="FF000000"/>
        <rFont val="Calibri"/>
      </rPr>
      <t xml:space="preserve">
</t>
    </r>
    <r>
      <rPr>
        <sz val="11"/>
        <color rgb="FF000000"/>
        <rFont val="Calibri"/>
      </rPr>
      <t>Additionally, applications with user interfaces to audit records must not allow for the unfettered manipulation of or access to those records via the application. If the application provides access to the audit data, the application becomes accountable for ensuring audit information is protected from unauthorized access.</t>
    </r>
    <r>
      <rPr>
        <sz val="11"/>
        <color rgb="FF000000"/>
        <rFont val="Calibri"/>
      </rPr>
      <t xml:space="preserve">
</t>
    </r>
    <r>
      <rPr>
        <sz val="11"/>
        <color rgb="FF000000"/>
        <rFont val="Calibri"/>
      </rPr>
      <t>Audit information includes all information (e.g., audit records, audit settings, and audit reports) needed to successfully audit information system activity.</t>
    </r>
  </si>
  <si>
    <r>
      <rPr>
        <sz val="11"/>
        <color rgb="FF000000"/>
        <rFont val="Calibri"/>
      </rPr>
      <t>Verify the audit logs have a mode of "0600" by executing the following:</t>
    </r>
    <r>
      <rPr>
        <sz val="11"/>
        <color rgb="FF000000"/>
        <rFont val="Calibri"/>
      </rPr>
      <t xml:space="preserve">
</t>
    </r>
    <r>
      <rPr>
        <sz val="11"/>
        <color rgb="FF000000"/>
        <rFont val="Calibri"/>
      </rPr>
      <t>for node in $(oc get node -oname); do oc debug $node -- chroot /host /bin/bash -c 'echo -n "$HOSTNAME "; stat -c "%a %n" /var/log/audit/audit.log' 2&gt;/dev/null; done</t>
    </r>
    <r>
      <rPr>
        <sz val="11"/>
        <color rgb="FF000000"/>
        <rFont val="Calibri"/>
      </rPr>
      <t xml:space="preserve">
</t>
    </r>
    <r>
      <rPr>
        <sz val="11"/>
        <color rgb="FF000000"/>
        <rFont val="Calibri"/>
      </rPr>
      <t>(Sample Output: 600 /var/log/audit/audit.log)</t>
    </r>
    <r>
      <rPr>
        <sz val="11"/>
        <color rgb="FF000000"/>
        <rFont val="Calibri"/>
      </rPr>
      <t xml:space="preserve">
</t>
    </r>
    <r>
      <rPr>
        <sz val="11"/>
        <color rgb="FF000000"/>
        <rFont val="Calibri"/>
      </rPr>
      <t>If the audit log has a mode more permissive than "0600", this is a finding.</t>
    </r>
    <r>
      <rPr>
        <sz val="11"/>
        <color rgb="FF000000"/>
        <rFont val="Calibri"/>
      </rPr>
      <t xml:space="preserve">
</t>
    </r>
    <r>
      <rPr>
        <sz val="11"/>
        <color rgb="FF000000"/>
        <rFont val="Calibri"/>
      </rPr>
      <t>Determine if the audit log is owned by "root" executing the following command:</t>
    </r>
    <r>
      <rPr>
        <sz val="11"/>
        <color rgb="FF000000"/>
        <rFont val="Calibri"/>
      </rPr>
      <t xml:space="preserve">
</t>
    </r>
    <r>
      <rPr>
        <sz val="11"/>
        <color rgb="FF000000"/>
        <rFont val="Calibri"/>
      </rPr>
      <t>for node in $(oc get node -oname); do oc debug $node -- chroot /host /bin/bash -c 'echo -n "$HOSTNAME "; ls -l /var/log/audit/audit.log' 2&gt;/dev/null; done</t>
    </r>
    <r>
      <rPr>
        <sz val="11"/>
        <color rgb="FF000000"/>
        <rFont val="Calibri"/>
      </rPr>
      <t xml:space="preserve">
</t>
    </r>
    <r>
      <rPr>
        <sz val="11"/>
        <color rgb="FF000000"/>
        <rFont val="Calibri"/>
      </rPr>
      <t>(Sample Output: rw------- 2 root root 23 Jun 11 11:56 /var/log/audit/audit.log)</t>
    </r>
    <r>
      <rPr>
        <sz val="11"/>
        <color rgb="FF000000"/>
        <rFont val="Calibri"/>
      </rPr>
      <t xml:space="preserve">
</t>
    </r>
    <r>
      <rPr>
        <sz val="11"/>
        <color rgb="FF000000"/>
        <rFont val="Calibri"/>
      </rPr>
      <t>If the audit log is not owned by "root", this is a finding.</t>
    </r>
    <r>
      <rPr>
        <sz val="11"/>
        <color rgb="FF000000"/>
        <rFont val="Calibri"/>
      </rPr>
      <t xml:space="preserve">
</t>
    </r>
    <r>
      <rPr>
        <sz val="11"/>
        <color rgb="FF000000"/>
        <rFont val="Calibri"/>
      </rPr>
      <t>Verify the audit log directory is group-owned by "root" to prevent unauthorized read access by executing the following.</t>
    </r>
    <r>
      <rPr>
        <sz val="11"/>
        <color rgb="FF000000"/>
        <rFont val="Calibri"/>
      </rPr>
      <t xml:space="preserve">
</t>
    </r>
    <r>
      <rPr>
        <sz val="11"/>
        <color rgb="FF000000"/>
        <rFont val="Calibri"/>
      </rPr>
      <t>for node in $(oc get node -oname); do oc debug $node -- chroot /host /bin/bash -c 'echo -n "$HOSTNAME "; ls -ld /var/log/audit' 2&gt;/dev/null; done</t>
    </r>
    <r>
      <rPr>
        <sz val="11"/>
        <color rgb="FF000000"/>
        <rFont val="Calibri"/>
      </rPr>
      <t xml:space="preserve">
</t>
    </r>
    <r>
      <rPr>
        <sz val="11"/>
        <color rgb="FF000000"/>
        <rFont val="Calibri"/>
      </rPr>
      <t>(Sample Output: drw------- 2 root root 23 Jun 11 11:56 /var/log/audit)</t>
    </r>
    <r>
      <rPr>
        <sz val="11"/>
        <color rgb="FF000000"/>
        <rFont val="Calibri"/>
      </rPr>
      <t xml:space="preserve">
</t>
    </r>
    <r>
      <rPr>
        <sz val="11"/>
        <color rgb="FF000000"/>
        <rFont val="Calibri"/>
      </rPr>
      <t>If the audit log directory is not group-owned by "root", this is a finding.</t>
    </r>
    <r>
      <rPr>
        <sz val="11"/>
        <color rgb="FF000000"/>
        <rFont val="Calibri"/>
      </rPr>
      <t xml:space="preserve">
</t>
    </r>
    <r>
      <rPr>
        <sz val="11"/>
        <color rgb="FF000000"/>
        <rFont val="Calibri"/>
      </rPr>
      <t>Verify the audit log directories have a mode of "0700" by executing the following command:</t>
    </r>
    <r>
      <rPr>
        <sz val="11"/>
        <color rgb="FF000000"/>
        <rFont val="Calibri"/>
      </rPr>
      <t xml:space="preserve">
</t>
    </r>
    <r>
      <rPr>
        <sz val="11"/>
        <color rgb="FF000000"/>
        <rFont val="Calibri"/>
      </rPr>
      <t>for node in $(oc get node -oname); do oc debug $node -- chroot /host /bin/bash -c 'echo -n "$HOSTNAME "; stat -c "%a %n" /var/log/audit' 2&gt;/dev/null; done</t>
    </r>
    <r>
      <rPr>
        <sz val="11"/>
        <color rgb="FF000000"/>
        <rFont val="Calibri"/>
      </rPr>
      <t xml:space="preserve">
</t>
    </r>
    <r>
      <rPr>
        <sz val="11"/>
        <color rgb="FF000000"/>
        <rFont val="Calibri"/>
      </rPr>
      <t>(Sample Output: 700 /var/log/audit)</t>
    </r>
    <r>
      <rPr>
        <sz val="11"/>
        <color rgb="FF000000"/>
        <rFont val="Calibri"/>
      </rPr>
      <t xml:space="preserve">
</t>
    </r>
    <r>
      <rPr>
        <sz val="11"/>
        <color rgb="FF000000"/>
        <rFont val="Calibri"/>
      </rPr>
      <t>If the audit log directory has a mode more permissive than "0700", this is a finding.</t>
    </r>
  </si>
  <si>
    <t>V-257528</t>
  </si>
  <si>
    <r>
      <rPr>
        <sz val="11"/>
        <rFont val="Calibri"/>
      </rPr>
      <t>OpenShift must protect system journal file from any type of unauthorized access by setting file permissions.</t>
    </r>
  </si>
  <si>
    <r>
      <rPr>
        <sz val="11"/>
        <color rgb="FF000000"/>
        <rFont val="Calibri"/>
      </rPr>
      <t>Correct journal file permissions by executing the following:</t>
    </r>
    <r>
      <rPr>
        <sz val="11"/>
        <color rgb="FF000000"/>
        <rFont val="Calibri"/>
      </rPr>
      <t xml:space="preserve">
</t>
    </r>
    <r>
      <rPr>
        <sz val="11"/>
        <color rgb="FF000000"/>
        <rFont val="Calibri"/>
      </rPr>
      <t>for node in $(oc get node -oname); do oc debug $node -- chroot /host /bin/bash -c 'echo -n "$HOSTNAME "; machine_id=$(systemd-machine-id-setup --print); chmod 640 /var/log/journal/$machine_id/system.journal' 2&gt;/dev/null; done</t>
    </r>
  </si>
  <si>
    <r>
      <rPr>
        <sz val="11"/>
        <color rgb="FF000000"/>
        <rFont val="Calibri"/>
      </rPr>
      <t xml:space="preserve">It is a fundamental security practice to enforce the principle of least privilege, where only the necessary permissions are granted to authorized entities. OpenShift must protect the system journal file from any type of unauthorized access by setting file permissions. </t>
    </r>
    <r>
      <rPr>
        <sz val="11"/>
        <color rgb="FF000000"/>
        <rFont val="Calibri"/>
      </rPr>
      <t xml:space="preserve">
</t>
    </r>
    <r>
      <rPr>
        <sz val="11"/>
        <color rgb="FF000000"/>
        <rFont val="Calibri"/>
      </rPr>
      <t>The system journal file contains important log data that helps in troubleshooting and monitoring the system. Unauthorized access or tampering with the journal file can compromise the integrity of this data. By setting appropriate file permissions, OpenShift ensures that only authorized users or processes have access to the journal file, maintaining the integrity and reliability of system logs.</t>
    </r>
  </si>
  <si>
    <r>
      <rPr>
        <sz val="11"/>
        <color rgb="FF000000"/>
        <rFont val="Calibri"/>
      </rPr>
      <t>Verify the system journal file has mode "0640" or less permissive by executing the following:</t>
    </r>
    <r>
      <rPr>
        <sz val="11"/>
        <color rgb="FF000000"/>
        <rFont val="Calibri"/>
      </rPr>
      <t xml:space="preserve">
</t>
    </r>
    <r>
      <rPr>
        <sz val="11"/>
        <color rgb="FF000000"/>
        <rFont val="Calibri"/>
      </rPr>
      <t>for node in $(oc get node -oname); do oc debug $node -- chroot /host /bin/bash -c 'echo -n "$HOSTNAME "; machine_id=$(systemd-machine-id-setup --print); stat -c "%a %n" /var/log/journal/$machine_id/system.journal' 2&gt;/dev/null; done</t>
    </r>
    <r>
      <rPr>
        <sz val="11"/>
        <color rgb="FF000000"/>
        <rFont val="Calibri"/>
      </rPr>
      <t xml:space="preserve">
</t>
    </r>
    <r>
      <rPr>
        <sz val="11"/>
        <color rgb="FF000000"/>
        <rFont val="Calibri"/>
      </rPr>
      <t>If a value of "0640" or less permissive is not returned, this is a finding.</t>
    </r>
  </si>
  <si>
    <t>V-257529</t>
  </si>
  <si>
    <r>
      <rPr>
        <sz val="11"/>
        <rFont val="Calibri"/>
      </rPr>
      <t>OpenShift must protect system journal file from any type of unauthorized access by setting owner permissions.</t>
    </r>
  </si>
  <si>
    <r>
      <rPr>
        <sz val="11"/>
        <color rgb="FF000000"/>
        <rFont val="Calibri"/>
      </rPr>
      <t>Correct journal file ownership by executing the following:</t>
    </r>
    <r>
      <rPr>
        <sz val="11"/>
        <color rgb="FF000000"/>
        <rFont val="Calibri"/>
      </rPr>
      <t xml:space="preserve">
</t>
    </r>
    <r>
      <rPr>
        <sz val="11"/>
        <color rgb="FF000000"/>
        <rFont val="Calibri"/>
      </rPr>
      <t>for node in $(oc get node -oname); do oc debug $node -- chroot /host /bin/bash -c 'echo -n "$HOSTNAME "; machine_id=$(systemd-machine-id-setup --print); chown root:systemd-journal /var/log/journal/$machine_id/system.journal' 2&gt;/dev/null; done</t>
    </r>
  </si>
  <si>
    <r>
      <rPr>
        <sz val="11"/>
        <color rgb="FF000000"/>
        <rFont val="Calibri"/>
      </rPr>
      <t>OpenShift follows the principle of least privilege, which aims to restrict access to resources based on user roles and responsibilities. This separation of privileges helps mitigate the risk of unauthorized modifications or unauthorized access by users or processes that do not need to interact with the file.</t>
    </r>
    <r>
      <rPr>
        <sz val="11"/>
        <color rgb="FF000000"/>
        <rFont val="Calibri"/>
      </rPr>
      <t xml:space="preserve">
</t>
    </r>
    <r>
      <rPr>
        <sz val="11"/>
        <color rgb="FF000000"/>
        <rFont val="Calibri"/>
      </rPr>
      <t>Protecting the system journal file from unauthorized access helps safeguard against potential security threats. The system journal file contains critical log data that is vital for system analysis, troubleshooting, and security auditing. Unauthorized users gaining access to the file may exploit vulnerabilities, tamper with logs, or extract sensitive information. By setting strict file owner permissions, OpenShift minimizes the risk of unauthorized individuals or processes accessing or modifying the journal file, reducing the likelihood of security breaches.</t>
    </r>
  </si>
  <si>
    <r>
      <rPr>
        <sz val="11"/>
        <color rgb="FF000000"/>
        <rFont val="Calibri"/>
      </rPr>
      <t>Verify the "system journal" file is group-owned by systemd-journal and owned by root by executing the following:</t>
    </r>
    <r>
      <rPr>
        <sz val="11"/>
        <color rgb="FF000000"/>
        <rFont val="Calibri"/>
      </rPr>
      <t xml:space="preserve">
</t>
    </r>
    <r>
      <rPr>
        <sz val="11"/>
        <color rgb="FF000000"/>
        <rFont val="Calibri"/>
      </rPr>
      <t>for node in $(oc get node -oname); do oc debug $node -- chroot /host /bin/bash -c 'echo -n "$HOSTNAME "; machine_id=$(systemd-machine-id-setup --print); stat -c "%U %G" /var/log/journal/$machine_id/system.journal' 2&gt;/dev/null; done</t>
    </r>
    <r>
      <rPr>
        <sz val="11"/>
        <color rgb="FF000000"/>
        <rFont val="Calibri"/>
      </rPr>
      <t xml:space="preserve">
</t>
    </r>
    <r>
      <rPr>
        <sz val="11"/>
        <color rgb="FF000000"/>
        <rFont val="Calibri"/>
      </rPr>
      <t>Example output:</t>
    </r>
    <r>
      <rPr>
        <sz val="11"/>
        <color rgb="FF000000"/>
        <rFont val="Calibri"/>
      </rPr>
      <t xml:space="preserve">
</t>
    </r>
    <r>
      <rPr>
        <sz val="11"/>
        <color rgb="FF000000"/>
        <rFont val="Calibri"/>
      </rPr>
      <t>ip-10-0-150-1 root systemd-journal</t>
    </r>
    <r>
      <rPr>
        <sz val="11"/>
        <color rgb="FF000000"/>
        <rFont val="Calibri"/>
      </rPr>
      <t xml:space="preserve">
</t>
    </r>
    <r>
      <rPr>
        <sz val="11"/>
        <color rgb="FF000000"/>
        <rFont val="Calibri"/>
      </rPr>
      <t>If "root" is not returned as the owner, this is a finding.</t>
    </r>
    <r>
      <rPr>
        <sz val="11"/>
        <color rgb="FF000000"/>
        <rFont val="Calibri"/>
      </rPr>
      <t xml:space="preserve">
</t>
    </r>
    <r>
      <rPr>
        <sz val="11"/>
        <color rgb="FF000000"/>
        <rFont val="Calibri"/>
      </rPr>
      <t>If "systemd-journald" is not returned as the group owner, this is a finding.</t>
    </r>
  </si>
  <si>
    <t>V-257530</t>
  </si>
  <si>
    <r>
      <rPr>
        <sz val="11"/>
        <rFont val="Calibri"/>
      </rPr>
      <t>OpenShift must protect log directory from any type of unauthorized access by setting file permissions.</t>
    </r>
  </si>
  <si>
    <r>
      <rPr>
        <sz val="11"/>
        <color rgb="FF000000"/>
        <rFont val="Calibri"/>
      </rPr>
      <t>Correct log directory permissions by executing the following:</t>
    </r>
    <r>
      <rPr>
        <sz val="11"/>
        <color rgb="FF000000"/>
        <rFont val="Calibri"/>
      </rPr>
      <t xml:space="preserve">
</t>
    </r>
    <r>
      <rPr>
        <sz val="11"/>
        <color rgb="FF000000"/>
        <rFont val="Calibri"/>
      </rPr>
      <t>for node in $(oc get node -oname); do oc debug $node -- chroot /host /bin/bash -c 'echo -n "$HOSTNAME "; chmod 755 /var/log/' 2&gt;/dev/null; done</t>
    </r>
  </si>
  <si>
    <r>
      <rPr>
        <sz val="11"/>
        <color rgb="FF000000"/>
        <rFont val="Calibri"/>
      </rPr>
      <t>Log files contain sensitive information such as user credentials, system configurations, and potentially even security-related events. Unauthorized access to log files can expose this sensitive data to malicious actors. By protecting the log directory, OpenShift ensures that only authorized users or processes can access the log files, preserving the confidentiality of the information contained within them.</t>
    </r>
  </si>
  <si>
    <r>
      <rPr>
        <sz val="11"/>
        <color rgb="FF000000"/>
        <rFont val="Calibri"/>
      </rPr>
      <t>Verify the "/var/log" directory has a mode of "0755" or less by executing the following:</t>
    </r>
    <r>
      <rPr>
        <sz val="11"/>
        <color rgb="FF000000"/>
        <rFont val="Calibri"/>
      </rPr>
      <t xml:space="preserve">
</t>
    </r>
    <r>
      <rPr>
        <sz val="11"/>
        <color rgb="FF000000"/>
        <rFont val="Calibri"/>
      </rPr>
      <t>for node in $(oc get node -oname); do oc debug $node -- chroot /host /bin/bash -c 'echo -n "$HOSTNAME "; stat -c "%a %n" /var/log' 2&gt;/dev/null; done</t>
    </r>
    <r>
      <rPr>
        <sz val="11"/>
        <color rgb="FF000000"/>
        <rFont val="Calibri"/>
      </rPr>
      <t xml:space="preserve">
</t>
    </r>
    <r>
      <rPr>
        <sz val="11"/>
        <color rgb="FF000000"/>
        <rFont val="Calibri"/>
      </rPr>
      <t>If a value of "0755" or less permissive is not returned, this is a finding.</t>
    </r>
  </si>
  <si>
    <t>V-257531</t>
  </si>
  <si>
    <r>
      <rPr>
        <sz val="11"/>
        <rFont val="Calibri"/>
      </rPr>
      <t>OpenShift must protect log directory from any type of unauthorized access by setting owner permissions.</t>
    </r>
  </si>
  <si>
    <r>
      <rPr>
        <sz val="11"/>
        <color rgb="FF000000"/>
        <rFont val="Calibri"/>
      </rPr>
      <t>Correct log directory ownership by executing the following:</t>
    </r>
    <r>
      <rPr>
        <sz val="11"/>
        <color rgb="FF000000"/>
        <rFont val="Calibri"/>
      </rPr>
      <t xml:space="preserve">
</t>
    </r>
    <r>
      <rPr>
        <sz val="11"/>
        <color rgb="FF000000"/>
        <rFont val="Calibri"/>
      </rPr>
      <t xml:space="preserve"> for node in $(oc get node -oname); do oc debug $node -- chroot /host /bin/bash -c 'echo -n "$HOSTNAME "; chown root:root /var/log/' 2&gt;/dev/null; done</t>
    </r>
  </si>
  <si>
    <r>
      <rPr>
        <sz val="11"/>
        <color rgb="FF000000"/>
        <rFont val="Calibri"/>
      </rPr>
      <t>OpenShift follows the principle of least privilege, which aims to restrict access to resources based on user roles and responsibilities. This separation of privileges helps mitigate the risk of unauthorized modifications or unauthorized access by users or processes that do not need to interact with the file.</t>
    </r>
    <r>
      <rPr>
        <sz val="11"/>
        <color rgb="FF000000"/>
        <rFont val="Calibri"/>
      </rPr>
      <t xml:space="preserve">
</t>
    </r>
    <r>
      <rPr>
        <sz val="11"/>
        <color rgb="FF000000"/>
        <rFont val="Calibri"/>
      </rPr>
      <t>Protecting the /var/log directory from unauthorized access helps safeguard against potential security threats. Unauthorized users gaining access to the file may exploit vulnerabilities, tamper with logs, or extract sensitive information. By setting strict file owner permissions, OpenShift minimizes the risk of unauthorized individuals or processes accessing or modifying the directory, reducing the likelihood of security breaches.</t>
    </r>
  </si>
  <si>
    <r>
      <rPr>
        <sz val="11"/>
        <color rgb="FF000000"/>
        <rFont val="Calibri"/>
      </rPr>
      <t>Verify the "/var/log" directory is group-owned by root by executing the following command:</t>
    </r>
    <r>
      <rPr>
        <sz val="11"/>
        <color rgb="FF000000"/>
        <rFont val="Calibri"/>
      </rPr>
      <t xml:space="preserve">
</t>
    </r>
    <r>
      <rPr>
        <sz val="11"/>
        <color rgb="FF000000"/>
        <rFont val="Calibri"/>
      </rPr>
      <t>for node in $(oc get node -oname); do oc debug $node -- chroot /host /bin/bash -c 'echo -n "$HOSTNAME "; stat -c "%G" /var/log' 2&gt;/dev/null; done</t>
    </r>
    <r>
      <rPr>
        <sz val="11"/>
        <color rgb="FF000000"/>
        <rFont val="Calibri"/>
      </rPr>
      <t xml:space="preserve">
</t>
    </r>
    <r>
      <rPr>
        <sz val="11"/>
        <color rgb="FF000000"/>
        <rFont val="Calibri"/>
      </rPr>
      <t>If "root" is not returned as a result, this is a finding.</t>
    </r>
  </si>
  <si>
    <t>V-257532</t>
  </si>
  <si>
    <r>
      <rPr>
        <sz val="11"/>
        <rFont val="Calibri"/>
      </rPr>
      <t>OpenShift must protect pod log files from any type of unauthorized access by setting owner permissions.</t>
    </r>
  </si>
  <si>
    <r>
      <rPr>
        <sz val="11"/>
        <color rgb="FF000000"/>
        <rFont val="Calibri"/>
      </rPr>
      <t>Change the permissions and ownership of files located under "/var/log/pods" to protect from unauthorized access.</t>
    </r>
    <r>
      <rPr>
        <sz val="11"/>
        <color rgb="FF000000"/>
        <rFont val="Calibri"/>
      </rPr>
      <t xml:space="preserve">
</t>
    </r>
    <r>
      <rPr>
        <sz val="11"/>
        <color rgb="FF000000"/>
        <rFont val="Calibri"/>
      </rPr>
      <t>1. Execute the following to set the output of pods readable only by the owner:</t>
    </r>
    <r>
      <rPr>
        <sz val="11"/>
        <color rgb="FF000000"/>
        <rFont val="Calibri"/>
      </rPr>
      <t xml:space="preserve">
</t>
    </r>
    <r>
      <rPr>
        <sz val="11"/>
        <color rgb="FF000000"/>
        <rFont val="Calibri"/>
      </rPr>
      <t>for node in $(oc get node -oname); do oc debug $node -- chroot /host /bin/bash -c 'echo -n "$HOSTNAME "; find /var/log/pods/ -type f \( -perm /022 -o -perm /044 \) | xargs -r chmod 600' 2&gt;/dev/null; done</t>
    </r>
    <r>
      <rPr>
        <sz val="11"/>
        <color rgb="FF000000"/>
        <rFont val="Calibri"/>
      </rPr>
      <t xml:space="preserve">
</t>
    </r>
    <r>
      <rPr>
        <sz val="11"/>
        <color rgb="FF000000"/>
        <rFont val="Calibri"/>
      </rPr>
      <t>2. Execute the following to set the group and group-ownership to root for files that store the output of pods:</t>
    </r>
    <r>
      <rPr>
        <sz val="11"/>
        <color rgb="FF000000"/>
        <rFont val="Calibri"/>
      </rPr>
      <t xml:space="preserve">
</t>
    </r>
    <r>
      <rPr>
        <sz val="11"/>
        <color rgb="FF000000"/>
        <rFont val="Calibri"/>
      </rPr>
      <t>for node in $(oc get node -oname); do oc debug $node -- chroot /host /bin/bash -c 'echo -n "$HOSTNAME "; find /var/log/pods/ -type f \! -user 0 | xargs -r chown root:root' 2&gt;/dev/null; done</t>
    </r>
  </si>
  <si>
    <r>
      <rPr>
        <sz val="11"/>
        <color rgb="FF000000"/>
        <rFont val="Calibri"/>
      </rPr>
      <t>Pod log files may contain sensitive information such as application data, user credentials, or system configurations. Unauthorized access to these log files can expose sensitive data to malicious actors. By setting owner permissions, OpenShift ensures that only authorized users or processes with the necessary privileges can access the pod log files, preserving the confidentiality of the logged information.</t>
    </r>
  </si>
  <si>
    <r>
      <rPr>
        <sz val="11"/>
        <color rgb="FF000000"/>
        <rFont val="Calibri"/>
      </rPr>
      <t>Verify the permissions and ownership of files located under "/var/log/pods" that store the output of pods are set to protect from unauthorized access.</t>
    </r>
    <r>
      <rPr>
        <sz val="11"/>
        <color rgb="FF000000"/>
        <rFont val="Calibri"/>
      </rPr>
      <t xml:space="preserve">
</t>
    </r>
    <r>
      <rPr>
        <sz val="11"/>
        <color rgb="FF000000"/>
        <rFont val="Calibri"/>
      </rPr>
      <t>1. Verify the files are readable only by the owner by executing the following command:</t>
    </r>
    <r>
      <rPr>
        <sz val="11"/>
        <color rgb="FF000000"/>
        <rFont val="Calibri"/>
      </rPr>
      <t xml:space="preserve">
</t>
    </r>
    <r>
      <rPr>
        <sz val="11"/>
        <color rgb="FF000000"/>
        <rFont val="Calibri"/>
      </rPr>
      <t>for node in $(oc get node -oname); do oc debug $node -- chroot /host /bin/bash -c 'echo -n "$HOSTNAME "; find /var/log/pods/ -type f \( -perm /022 -o -perm /044 \)' 2&gt;/dev/null; done</t>
    </r>
    <r>
      <rPr>
        <sz val="11"/>
        <color rgb="FF000000"/>
        <rFont val="Calibri"/>
      </rPr>
      <t xml:space="preserve">
</t>
    </r>
    <r>
      <rPr>
        <sz val="11"/>
        <color rgb="FF000000"/>
        <rFont val="Calibri"/>
      </rPr>
      <t>If any files are returned, this is a finding.</t>
    </r>
    <r>
      <rPr>
        <sz val="11"/>
        <color rgb="FF000000"/>
        <rFont val="Calibri"/>
      </rPr>
      <t xml:space="preserve">
</t>
    </r>
    <r>
      <rPr>
        <sz val="11"/>
        <color rgb="FF000000"/>
        <rFont val="Calibri"/>
      </rPr>
      <t>2. Verify files are group-owned by root and owned by root by executing the following:</t>
    </r>
    <r>
      <rPr>
        <sz val="11"/>
        <color rgb="FF000000"/>
        <rFont val="Calibri"/>
      </rPr>
      <t xml:space="preserve">
</t>
    </r>
    <r>
      <rPr>
        <sz val="11"/>
        <color rgb="FF000000"/>
        <rFont val="Calibri"/>
      </rPr>
      <t>for node in $(oc get node -oname); do oc debug $node -- chroot /host /bin/bash -c 'echo -n "$HOSTNAME "; find /var/log/pods/ -type f \! -user 0' 2&gt;/dev/null; done</t>
    </r>
    <r>
      <rPr>
        <sz val="11"/>
        <color rgb="FF000000"/>
        <rFont val="Calibri"/>
      </rPr>
      <t xml:space="preserve">
</t>
    </r>
    <r>
      <rPr>
        <sz val="11"/>
        <color rgb="FF000000"/>
        <rFont val="Calibri"/>
      </rPr>
      <t>(Example output:</t>
    </r>
    <r>
      <rPr>
        <sz val="11"/>
        <color rgb="FF000000"/>
        <rFont val="Calibri"/>
      </rPr>
      <t xml:space="preserve">
</t>
    </r>
    <r>
      <rPr>
        <sz val="11"/>
        <color rgb="FF000000"/>
        <rFont val="Calibri"/>
      </rPr>
      <t>ip-10-0-150-1 root root)</t>
    </r>
    <r>
      <rPr>
        <sz val="11"/>
        <color rgb="FF000000"/>
        <rFont val="Calibri"/>
      </rPr>
      <t xml:space="preserve">
</t>
    </r>
    <r>
      <rPr>
        <sz val="11"/>
        <color rgb="FF000000"/>
        <rFont val="Calibri"/>
      </rPr>
      <t>If "root" is not returned as the owner, this is a finding.</t>
    </r>
    <r>
      <rPr>
        <sz val="11"/>
        <color rgb="FF000000"/>
        <rFont val="Calibri"/>
      </rPr>
      <t xml:space="preserve">
</t>
    </r>
    <r>
      <rPr>
        <sz val="11"/>
        <color rgb="FF000000"/>
        <rFont val="Calibri"/>
      </rPr>
      <t>If "root" is not returned as the group owner, this is a finding.</t>
    </r>
  </si>
  <si>
    <t>V-257533</t>
  </si>
  <si>
    <r>
      <rPr>
        <sz val="11"/>
        <rFont val="Calibri"/>
      </rPr>
      <t>OpenShift must protect audit information from unauthorized modification.</t>
    </r>
  </si>
  <si>
    <r>
      <rPr>
        <sz val="11"/>
        <color rgb="FF000000"/>
        <rFont val="Calibri"/>
      </rPr>
      <t>Apply the machine config to prevent unauthorized changes by executing the following:</t>
    </r>
    <r>
      <rPr>
        <sz val="11"/>
        <color rgb="FF000000"/>
        <rFont val="Calibri"/>
      </rPr>
      <t xml:space="preserve">
</t>
    </r>
    <r>
      <rPr>
        <sz val="11"/>
        <color rgb="FF000000"/>
        <rFont val="Calibri"/>
      </rPr>
      <t>for mcpool in $(oc get mcp -oname | sed "s:.*/::" ); do</t>
    </r>
    <r>
      <rPr>
        <sz val="11"/>
        <color rgb="FF000000"/>
        <rFont val="Calibri"/>
      </rPr>
      <t xml:space="preserve">
</t>
    </r>
    <r>
      <rPr>
        <sz val="11"/>
        <color rgb="FF000000"/>
        <rFont val="Calibri"/>
      </rPr>
      <t>echo "apiVersion: machineconfiguration.openshift.io/v1</t>
    </r>
    <r>
      <rPr>
        <sz val="11"/>
        <color rgb="FF000000"/>
        <rFont val="Calibri"/>
      </rPr>
      <t xml:space="preserve">
</t>
    </r>
    <r>
      <rPr>
        <sz val="11"/>
        <color rgb="FF000000"/>
        <rFont val="Calibri"/>
      </rPr>
      <t>kind: MachineConfig</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90-immutable-rules-$mcpool</t>
    </r>
    <r>
      <rPr>
        <sz val="11"/>
        <color rgb="FF000000"/>
        <rFont val="Calibri"/>
      </rPr>
      <t xml:space="preserve">
</t>
    </r>
    <r>
      <rPr>
        <sz val="11"/>
        <color rgb="FF000000"/>
        <rFont val="Calibri"/>
      </rPr>
      <t xml:space="preserve">  labels:</t>
    </r>
    <r>
      <rPr>
        <sz val="11"/>
        <color rgb="FF000000"/>
        <rFont val="Calibri"/>
      </rPr>
      <t xml:space="preserve">
</t>
    </r>
    <r>
      <rPr>
        <sz val="11"/>
        <color rgb="FF000000"/>
        <rFont val="Calibri"/>
      </rPr>
      <t xml:space="preserve">    machineconfiguration.openshift.io/role: $mcpool</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config:</t>
    </r>
    <r>
      <rPr>
        <sz val="11"/>
        <color rgb="FF000000"/>
        <rFont val="Calibri"/>
      </rPr>
      <t xml:space="preserve">
</t>
    </r>
    <r>
      <rPr>
        <sz val="11"/>
        <color rgb="FF000000"/>
        <rFont val="Calibri"/>
      </rPr>
      <t xml:space="preserve">    ignition:</t>
    </r>
    <r>
      <rPr>
        <sz val="11"/>
        <color rgb="FF000000"/>
        <rFont val="Calibri"/>
      </rPr>
      <t xml:space="preserve">
</t>
    </r>
    <r>
      <rPr>
        <sz val="11"/>
        <color rgb="FF000000"/>
        <rFont val="Calibri"/>
      </rPr>
      <t xml:space="preserve">      version: 3.1.0</t>
    </r>
    <r>
      <rPr>
        <sz val="11"/>
        <color rgb="FF000000"/>
        <rFont val="Calibri"/>
      </rPr>
      <t xml:space="preserve">
</t>
    </r>
    <r>
      <rPr>
        <sz val="11"/>
        <color rgb="FF000000"/>
        <rFont val="Calibri"/>
      </rPr>
      <t xml:space="preserve">    storage:</t>
    </r>
    <r>
      <rPr>
        <sz val="11"/>
        <color rgb="FF000000"/>
        <rFont val="Calibri"/>
      </rPr>
      <t xml:space="preserve">
</t>
    </r>
    <r>
      <rPr>
        <sz val="11"/>
        <color rgb="FF000000"/>
        <rFont val="Calibri"/>
      </rPr>
      <t xml:space="preserve">      files:</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data:,-e%202%0A</t>
    </r>
    <r>
      <rPr>
        <sz val="11"/>
        <color rgb="FF000000"/>
        <rFont val="Calibri"/>
      </rPr>
      <t xml:space="preserve">
</t>
    </r>
    <r>
      <rPr>
        <sz val="11"/>
        <color rgb="FF000000"/>
        <rFont val="Calibri"/>
      </rPr>
      <t xml:space="preserve">        mode: 0600</t>
    </r>
    <r>
      <rPr>
        <sz val="11"/>
        <color rgb="FF000000"/>
        <rFont val="Calibri"/>
      </rPr>
      <t xml:space="preserve">
</t>
    </r>
    <r>
      <rPr>
        <sz val="11"/>
        <color rgb="FF000000"/>
        <rFont val="Calibri"/>
      </rPr>
      <t xml:space="preserve">        path: /etc/audit/rules.d/90-immutable.rules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 oc apply -f -</t>
    </r>
    <r>
      <rPr>
        <sz val="11"/>
        <color rgb="FF000000"/>
        <rFont val="Calibri"/>
      </rPr>
      <t xml:space="preserve">
</t>
    </r>
    <r>
      <rPr>
        <sz val="11"/>
        <color rgb="FF000000"/>
        <rFont val="Calibri"/>
      </rPr>
      <t>done</t>
    </r>
  </si>
  <si>
    <r>
      <rPr>
        <sz val="11"/>
        <color rgb="FF000000"/>
        <rFont val="Calibri"/>
      </rPr>
      <t>If audit data were to become compromised, then competent forensic analysis and discovery of the true source of potentially malicious system activity is difficult if not impossible to achieve. In addition, access to audit records provides information an attacker could potentially use to his or her advantage.</t>
    </r>
    <r>
      <rPr>
        <sz val="11"/>
        <color rgb="FF000000"/>
        <rFont val="Calibri"/>
      </rPr>
      <t xml:space="preserve">
</t>
    </r>
    <r>
      <rPr>
        <sz val="11"/>
        <color rgb="FF000000"/>
        <rFont val="Calibri"/>
      </rPr>
      <t>To ensure the veracity of audit data, the information system and/or the application must protect audit information from all unauthorized access. This includes read, write, and copy access.</t>
    </r>
    <r>
      <rPr>
        <sz val="11"/>
        <color rgb="FF000000"/>
        <rFont val="Calibri"/>
      </rPr>
      <t xml:space="preserve">
</t>
    </r>
    <r>
      <rPr>
        <sz val="11"/>
        <color rgb="FF000000"/>
        <rFont val="Calibri"/>
      </rPr>
      <t>This requirement can be achieved through multiple methods, which will depend upon system architecture and design. Commonly employed methods for protecting audit information include least privilege permissions as well as restricting the location and number of log file repositories.</t>
    </r>
    <r>
      <rPr>
        <sz val="11"/>
        <color rgb="FF000000"/>
        <rFont val="Calibri"/>
      </rPr>
      <t xml:space="preserve">
</t>
    </r>
    <r>
      <rPr>
        <sz val="11"/>
        <color rgb="FF000000"/>
        <rFont val="Calibri"/>
      </rPr>
      <t>Additionally, applications with user interfaces to audit records must not allow for the unfettered manipulation of or access to those records via the application. If the application provides access to the audit data, the application becomes accountable for ensuring audit information is protected from unauthorized access.</t>
    </r>
    <r>
      <rPr>
        <sz val="11"/>
        <color rgb="FF000000"/>
        <rFont val="Calibri"/>
      </rPr>
      <t xml:space="preserve">
</t>
    </r>
    <r>
      <rPr>
        <sz val="11"/>
        <color rgb="FF000000"/>
        <rFont val="Calibri"/>
      </rPr>
      <t>Audit information includes all information (e.g., audit records, audit settings, and audit reports) needed to successfully audit information system activity.</t>
    </r>
    <r>
      <rPr>
        <sz val="11"/>
        <color rgb="FF000000"/>
        <rFont val="Calibri"/>
      </rPr>
      <t xml:space="preserve">
</t>
    </r>
    <r>
      <rPr>
        <sz val="11"/>
        <color rgb="FF000000"/>
        <rFont val="Calibri"/>
      </rPr>
      <t>Satisfies: SRG-APP-000119-CTR-000245, SRG-APP-000120-CTR-000250</t>
    </r>
  </si>
  <si>
    <r>
      <rPr>
        <sz val="11"/>
        <color rgb="FF000000"/>
        <rFont val="Calibri"/>
      </rPr>
      <t>Verify the audit system prevents unauthorized changes by executing the following command:</t>
    </r>
    <r>
      <rPr>
        <sz val="11"/>
        <color rgb="FF000000"/>
        <rFont val="Calibri"/>
      </rPr>
      <t xml:space="preserve">
</t>
    </r>
    <r>
      <rPr>
        <sz val="11"/>
        <color rgb="FF000000"/>
        <rFont val="Calibri"/>
      </rPr>
      <t>for node in $(oc get node -oname); do oc debug $node -- chroot /host /bin/bash -c 'echo -n ""$HOSTNAME ""; grep "^\-e\s2\s*$" /etc/audit/audit.rules /etc/audit/rules.d/*  || echo "not found"' 2&gt;/dev/null; done</t>
    </r>
    <r>
      <rPr>
        <sz val="11"/>
        <color rgb="FF000000"/>
        <rFont val="Calibri"/>
      </rPr>
      <t xml:space="preserve">
</t>
    </r>
    <r>
      <rPr>
        <sz val="11"/>
        <color rgb="FF000000"/>
        <rFont val="Calibri"/>
      </rPr>
      <t>If the check returns "not found", the audit system is not set to be immutable by adding the ""-e 2"" option to the ""/etc/audit/audit.rules"", this is a finding.</t>
    </r>
  </si>
  <si>
    <t>V-257534</t>
  </si>
  <si>
    <r>
      <rPr>
        <sz val="11"/>
        <rFont val="Calibri"/>
      </rPr>
      <t>OpenShift must prevent unauthorized changes to logon UIDs.</t>
    </r>
  </si>
  <si>
    <r>
      <rPr>
        <sz val="11"/>
        <color rgb="FF000000"/>
        <rFont val="Calibri"/>
      </rPr>
      <t>Apply the machine config to prevent changes to logon UIDs by executing the following:</t>
    </r>
    <r>
      <rPr>
        <sz val="11"/>
        <color rgb="FF000000"/>
        <rFont val="Calibri"/>
      </rPr>
      <t xml:space="preserve">
</t>
    </r>
    <r>
      <rPr>
        <sz val="11"/>
        <color rgb="FF000000"/>
        <rFont val="Calibri"/>
      </rPr>
      <t>for mcpool in $(oc get mcp -oname | sed "s:.*/::" ); do</t>
    </r>
    <r>
      <rPr>
        <sz val="11"/>
        <color rgb="FF000000"/>
        <rFont val="Calibri"/>
      </rPr>
      <t xml:space="preserve">
</t>
    </r>
    <r>
      <rPr>
        <sz val="11"/>
        <color rgb="FF000000"/>
        <rFont val="Calibri"/>
      </rPr>
      <t xml:space="preserve"> echo "apiVersion: machineconfiguration.openshift.io/v1</t>
    </r>
    <r>
      <rPr>
        <sz val="11"/>
        <color rgb="FF000000"/>
        <rFont val="Calibri"/>
      </rPr>
      <t xml:space="preserve">
</t>
    </r>
    <r>
      <rPr>
        <sz val="11"/>
        <color rgb="FF000000"/>
        <rFont val="Calibri"/>
      </rPr>
      <t>kind: MachineConfig</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11-loginuid-rules-$mcpool</t>
    </r>
    <r>
      <rPr>
        <sz val="11"/>
        <color rgb="FF000000"/>
        <rFont val="Calibri"/>
      </rPr>
      <t xml:space="preserve">
</t>
    </r>
    <r>
      <rPr>
        <sz val="11"/>
        <color rgb="FF000000"/>
        <rFont val="Calibri"/>
      </rPr>
      <t xml:space="preserve">  labels:</t>
    </r>
    <r>
      <rPr>
        <sz val="11"/>
        <color rgb="FF000000"/>
        <rFont val="Calibri"/>
      </rPr>
      <t xml:space="preserve">
</t>
    </r>
    <r>
      <rPr>
        <sz val="11"/>
        <color rgb="FF000000"/>
        <rFont val="Calibri"/>
      </rPr>
      <t xml:space="preserve">    machineconfiguration.openshift.io/role: $mcpool</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config:</t>
    </r>
    <r>
      <rPr>
        <sz val="11"/>
        <color rgb="FF000000"/>
        <rFont val="Calibri"/>
      </rPr>
      <t xml:space="preserve">
</t>
    </r>
    <r>
      <rPr>
        <sz val="11"/>
        <color rgb="FF000000"/>
        <rFont val="Calibri"/>
      </rPr>
      <t xml:space="preserve">    ignition:</t>
    </r>
    <r>
      <rPr>
        <sz val="11"/>
        <color rgb="FF000000"/>
        <rFont val="Calibri"/>
      </rPr>
      <t xml:space="preserve">
</t>
    </r>
    <r>
      <rPr>
        <sz val="11"/>
        <color rgb="FF000000"/>
        <rFont val="Calibri"/>
      </rPr>
      <t xml:space="preserve">      version: 3.1.0</t>
    </r>
    <r>
      <rPr>
        <sz val="11"/>
        <color rgb="FF000000"/>
        <rFont val="Calibri"/>
      </rPr>
      <t xml:space="preserve">
</t>
    </r>
    <r>
      <rPr>
        <sz val="11"/>
        <color rgb="FF000000"/>
        <rFont val="Calibri"/>
      </rPr>
      <t xml:space="preserve">    storage:</t>
    </r>
    <r>
      <rPr>
        <sz val="11"/>
        <color rgb="FF000000"/>
        <rFont val="Calibri"/>
      </rPr>
      <t xml:space="preserve">
</t>
    </r>
    <r>
      <rPr>
        <sz val="11"/>
        <color rgb="FF000000"/>
        <rFont val="Calibri"/>
      </rPr>
      <t xml:space="preserve">      files:</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data:,%23%23%20Make%20the%20loginuid%20immutable.%20This%20prevents%20tampering%20with%20the%20auid.%0A--loginuid-immutable%0A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/etc/audit/rules.d/11-loginuid.rules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 oc apply -f -</t>
    </r>
    <r>
      <rPr>
        <sz val="11"/>
        <color rgb="FF000000"/>
        <rFont val="Calibri"/>
      </rPr>
      <t xml:space="preserve">
</t>
    </r>
    <r>
      <rPr>
        <sz val="11"/>
        <color rgb="FF000000"/>
        <rFont val="Calibri"/>
      </rPr>
      <t>done</t>
    </r>
  </si>
  <si>
    <r>
      <rPr>
        <sz val="11"/>
        <color rgb="FF000000"/>
        <rFont val="Calibri"/>
      </rPr>
      <t>Logon UIDs are used to uniquely identify and authenticate users within the system. By preventing unauthorized changes to logon UIDs, OpenShift ensures that user identities remain consistent and accurate. This helps maintain the integrity of user accounts and ensures that users can be properly authenticated and authorized for their respective resources and actions.</t>
    </r>
    <r>
      <rPr>
        <sz val="11"/>
        <color rgb="FF000000"/>
        <rFont val="Calibri"/>
      </rPr>
      <t xml:space="preserve">
</t>
    </r>
    <r>
      <rPr>
        <sz val="11"/>
        <color rgb="FF000000"/>
        <rFont val="Calibri"/>
      </rPr>
      <t>User accounts and associated logon UIDs are important for security monitoring, auditing, and accountability purposes. By preventing unauthorized changes to logon UIDs, OpenShift ensures that actions performed by users can be accurately traced and attributed to the correct user account. This helps with incident investigation, compliance requirements, and maintaining overall system security.</t>
    </r>
  </si>
  <si>
    <r>
      <rPr>
        <sz val="11"/>
        <color rgb="FF000000"/>
        <rFont val="Calibri"/>
      </rPr>
      <t>Verify the audit system prevents unauthorized changes to logon UIDs by executing the following:</t>
    </r>
    <r>
      <rPr>
        <sz val="11"/>
        <color rgb="FF000000"/>
        <rFont val="Calibri"/>
      </rPr>
      <t xml:space="preserve">
</t>
    </r>
    <r>
      <rPr>
        <sz val="11"/>
        <color rgb="FF000000"/>
        <rFont val="Calibri"/>
      </rPr>
      <t>for node in $(oc get node -oname); do oc debug $node -- chroot /host /bin/bash -c 'echo -n "$HOSTNAME "; grep -i immutable /etc/audit/audit.rules || echo "not found"' 2&gt;/dev/null; done</t>
    </r>
    <r>
      <rPr>
        <sz val="11"/>
        <color rgb="FF000000"/>
        <rFont val="Calibri"/>
      </rPr>
      <t xml:space="preserve">
</t>
    </r>
    <r>
      <rPr>
        <sz val="11"/>
        <color rgb="FF000000"/>
        <rFont val="Calibri"/>
      </rPr>
      <t>If the login UIDs are not set to be immutable by adding the "--loginuid-immutable" option to the "/etc/audit/audit.rules", this is a finding.</t>
    </r>
  </si>
  <si>
    <t>V-257535</t>
  </si>
  <si>
    <r>
      <rPr>
        <sz val="11"/>
        <rFont val="Calibri"/>
      </rPr>
      <t>OpenShift must protect audit tools from unauthorized access.</t>
    </r>
  </si>
  <si>
    <r>
      <rPr>
        <sz val="11"/>
        <color rgb="FF000000"/>
        <rFont val="Calibri"/>
      </rPr>
      <t>Remove view permissions from any unauthorized user or group by performing one or more of the following commands.</t>
    </r>
    <r>
      <rPr>
        <sz val="11"/>
        <color rgb="FF000000"/>
        <rFont val="Calibri"/>
      </rPr>
      <t xml:space="preserve">
</t>
    </r>
    <r>
      <rPr>
        <sz val="11"/>
        <color rgb="FF000000"/>
        <rFont val="Calibri"/>
      </rPr>
      <t>Remove role from user by executing the following:</t>
    </r>
    <r>
      <rPr>
        <sz val="11"/>
        <color rgb="FF000000"/>
        <rFont val="Calibri"/>
      </rPr>
      <t xml:space="preserve">
</t>
    </r>
    <r>
      <rPr>
        <sz val="11"/>
        <color rgb="FF000000"/>
        <rFont val="Calibri"/>
      </rPr>
      <t>oc adm policy remove-role-from-user &lt;ROLE&gt; &lt;USER&gt; -n openshift-logging</t>
    </r>
    <r>
      <rPr>
        <sz val="11"/>
        <color rgb="FF000000"/>
        <rFont val="Calibri"/>
      </rPr>
      <t xml:space="preserve">
</t>
    </r>
    <r>
      <rPr>
        <sz val="11"/>
        <color rgb="FF000000"/>
        <rFont val="Calibri"/>
      </rPr>
      <t>Remove role from group by executing the following:</t>
    </r>
    <r>
      <rPr>
        <sz val="11"/>
        <color rgb="FF000000"/>
        <rFont val="Calibri"/>
      </rPr>
      <t xml:space="preserve">
</t>
    </r>
    <r>
      <rPr>
        <sz val="11"/>
        <color rgb="FF000000"/>
        <rFont val="Calibri"/>
      </rPr>
      <t>oc adm policy remove-role-from-group &lt;ROLE&gt; &lt;GROUP&gt; -n openshift-logging</t>
    </r>
    <r>
      <rPr>
        <sz val="11"/>
        <color rgb="FF000000"/>
        <rFont val="Calibri"/>
      </rPr>
      <t xml:space="preserve">
</t>
    </r>
    <r>
      <rPr>
        <sz val="11"/>
        <color rgb="FF000000"/>
        <rFont val="Calibri"/>
      </rPr>
      <t>Remove cluster role from user by executing the following:</t>
    </r>
    <r>
      <rPr>
        <sz val="11"/>
        <color rgb="FF000000"/>
        <rFont val="Calibri"/>
      </rPr>
      <t xml:space="preserve">
</t>
    </r>
    <r>
      <rPr>
        <sz val="11"/>
        <color rgb="FF000000"/>
        <rFont val="Calibri"/>
      </rPr>
      <t>oc adm policy remove-cluster-role-from-user &lt;CLUSTER_ROLE&gt; &lt;USER&gt; -n openshift-logging</t>
    </r>
    <r>
      <rPr>
        <sz val="11"/>
        <color rgb="FF000000"/>
        <rFont val="Calibri"/>
      </rPr>
      <t xml:space="preserve">
</t>
    </r>
    <r>
      <rPr>
        <sz val="11"/>
        <color rgb="FF000000"/>
        <rFont val="Calibri"/>
      </rPr>
      <t>Remove cluster role from group by executing the following:</t>
    </r>
    <r>
      <rPr>
        <sz val="11"/>
        <color rgb="FF000000"/>
        <rFont val="Calibri"/>
      </rPr>
      <t xml:space="preserve">
</t>
    </r>
    <r>
      <rPr>
        <sz val="11"/>
        <color rgb="FF000000"/>
        <rFont val="Calibri"/>
      </rPr>
      <t>oc adm policy remove-cluster-role-from-group &lt;CLUSTER_ROLE&gt; &lt;GROUP&gt; -n openshift-logging</t>
    </r>
    <r>
      <rPr>
        <sz val="11"/>
        <color rgb="FF000000"/>
        <rFont val="Calibri"/>
      </rPr>
      <t xml:space="preserve">
</t>
    </r>
    <r>
      <rPr>
        <sz val="11"/>
        <color rgb="FF000000"/>
        <rFont val="Calibri"/>
      </rPr>
      <t>Note: ROLE/CLUSTER_ROLE is the role granting user view permission to resources in openshift-logging namespace.</t>
    </r>
  </si>
  <si>
    <r>
      <rPr>
        <sz val="11"/>
        <color rgb="FF000000"/>
        <rFont val="Calibri"/>
      </rPr>
      <t>Protecting audit data also includes identifying and protecting the tools used to view and manipulate log data. Therefore, protecting audit tools is necessary to prevent unauthorized operation on audit data.</t>
    </r>
    <r>
      <rPr>
        <sz val="11"/>
        <color rgb="FF000000"/>
        <rFont val="Calibri"/>
      </rPr>
      <t xml:space="preserve">
</t>
    </r>
    <r>
      <rPr>
        <sz val="11"/>
        <color rgb="FF000000"/>
        <rFont val="Calibri"/>
      </rPr>
      <t>Applications providing tools to interface with audit data will leverage user permissions and roles identifying the user accessing the tools and the corresponding rights the user enjoys in order to make access decisions regarding the access to audit tools.</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r>
      <rPr>
        <sz val="11"/>
        <color rgb="FF000000"/>
        <rFont val="Calibri"/>
      </rPr>
      <t xml:space="preserve">
</t>
    </r>
    <r>
      <rPr>
        <sz val="11"/>
        <color rgb="FF000000"/>
        <rFont val="Calibri"/>
      </rPr>
      <t>Satisfies: SRG-APP-000121-CTR-000255, SRG-APP-000122-CTR-000260, SRG-APP-000123-CTR-000265</t>
    </r>
  </si>
  <si>
    <r>
      <rPr>
        <sz val="11"/>
        <color rgb="FF000000"/>
        <rFont val="Calibri"/>
      </rPr>
      <t>List the users and groups who have permission to view the cluster logging configuration by executing the following two commands:</t>
    </r>
    <r>
      <rPr>
        <sz val="11"/>
        <color rgb="FF000000"/>
        <rFont val="Calibri"/>
      </rPr>
      <t xml:space="preserve">
</t>
    </r>
    <r>
      <rPr>
        <sz val="11"/>
        <color rgb="FF000000"/>
        <rFont val="Calibri"/>
      </rPr>
      <t>oc policy who-can view ClusterLogging -n openshift-logging</t>
    </r>
    <r>
      <rPr>
        <sz val="11"/>
        <color rgb="FF000000"/>
        <rFont val="Calibri"/>
      </rPr>
      <t xml:space="preserve">
</t>
    </r>
    <r>
      <rPr>
        <sz val="11"/>
        <color rgb="FF000000"/>
        <rFont val="Calibri"/>
      </rPr>
      <t>oc policy who-can view ClusterLoggingForwarder -n openshift-logging</t>
    </r>
    <r>
      <rPr>
        <sz val="11"/>
        <color rgb="FF000000"/>
        <rFont val="Calibri"/>
      </rPr>
      <t xml:space="preserve">
</t>
    </r>
    <r>
      <rPr>
        <sz val="11"/>
        <color rgb="FF000000"/>
        <rFont val="Calibri"/>
      </rPr>
      <t>Review the list of users and groups who have view access to the cluster logging resources. If any user or group listed must not have access to view the cluster logging resources, this is a finding.</t>
    </r>
  </si>
  <si>
    <t>V-257536</t>
  </si>
  <si>
    <r>
      <rPr>
        <sz val="11"/>
        <rFont val="Calibri"/>
      </rPr>
      <t>OpenShift must use FIPS-validated cryptographic mechanisms to protect the integrity of log information.</t>
    </r>
  </si>
  <si>
    <r>
      <rPr>
        <sz val="11"/>
        <color rgb="FF000000"/>
        <rFont val="Calibri"/>
      </rPr>
      <t>Edit the Cluster Log Forwarder configuration to configure TLS on the transport by executing the following:</t>
    </r>
    <r>
      <rPr>
        <sz val="11"/>
        <color rgb="FF000000"/>
        <rFont val="Calibri"/>
      </rPr>
      <t xml:space="preserve">
</t>
    </r>
    <r>
      <rPr>
        <sz val="11"/>
        <color rgb="FF000000"/>
        <rFont val="Calibri"/>
      </rPr>
      <t>oc edit clusterlogforwarder &lt;name&gt; -n openshift-logging</t>
    </r>
    <r>
      <rPr>
        <sz val="11"/>
        <color rgb="FF000000"/>
        <rFont val="Calibri"/>
      </rPr>
      <t xml:space="preserve">
</t>
    </r>
    <r>
      <rPr>
        <sz val="11"/>
        <color rgb="FF000000"/>
        <rFont val="Calibri"/>
      </rPr>
      <t>For any output-&gt;url value that is not using a secure transport, edit the url to use a secure (https:// or tls://) transport.</t>
    </r>
    <r>
      <rPr>
        <sz val="11"/>
        <color rgb="FF000000"/>
        <rFont val="Calibri"/>
      </rPr>
      <t xml:space="preserve">
</t>
    </r>
    <r>
      <rPr>
        <sz val="11"/>
        <color rgb="FF000000"/>
        <rFont val="Calibri"/>
      </rPr>
      <t>For detailed information regarding configuration of the Cluster Log Forwarder, refer to https://docs.openshift.com/container-platform/4.8/logging/cluster-logging-external.html.</t>
    </r>
  </si>
  <si>
    <r>
      <rPr>
        <sz val="11"/>
        <color rgb="FF000000"/>
        <rFont val="Calibri"/>
      </rPr>
      <t xml:space="preserve">To fully investigate an incident and to have trust in the audit data that is generated, it is important to put in place data protections. Without integrity protections, unauthorized changes may be made to the audit files and reliable forensic analysis and discovery of the source of malicious system activity may be degraded. Although digital signatures are one example of protecting integrity, this control is not intended to cause a new cryptographic hash to be generated every time a record is added to a log file. </t>
    </r>
    <r>
      <rPr>
        <sz val="11"/>
        <color rgb="FF000000"/>
        <rFont val="Calibri"/>
      </rPr>
      <t xml:space="preserve">
</t>
    </r>
    <r>
      <rPr>
        <sz val="11"/>
        <color rgb="FF000000"/>
        <rFont val="Calibri"/>
      </rPr>
      <t>Integrity protections can also be implemented by using cryptographic techniques for security function isolation and file system protections to protect against unauthorized changes.</t>
    </r>
  </si>
  <si>
    <r>
      <rPr>
        <sz val="11"/>
        <color rgb="FF000000"/>
        <rFont val="Calibri"/>
      </rPr>
      <t>Verify the Cluster Log Forwarder is using an encrypted transport by executing the following:</t>
    </r>
    <r>
      <rPr>
        <sz val="11"/>
        <color rgb="FF000000"/>
        <rFont val="Calibri"/>
      </rPr>
      <t xml:space="preserve">
</t>
    </r>
    <r>
      <rPr>
        <sz val="11"/>
        <color rgb="FF000000"/>
        <rFont val="Calibri"/>
      </rPr>
      <t>oc get clusterlogforwarder -n openshift-logging</t>
    </r>
    <r>
      <rPr>
        <sz val="11"/>
        <color rgb="FF000000"/>
        <rFont val="Calibri"/>
      </rPr>
      <t xml:space="preserve">
</t>
    </r>
    <r>
      <rPr>
        <sz val="11"/>
        <color rgb="FF000000"/>
        <rFont val="Calibri"/>
      </rPr>
      <t>For each Cluster Log Forwarder, run the following command to display the configuration.</t>
    </r>
    <r>
      <rPr>
        <sz val="11"/>
        <color rgb="FF000000"/>
        <rFont val="Calibri"/>
      </rPr>
      <t xml:space="preserve">
</t>
    </r>
    <r>
      <rPr>
        <sz val="11"/>
        <color rgb="FF000000"/>
        <rFont val="Calibri"/>
      </rPr>
      <t>oc describe clusterlogforwarder &lt;name&gt; -n openshift-logging</t>
    </r>
    <r>
      <rPr>
        <sz val="11"/>
        <color rgb="FF000000"/>
        <rFont val="Calibri"/>
      </rPr>
      <t xml:space="preserve">
</t>
    </r>
    <r>
      <rPr>
        <sz val="11"/>
        <color rgb="FF000000"/>
        <rFont val="Calibri"/>
      </rPr>
      <t>Review the configuration and determine if the transport is secure, such as tls:// or https://. If there are any transports configured that are not secured by TLS, this is a finding.</t>
    </r>
  </si>
  <si>
    <t>V-257537</t>
  </si>
  <si>
    <r>
      <rPr>
        <sz val="11"/>
        <rFont val="Calibri"/>
      </rPr>
      <t>OpenShift must verify container images.</t>
    </r>
  </si>
  <si>
    <r>
      <rPr>
        <sz val="11"/>
        <color rgb="FF000000"/>
        <rFont val="Calibri"/>
      </rPr>
      <t>Configure the OpenShift Container policy to validate that image signatures are verified and enforced by executing the following:</t>
    </r>
    <r>
      <rPr>
        <sz val="11"/>
        <color rgb="FF000000"/>
        <rFont val="Calibri"/>
      </rPr>
      <t xml:space="preserve">
</t>
    </r>
    <r>
      <rPr>
        <sz val="11"/>
        <color rgb="FF000000"/>
        <rFont val="Calibri"/>
      </rPr>
      <t>Note: This can be configured manually or through the use of the MachineConfig Operator published by Red Hat.</t>
    </r>
    <r>
      <rPr>
        <sz val="11"/>
        <color rgb="FF000000"/>
        <rFont val="Calibri"/>
      </rPr>
      <t xml:space="preserve">
</t>
    </r>
    <r>
      <rPr>
        <sz val="11"/>
        <color rgb="FF000000"/>
        <rFont val="Calibri"/>
      </rPr>
      <t>for mcpool in $(oc get mcp -oname | sed "s:.*/::" ); do</t>
    </r>
    <r>
      <rPr>
        <sz val="11"/>
        <color rgb="FF000000"/>
        <rFont val="Calibri"/>
      </rPr>
      <t xml:space="preserve">
</t>
    </r>
    <r>
      <rPr>
        <sz val="11"/>
        <color rgb="FF000000"/>
        <rFont val="Calibri"/>
      </rPr>
      <t>echo "apiVersion: machineconfiguration.openshift.io/v1</t>
    </r>
    <r>
      <rPr>
        <sz val="11"/>
        <color rgb="FF000000"/>
        <rFont val="Calibri"/>
      </rPr>
      <t xml:space="preserve">
</t>
    </r>
    <r>
      <rPr>
        <sz val="11"/>
        <color rgb="FF000000"/>
        <rFont val="Calibri"/>
      </rPr>
      <t>kind: MachineConfig</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labels:</t>
    </r>
    <r>
      <rPr>
        <sz val="11"/>
        <color rgb="FF000000"/>
        <rFont val="Calibri"/>
      </rPr>
      <t xml:space="preserve">
</t>
    </r>
    <r>
      <rPr>
        <sz val="11"/>
        <color rgb="FF000000"/>
        <rFont val="Calibri"/>
      </rPr>
      <t xml:space="preserve">    machineconfiguration.openshift.io/role: $mcpool</t>
    </r>
    <r>
      <rPr>
        <sz val="11"/>
        <color rgb="FF000000"/>
        <rFont val="Calibri"/>
      </rPr>
      <t xml:space="preserve">
</t>
    </r>
    <r>
      <rPr>
        <sz val="11"/>
        <color rgb="FF000000"/>
        <rFont val="Calibri"/>
      </rPr>
      <t xml:space="preserve">  name: 51-rh-registry-trust-$mcpool</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config:</t>
    </r>
    <r>
      <rPr>
        <sz val="11"/>
        <color rgb="FF000000"/>
        <rFont val="Calibri"/>
      </rPr>
      <t xml:space="preserve">
</t>
    </r>
    <r>
      <rPr>
        <sz val="11"/>
        <color rgb="FF000000"/>
        <rFont val="Calibri"/>
      </rPr>
      <t xml:space="preserve">    ignition:</t>
    </r>
    <r>
      <rPr>
        <sz val="11"/>
        <color rgb="FF000000"/>
        <rFont val="Calibri"/>
      </rPr>
      <t xml:space="preserve">
</t>
    </r>
    <r>
      <rPr>
        <sz val="11"/>
        <color rgb="FF000000"/>
        <rFont val="Calibri"/>
      </rPr>
      <t xml:space="preserve">      version: 3.2.0</t>
    </r>
    <r>
      <rPr>
        <sz val="11"/>
        <color rgb="FF000000"/>
        <rFont val="Calibri"/>
      </rPr>
      <t xml:space="preserve">
</t>
    </r>
    <r>
      <rPr>
        <sz val="11"/>
        <color rgb="FF000000"/>
        <rFont val="Calibri"/>
      </rPr>
      <t xml:space="preserve">    storage:</t>
    </r>
    <r>
      <rPr>
        <sz val="11"/>
        <color rgb="FF000000"/>
        <rFont val="Calibri"/>
      </rPr>
      <t xml:space="preserve">
</t>
    </r>
    <r>
      <rPr>
        <sz val="11"/>
        <color rgb="FF000000"/>
        <rFont val="Calibri"/>
      </rPr>
      <t xml:space="preserve">      files:</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data:text/plain;charset=utf-8;base64,LS0tCmRvY2tlcjoKICByZWdpc3RyeS5hY2Nlc3MucmVkaGF0LmNvbToKICAgIHNpZ3N0b3JlOiBodHRwczovL2FjY2Vzcy5yZWRoYXQuY29tL3dlYmFzc2V0cy9kb2NrZXIvY29udGVudC9zaWdzdG9yZQo=</t>
    </r>
    <r>
      <rPr>
        <sz val="11"/>
        <color rgb="FF000000"/>
        <rFont val="Calibri"/>
      </rPr>
      <t xml:space="preserve">
</t>
    </r>
    <r>
      <rPr>
        <sz val="11"/>
        <color rgb="FF000000"/>
        <rFont val="Calibri"/>
      </rPr>
      <t xml:space="preserve">          verification: {}</t>
    </r>
    <r>
      <rPr>
        <sz val="11"/>
        <color rgb="FF000000"/>
        <rFont val="Calibri"/>
      </rPr>
      <t xml:space="preserve">
</t>
    </r>
    <r>
      <rPr>
        <sz val="11"/>
        <color rgb="FF000000"/>
        <rFont val="Calibri"/>
      </rPr>
      <t xml:space="preserve">        filesystem: root</t>
    </r>
    <r>
      <rPr>
        <sz val="11"/>
        <color rgb="FF000000"/>
        <rFont val="Calibri"/>
      </rPr>
      <t xml:space="preserve">
</t>
    </r>
    <r>
      <rPr>
        <sz val="11"/>
        <color rgb="FF000000"/>
        <rFont val="Calibri"/>
      </rPr>
      <t xml:space="preserve">        mode: 420</t>
    </r>
    <r>
      <rPr>
        <sz val="11"/>
        <color rgb="FF000000"/>
        <rFont val="Calibri"/>
      </rPr>
      <t xml:space="preserve">
</t>
    </r>
    <r>
      <rPr>
        <sz val="11"/>
        <color rgb="FF000000"/>
        <rFont val="Calibri"/>
      </rPr>
      <t xml:space="preserve">        path: /etc/containers/registries.d/registry.access.redhat.com.yaml</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data:text/plain;charset=utf-8;base64,LS0tCmRvY2tlcjoKICByZWdpc3RyeS5yZWRoYXQuaW86CiAgICBzaWdzdG9yZTogaHR0cHM6Ly9yZWdpc3RyeS5yZWRoYXQuaW8vY29udGFpbmVycy9zaWdzdG9yZQo=</t>
    </r>
    <r>
      <rPr>
        <sz val="11"/>
        <color rgb="FF000000"/>
        <rFont val="Calibri"/>
      </rPr>
      <t xml:space="preserve">
</t>
    </r>
    <r>
      <rPr>
        <sz val="11"/>
        <color rgb="FF000000"/>
        <rFont val="Calibri"/>
      </rPr>
      <t xml:space="preserve">          verification: {}</t>
    </r>
    <r>
      <rPr>
        <sz val="11"/>
        <color rgb="FF000000"/>
        <rFont val="Calibri"/>
      </rPr>
      <t xml:space="preserve">
</t>
    </r>
    <r>
      <rPr>
        <sz val="11"/>
        <color rgb="FF000000"/>
        <rFont val="Calibri"/>
      </rPr>
      <t xml:space="preserve">        filesystem: root</t>
    </r>
    <r>
      <rPr>
        <sz val="11"/>
        <color rgb="FF000000"/>
        <rFont val="Calibri"/>
      </rPr>
      <t xml:space="preserve">
</t>
    </r>
    <r>
      <rPr>
        <sz val="11"/>
        <color rgb="FF000000"/>
        <rFont val="Calibri"/>
      </rPr>
      <t xml:space="preserve">        mode: 420</t>
    </r>
    <r>
      <rPr>
        <sz val="11"/>
        <color rgb="FF000000"/>
        <rFont val="Calibri"/>
      </rPr>
      <t xml:space="preserve">
</t>
    </r>
    <r>
      <rPr>
        <sz val="11"/>
        <color rgb="FF000000"/>
        <rFont val="Calibri"/>
      </rPr>
      <t xml:space="preserve">        path: /etc/containers/registries.d/registry.redhat.io.yaml</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text/plain;charset=utf-8;base64,ewogICJkZWZhdWx0IjogW3sidHlwZSI6ICJyZWplY3QifV0sCiAgInRyYW5zcG9ydHMiOiB7CiAgICAiZG9ja2VyIjogewogICAgICAicmVnaXN0cnkuYWNjZXNzLnJlZGhhdC5jb20iOiBbCiAgICAgICAgewogICAgICAgICAgInR5cGUiOiAic2lnbmVkQnkiLAogICAgICAgICAgImtleVR5cGUiOiAiR1BHS2V5cyIsCiAgICAgICAgICAia2V5UGF0aCI6ICIvZXRjL3BraS9ycG0tZ3BnL1JQTS1HUEctS0VZLXJlZGhhdC1yZWxlYXNlIgogICAgICAgIH0KICAgICAgXSwKICAgICAgInJlZ2lzdHJ5LnJlZGhhdC5pbyI6IFsKICAgICAgICB7CiAgICAgICAgICAidHlwZSI6ICJzaWduZWRCeSIsCiAgICAgICAgICAia2V5VHlwZSI6ICJHUEdLZXlzIiwKICAgICAgICAgICJrZXlQYXRoIjogIi9ldGMvcGtpL3JwbS1ncGcvUlBNLUdQRy1LRVktcmVkaGF0LXJlbGVhc2UiCiAgICAgICAgfQogICAgICBdLAogICAgICAiaW1hZ2UtcmVnaXN0cnkub3BlbnNoaWZ0LWltYWdlLXJlZ2lzdHJ5LnN2Yzo1MDAwIjogW3sidHlwZSI6ICJpbnNlY3VyZUFjY2VwdEFueXRoaW5nIn1dLAogICAgICAicXVheS5pby9jb21wbGlhbmNlYXNjb2RlIjogW3sidHlwZSI6ICJpbnNlY3VyZUFjY2VwdEFueXRoaW5nIn1dLAogICAgICAicXVheS5pby9jb21wbGlhbmNlLW9wZXJhdG9yIjogW3sidHlwZSI6ICJpbnNlY3VyZUFjY2VwdEFueXRoaW5nIn1dLAogICAgICAicXVheS5pby9rZXljbG9hayI6IFt7InR5cGUiOiAiaW5zZWN1cmVBY2NlcHRBbnl0aGluZyJ9XSwKICAgICAgInF1YXkuaW8vb3BlbnNoaWZ0LXJlbGVhc2UtZGV2IjogW3sidHlwZSI6ICJpbnNlY3VyZUFjY2VwdEFueXRoaW5nIn1dLAogICAgICAicmVnaXN0cnkuYnVpbGQwMi5jaS5vcGVuc2hpZnQub3JnIjogW3sidHlwZSI6ICJpbnNlY3VyZUFjY2VwdEFueXRoaW5nIn1dLAogICAgICAicmVnaXN0cnkuYnVpbGQwMS5jaS5vcGVuc2hpZnQub3JnIjogW3sidHlwZSI6ICJpbnNlY3VyZUFjY2VwdEFueXRoaW5nIn1dCiAgICB9CiAgfQp9Cg==</t>
    </r>
    <r>
      <rPr>
        <sz val="11"/>
        <color rgb="FF000000"/>
        <rFont val="Calibri"/>
      </rPr>
      <t xml:space="preserve">
</t>
    </r>
    <r>
      <rPr>
        <sz val="11"/>
        <color rgb="FF000000"/>
        <rFont val="Calibri"/>
      </rPr>
      <t xml:space="preserve">          verification: {}</t>
    </r>
    <r>
      <rPr>
        <sz val="11"/>
        <color rgb="FF000000"/>
        <rFont val="Calibri"/>
      </rPr>
      <t xml:space="preserve">
</t>
    </r>
    <r>
      <rPr>
        <sz val="11"/>
        <color rgb="FF000000"/>
        <rFont val="Calibri"/>
      </rPr>
      <t xml:space="preserve">        filesystem: root</t>
    </r>
    <r>
      <rPr>
        <sz val="11"/>
        <color rgb="FF000000"/>
        <rFont val="Calibri"/>
      </rPr>
      <t xml:space="preserve">
</t>
    </r>
    <r>
      <rPr>
        <sz val="11"/>
        <color rgb="FF000000"/>
        <rFont val="Calibri"/>
      </rPr>
      <t xml:space="preserve">        mode: 420</t>
    </r>
    <r>
      <rPr>
        <sz val="11"/>
        <color rgb="FF000000"/>
        <rFont val="Calibri"/>
      </rPr>
      <t xml:space="preserve">
</t>
    </r>
    <r>
      <rPr>
        <sz val="11"/>
        <color rgb="FF000000"/>
        <rFont val="Calibri"/>
      </rPr>
      <t xml:space="preserve">        path: /etc/containers/policy.json</t>
    </r>
    <r>
      <rPr>
        <sz val="11"/>
        <color rgb="FF000000"/>
        <rFont val="Calibri"/>
      </rPr>
      <t xml:space="preserve">
</t>
    </r>
    <r>
      <rPr>
        <sz val="11"/>
        <color rgb="FF000000"/>
        <rFont val="Calibri"/>
      </rPr>
      <t>" | oc apply -f -</t>
    </r>
    <r>
      <rPr>
        <sz val="11"/>
        <color rgb="FF000000"/>
        <rFont val="Calibri"/>
      </rPr>
      <t xml:space="preserve">
</t>
    </r>
    <r>
      <rPr>
        <sz val="11"/>
        <color rgb="FF000000"/>
        <rFont val="Calibri"/>
      </rPr>
      <t>done</t>
    </r>
  </si>
  <si>
    <r>
      <rPr>
        <sz val="11"/>
        <color rgb="FF000000"/>
        <rFont val="Calibri"/>
      </rPr>
      <t>The container platform must be capable of validating that container images are signed and that the digital signature is from a recognized and source approved by the organization. Allowing any container image to be introduced into the registry and instantiated into a container can allow for services to be introduced that are not trusted and may contain malicious code, which introduces unwanted services. These unwanted services can cause harm and security risks to the hosting server, the container platform, other services running within the container platform, and the overall organization.</t>
    </r>
  </si>
  <si>
    <r>
      <rPr>
        <sz val="11"/>
        <color rgb="FF000000"/>
        <rFont val="Calibri"/>
      </rPr>
      <t>Determine if a policy has been put in place by running the following command:</t>
    </r>
    <r>
      <rPr>
        <sz val="11"/>
        <color rgb="FF000000"/>
        <rFont val="Calibri"/>
      </rPr>
      <t xml:space="preserve">
</t>
    </r>
    <r>
      <rPr>
        <sz val="11"/>
        <color rgb="FF000000"/>
        <rFont val="Calibri"/>
      </rPr>
      <t>for node in $(oc get node -oname); do oc debug $node -- chroot /host /bin/bash -c 'echo -n "$HOSTNAME "; cat /etc/containers/policy.json' 2&gt;/dev/null; done</t>
    </r>
    <r>
      <rPr>
        <sz val="11"/>
        <color rgb="FF000000"/>
        <rFont val="Calibri"/>
      </rPr>
      <t xml:space="preserve">
</t>
    </r>
    <r>
      <rPr>
        <sz val="11"/>
        <color rgb="FF000000"/>
        <rFont val="Calibri"/>
      </rPr>
      <t>If the policy is not set to "reject" by default, or the signature keys are not configure appropriately on the registries, this is a finding.</t>
    </r>
    <r>
      <rPr>
        <sz val="11"/>
        <color rgb="FF000000"/>
        <rFont val="Calibri"/>
      </rPr>
      <t xml:space="preserve">
</t>
    </r>
    <r>
      <rPr>
        <sz val="11"/>
        <color rgb="FF000000"/>
        <rFont val="Calibri"/>
      </rPr>
      <t>The following is an example of how this will look on a system using Red Hat's public registries:</t>
    </r>
    <r>
      <rPr>
        <sz val="11"/>
        <color rgb="FF000000"/>
        <rFont val="Calibri"/>
      </rPr>
      <t xml:space="preserve">
</t>
    </r>
    <r>
      <rPr>
        <sz val="11"/>
        <color rgb="FF000000"/>
        <rFont val="Calibri"/>
      </rPr>
      <t xml:space="preserve">  &lt;pre&gt;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"default": [{"type": "reject"}],</t>
    </r>
    <r>
      <rPr>
        <sz val="11"/>
        <color rgb="FF000000"/>
        <rFont val="Calibri"/>
      </rPr>
      <t xml:space="preserve">
</t>
    </r>
    <r>
      <rPr>
        <sz val="11"/>
        <color rgb="FF000000"/>
        <rFont val="Calibri"/>
      </rPr>
      <t xml:space="preserve">  "transports": {</t>
    </r>
    <r>
      <rPr>
        <sz val="11"/>
        <color rgb="FF000000"/>
        <rFont val="Calibri"/>
      </rPr>
      <t xml:space="preserve">
</t>
    </r>
    <r>
      <rPr>
        <sz val="11"/>
        <color rgb="FF000000"/>
        <rFont val="Calibri"/>
      </rPr>
      <t xml:space="preserve">    "docker": {</t>
    </r>
    <r>
      <rPr>
        <sz val="11"/>
        <color rgb="FF000000"/>
        <rFont val="Calibri"/>
      </rPr>
      <t xml:space="preserve">
</t>
    </r>
    <r>
      <rPr>
        <sz val="11"/>
        <color rgb="FF000000"/>
        <rFont val="Calibri"/>
      </rPr>
      <t xml:space="preserve">      "registry.access.redhat.com":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"type": "signedBy",</t>
    </r>
    <r>
      <rPr>
        <sz val="11"/>
        <color rgb="FF000000"/>
        <rFont val="Calibri"/>
      </rPr>
      <t xml:space="preserve">
</t>
    </r>
    <r>
      <rPr>
        <sz val="11"/>
        <color rgb="FF000000"/>
        <rFont val="Calibri"/>
      </rPr>
      <t xml:space="preserve">          "keyType": "GPGKeys",</t>
    </r>
    <r>
      <rPr>
        <sz val="11"/>
        <color rgb="FF000000"/>
        <rFont val="Calibri"/>
      </rPr>
      <t xml:space="preserve">
</t>
    </r>
    <r>
      <rPr>
        <sz val="11"/>
        <color rgb="FF000000"/>
        <rFont val="Calibri"/>
      </rPr>
      <t xml:space="preserve">          "keyPath": "/etc/pki/rpm-gpg/RPM-GPG-KEY-redhat-release"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"registry.redhat.io":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"type": "signedBy",</t>
    </r>
    <r>
      <rPr>
        <sz val="11"/>
        <color rgb="FF000000"/>
        <rFont val="Calibri"/>
      </rPr>
      <t xml:space="preserve">
</t>
    </r>
    <r>
      <rPr>
        <sz val="11"/>
        <color rgb="FF000000"/>
        <rFont val="Calibri"/>
      </rPr>
      <t xml:space="preserve">          "keyType": "GPGKeys",</t>
    </r>
    <r>
      <rPr>
        <sz val="11"/>
        <color rgb="FF000000"/>
        <rFont val="Calibri"/>
      </rPr>
      <t xml:space="preserve">
</t>
    </r>
    <r>
      <rPr>
        <sz val="11"/>
        <color rgb="FF000000"/>
        <rFont val="Calibri"/>
      </rPr>
      <t xml:space="preserve">          "keyPath": "/etc/pki/rpm-gpg/RPM-GPG-KEY-redhat-release"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</si>
  <si>
    <t>V-257538</t>
  </si>
  <si>
    <r>
      <rPr>
        <sz val="11"/>
        <rFont val="Calibri"/>
      </rPr>
      <t>OpenShift must contain only container images for those capabilities being offered by the container platform.</t>
    </r>
  </si>
  <si>
    <r>
      <rPr>
        <sz val="11"/>
        <color rgb="FF000000"/>
        <rFont val="Calibri"/>
      </rPr>
      <t>Remove any images from the container registry that are not required for the functionality of the system by executing the following:</t>
    </r>
    <r>
      <rPr>
        <sz val="11"/>
        <color rgb="FF000000"/>
        <rFont val="Calibri"/>
      </rPr>
      <t xml:space="preserve">
</t>
    </r>
    <r>
      <rPr>
        <sz val="11"/>
        <color rgb="FF000000"/>
        <rFont val="Calibri"/>
      </rPr>
      <t>oc delete image &lt;IMAGE_NAME&gt; -n &lt;IMAGE_NAMESPACE&gt;</t>
    </r>
  </si>
  <si>
    <r>
      <rPr>
        <sz val="11"/>
        <color rgb="FF000000"/>
        <rFont val="Calibri"/>
      </rPr>
      <t>Allowing container images to reside within the container platform registry that are not essential to the capabilities being offered by the container platform becomes a potential security risk. By allowing these nonessential container images to exist, the possibility for accidental instantiation exists. The images may be unpatched, not supported, or offer nonapproved capabilities. Those images for customer services are considered essential capabilities.</t>
    </r>
  </si>
  <si>
    <r>
      <rPr>
        <sz val="11"/>
        <color rgb="FF000000"/>
        <rFont val="Calibri"/>
      </rPr>
      <t>To review the container images within the container platform registry, execute the following:</t>
    </r>
    <r>
      <rPr>
        <sz val="11"/>
        <color rgb="FF000000"/>
        <rFont val="Calibri"/>
      </rPr>
      <t xml:space="preserve">
</t>
    </r>
    <r>
      <rPr>
        <sz val="11"/>
        <color rgb="FF000000"/>
        <rFont val="Calibri"/>
      </rPr>
      <t>oc get images</t>
    </r>
    <r>
      <rPr>
        <sz val="11"/>
        <color rgb="FF000000"/>
        <rFont val="Calibri"/>
      </rPr>
      <t xml:space="preserve">
</t>
    </r>
    <r>
      <rPr>
        <sz val="11"/>
        <color rgb="FF000000"/>
        <rFont val="Calibri"/>
      </rPr>
      <t>Review the container platform container images to validate that only container images necessary for the functionality of the information system are present. If unnecessary container images exist, this is a finding.</t>
    </r>
  </si>
  <si>
    <t>V-257539</t>
  </si>
  <si>
    <r>
      <rPr>
        <sz val="11"/>
        <rFont val="Calibri"/>
      </rPr>
      <t>OpenShift runtime must enforce ports, protocols, and services that adhere to the PPSM CAL.</t>
    </r>
  </si>
  <si>
    <r>
      <rPr>
        <sz val="11"/>
        <color rgb="FF000000"/>
        <rFont val="Calibri"/>
      </rPr>
      <t>Verify the accreditation documentation lists all interfaces and the ports, protocols, and services used.</t>
    </r>
    <r>
      <rPr>
        <sz val="11"/>
        <color rgb="FF000000"/>
        <rFont val="Calibri"/>
      </rPr>
      <t xml:space="preserve">
</t>
    </r>
    <r>
      <rPr>
        <sz val="11"/>
        <color rgb="FF000000"/>
        <rFont val="Calibri"/>
      </rPr>
      <t>Register OpenShift's ports, protocols, and services with PPSM.</t>
    </r>
  </si>
  <si>
    <r>
      <rPr>
        <sz val="11"/>
        <color rgb="FF000000"/>
        <rFont val="Calibri"/>
      </rPr>
      <t xml:space="preserve">OpenShift Container Platform uses several IPV4 and IPV6 ports and protocols to facilitate cluster communication and coordination. Not all these ports are identified and approved by the PPSM CAL. Those ports, protocols, and services that fall outside the PPSM CAL must be blocked by the runtime or registered. </t>
    </r>
    <r>
      <rPr>
        <sz val="11"/>
        <color rgb="FF000000"/>
        <rFont val="Calibri"/>
      </rPr>
      <t xml:space="preserve">
</t>
    </r>
    <r>
      <rPr>
        <sz val="11"/>
        <color rgb="FF000000"/>
        <rFont val="Calibri"/>
      </rPr>
      <t>Instructions on the PPSM can be found in DOD Instruction 8551.01 Policy.</t>
    </r>
  </si>
  <si>
    <r>
      <rPr>
        <sz val="11"/>
        <color rgb="FF000000"/>
        <rFont val="Calibri"/>
      </rPr>
      <t>Review the OpenShift documentation and configuration.</t>
    </r>
    <r>
      <rPr>
        <sz val="11"/>
        <color rgb="FF000000"/>
        <rFont val="Calibri"/>
      </rPr>
      <t xml:space="preserve">
</t>
    </r>
    <r>
      <rPr>
        <sz val="11"/>
        <color rgb="FF000000"/>
        <rFont val="Calibri"/>
      </rPr>
      <t>For additional information, refer to https://docs.openshift.com/container-platform/4.12/installing/installing_platform_agnostic/installing-platform-agnostic.html.</t>
    </r>
    <r>
      <rPr>
        <sz val="11"/>
        <color rgb="FF000000"/>
        <rFont val="Calibri"/>
      </rPr>
      <t xml:space="preserve">
</t>
    </r>
    <r>
      <rPr>
        <sz val="11"/>
        <color rgb="FF000000"/>
        <rFont val="Calibri"/>
      </rPr>
      <t>1. Interview the application administrator.</t>
    </r>
    <r>
      <rPr>
        <sz val="11"/>
        <color rgb="FF000000"/>
        <rFont val="Calibri"/>
      </rPr>
      <t xml:space="preserve">
</t>
    </r>
    <r>
      <rPr>
        <sz val="11"/>
        <color rgb="FF000000"/>
        <rFont val="Calibri"/>
      </rPr>
      <t>2. Identify the TCP/IP port numbers OpenShift is configured to use and is utilizing by using a combination of relevant OS commands and application configuration utilities.</t>
    </r>
    <r>
      <rPr>
        <sz val="11"/>
        <color rgb="FF000000"/>
        <rFont val="Calibri"/>
      </rPr>
      <t xml:space="preserve">
</t>
    </r>
    <r>
      <rPr>
        <sz val="11"/>
        <color rgb="FF000000"/>
        <rFont val="Calibri"/>
      </rPr>
      <t>3. Identify the network ports and protocols that are used by kube-apiserver by executing the following:</t>
    </r>
    <r>
      <rPr>
        <sz val="11"/>
        <color rgb="FF000000"/>
        <rFont val="Calibri"/>
      </rPr>
      <t xml:space="preserve">
</t>
    </r>
    <r>
      <rPr>
        <sz val="11"/>
        <color rgb="FF000000"/>
        <rFont val="Calibri"/>
      </rPr>
      <t>oc get configmap kube-apiserver-pod -n openshift-kube-apiserver -o "jsonpath={ .data['pod\.yaml'] }" | jq '..|.containerPort?' | grep -v "null"</t>
    </r>
    <r>
      <rPr>
        <sz val="11"/>
        <color rgb="FF000000"/>
        <rFont val="Calibri"/>
      </rPr>
      <t xml:space="preserve">
</t>
    </r>
    <r>
      <rPr>
        <sz val="11"/>
        <color rgb="FF000000"/>
        <rFont val="Calibri"/>
      </rPr>
      <t>oc get configmap kube-apiserver-pod -n openshift-kube-apiserver -o "jsonpath={ .data['pod\.yaml'] }" | jq '..|.hostPort?' | grep -v "null"</t>
    </r>
    <r>
      <rPr>
        <sz val="11"/>
        <color rgb="FF000000"/>
        <rFont val="Calibri"/>
      </rPr>
      <t xml:space="preserve">
</t>
    </r>
    <r>
      <rPr>
        <sz val="11"/>
        <color rgb="FF000000"/>
        <rFont val="Calibri"/>
      </rPr>
      <t>oc get services -A --show-labels | grep apiserver | awk '{print $6,$8}' | grep apiserver</t>
    </r>
    <r>
      <rPr>
        <sz val="11"/>
        <color rgb="FF000000"/>
        <rFont val="Calibri"/>
      </rPr>
      <t xml:space="preserve">
</t>
    </r>
    <r>
      <rPr>
        <sz val="11"/>
        <color rgb="FF000000"/>
        <rFont val="Calibri"/>
      </rPr>
      <t>4. Identify the network ports and protocols used by kube-scheduler by executing the following:</t>
    </r>
    <r>
      <rPr>
        <sz val="11"/>
        <color rgb="FF000000"/>
        <rFont val="Calibri"/>
      </rPr>
      <t xml:space="preserve">
</t>
    </r>
    <r>
      <rPr>
        <sz val="11"/>
        <color rgb="FF000000"/>
        <rFont val="Calibri"/>
      </rPr>
      <t>oc get configmap kube-scheduler-pod -n openshift-kube-scheduler -o "jsonpath={ .data['pod\.yaml'] }" | jq '..|.containerPort?' | grep -v "null"</t>
    </r>
    <r>
      <rPr>
        <sz val="11"/>
        <color rgb="FF000000"/>
        <rFont val="Calibri"/>
      </rPr>
      <t xml:space="preserve">
</t>
    </r>
    <r>
      <rPr>
        <sz val="11"/>
        <color rgb="FF000000"/>
        <rFont val="Calibri"/>
      </rPr>
      <t>oc get services -A --show-labels | grep scheduler | awk '{print $6,$8}' | grep scheduler</t>
    </r>
    <r>
      <rPr>
        <sz val="11"/>
        <color rgb="FF000000"/>
        <rFont val="Calibri"/>
      </rPr>
      <t xml:space="preserve">
</t>
    </r>
    <r>
      <rPr>
        <sz val="11"/>
        <color rgb="FF000000"/>
        <rFont val="Calibri"/>
      </rPr>
      <t>5. Identify the network ports and protocols used by kube-controller-manager by executing the following:</t>
    </r>
    <r>
      <rPr>
        <sz val="11"/>
        <color rgb="FF000000"/>
        <rFont val="Calibri"/>
      </rPr>
      <t xml:space="preserve">
</t>
    </r>
    <r>
      <rPr>
        <sz val="11"/>
        <color rgb="FF000000"/>
        <rFont val="Calibri"/>
      </rPr>
      <t>oc get configmap kube-controller-manager-pod -n openshift-kube-controller-manager -o "jsonpath={ .data['pod\.yaml'] }" | jq '..|.containerPort?' | grep -v "null"</t>
    </r>
    <r>
      <rPr>
        <sz val="11"/>
        <color rgb="FF000000"/>
        <rFont val="Calibri"/>
      </rPr>
      <t xml:space="preserve">
</t>
    </r>
    <r>
      <rPr>
        <sz val="11"/>
        <color rgb="FF000000"/>
        <rFont val="Calibri"/>
      </rPr>
      <t>oc get services -A --show-labels | grep kube-controller</t>
    </r>
    <r>
      <rPr>
        <sz val="11"/>
        <color rgb="FF000000"/>
        <rFont val="Calibri"/>
      </rPr>
      <t xml:space="preserve">
</t>
    </r>
    <r>
      <rPr>
        <sz val="11"/>
        <color rgb="FF000000"/>
        <rFont val="Calibri"/>
      </rPr>
      <t>6. Identify the network ports and protocols used by etcd by executing the following:</t>
    </r>
    <r>
      <rPr>
        <sz val="11"/>
        <color rgb="FF000000"/>
        <rFont val="Calibri"/>
      </rPr>
      <t xml:space="preserve">
</t>
    </r>
    <r>
      <rPr>
        <sz val="11"/>
        <color rgb="FF000000"/>
        <rFont val="Calibri"/>
      </rPr>
      <t>oc get configmap etcd-pod -n openshift-etcd -o "jsonpath={ .data['pod\.yaml'] }" | grep -Po '[0-9]{1,3}\.[0-9]{1,3}\.[0-9]{1,3}\.[0-9]{1,3}:[0-9]+' | sort -u</t>
    </r>
    <r>
      <rPr>
        <sz val="11"/>
        <color rgb="FF000000"/>
        <rFont val="Calibri"/>
      </rPr>
      <t xml:space="preserve">
</t>
    </r>
    <r>
      <rPr>
        <sz val="11"/>
        <color rgb="FF000000"/>
        <rFont val="Calibri"/>
      </rPr>
      <t>Review the PPSM web page at: http://www.disa.mil/Network-Services/Enterprise-Connections/PPSM.</t>
    </r>
    <r>
      <rPr>
        <sz val="11"/>
        <color rgb="FF000000"/>
        <rFont val="Calibri"/>
      </rPr>
      <t xml:space="preserve">
</t>
    </r>
    <r>
      <rPr>
        <sz val="11"/>
        <color rgb="FF000000"/>
        <rFont val="Calibri"/>
      </rPr>
      <t>Review the PPSM Category Assurance List (CAL) directly at the following link: https://disa.deps.mil/ext/cop/iase/ppsm/Pages/cal.aspx.</t>
    </r>
    <r>
      <rPr>
        <sz val="11"/>
        <color rgb="FF000000"/>
        <rFont val="Calibri"/>
      </rPr>
      <t xml:space="preserve">
</t>
    </r>
    <r>
      <rPr>
        <sz val="11"/>
        <color rgb="FF000000"/>
        <rFont val="Calibri"/>
      </rPr>
      <t>Verify the ports used by the OpenShift are approved by the PPSM CAL.</t>
    </r>
    <r>
      <rPr>
        <sz val="11"/>
        <color rgb="FF000000"/>
        <rFont val="Calibri"/>
      </rPr>
      <t xml:space="preserve">
</t>
    </r>
    <r>
      <rPr>
        <sz val="11"/>
        <color rgb="FF000000"/>
        <rFont val="Calibri"/>
      </rPr>
      <t>If the ports, protocols, and services have not been registered locally, this is a finding.</t>
    </r>
  </si>
  <si>
    <t>V-257540</t>
  </si>
  <si>
    <r>
      <rPr>
        <sz val="11"/>
        <rFont val="Calibri"/>
      </rPr>
      <t>OpenShift must disable root and terminate network connections.</t>
    </r>
  </si>
  <si>
    <r>
      <rPr>
        <sz val="11"/>
        <color rgb="FF000000"/>
        <rFont val="Calibri"/>
      </rPr>
      <t>Apply the machine config that disables root and terminates network connections by executing the following:</t>
    </r>
    <r>
      <rPr>
        <sz val="11"/>
        <color rgb="FF000000"/>
        <rFont val="Calibri"/>
      </rPr>
      <t xml:space="preserve">
</t>
    </r>
    <r>
      <rPr>
        <sz val="11"/>
        <color rgb="FF000000"/>
        <rFont val="Calibri"/>
      </rPr>
      <t>for mcpool in $(oc get mcp -oname | sed "s:.*/::" ); do</t>
    </r>
    <r>
      <rPr>
        <sz val="11"/>
        <color rgb="FF000000"/>
        <rFont val="Calibri"/>
      </rPr>
      <t xml:space="preserve">
</t>
    </r>
    <r>
      <rPr>
        <sz val="11"/>
        <color rgb="FF000000"/>
        <rFont val="Calibri"/>
      </rPr>
      <t>echo "apiVersion: machineconfiguration.openshift.io/v1</t>
    </r>
    <r>
      <rPr>
        <sz val="11"/>
        <color rgb="FF000000"/>
        <rFont val="Calibri"/>
      </rPr>
      <t xml:space="preserve">
</t>
    </r>
    <r>
      <rPr>
        <sz val="11"/>
        <color rgb="FF000000"/>
        <rFont val="Calibri"/>
      </rPr>
      <t>kind: MachineConfig</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50-sshd-config-$mcpool</t>
    </r>
    <r>
      <rPr>
        <sz val="11"/>
        <color rgb="FF000000"/>
        <rFont val="Calibri"/>
      </rPr>
      <t xml:space="preserve">
</t>
    </r>
    <r>
      <rPr>
        <sz val="11"/>
        <color rgb="FF000000"/>
        <rFont val="Calibri"/>
      </rPr>
      <t xml:space="preserve">  labels:</t>
    </r>
    <r>
      <rPr>
        <sz val="11"/>
        <color rgb="FF000000"/>
        <rFont val="Calibri"/>
      </rPr>
      <t xml:space="preserve">
</t>
    </r>
    <r>
      <rPr>
        <sz val="11"/>
        <color rgb="FF000000"/>
        <rFont val="Calibri"/>
      </rPr>
      <t xml:space="preserve">    machineconfiguration.openshift.io/role: $mcpool</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config:</t>
    </r>
    <r>
      <rPr>
        <sz val="11"/>
        <color rgb="FF000000"/>
        <rFont val="Calibri"/>
      </rPr>
      <t xml:space="preserve">
</t>
    </r>
    <r>
      <rPr>
        <sz val="11"/>
        <color rgb="FF000000"/>
        <rFont val="Calibri"/>
      </rPr>
      <t xml:space="preserve">     ignition:</t>
    </r>
    <r>
      <rPr>
        <sz val="11"/>
        <color rgb="FF000000"/>
        <rFont val="Calibri"/>
      </rPr>
      <t xml:space="preserve">
</t>
    </r>
    <r>
      <rPr>
        <sz val="11"/>
        <color rgb="FF000000"/>
        <rFont val="Calibri"/>
      </rPr>
      <t xml:space="preserve">       version: 3.1.0</t>
    </r>
    <r>
      <rPr>
        <sz val="11"/>
        <color rgb="FF000000"/>
        <rFont val="Calibri"/>
      </rPr>
      <t xml:space="preserve">
</t>
    </r>
    <r>
      <rPr>
        <sz val="11"/>
        <color rgb="FF000000"/>
        <rFont val="Calibri"/>
      </rPr>
      <t xml:space="preserve">     storage:</t>
    </r>
    <r>
      <rPr>
        <sz val="11"/>
        <color rgb="FF000000"/>
        <rFont val="Calibri"/>
      </rPr>
      <t xml:space="preserve">
</t>
    </r>
    <r>
      <rPr>
        <sz val="11"/>
        <color rgb="FF000000"/>
        <rFont val="Calibri"/>
      </rPr>
      <t xml:space="preserve">       files:</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0A%23%09$OpenBSD:%20sshd_config%2Cv%201.103%202018%2F04%2F09%2020:41:22%20tj%20Exp%20$%0A%0A%23%20This%20is%20the%20sshd%20server%20system-wide%20configuration%20file.%20%20See%0A%23%20sshd_config%285%29%20for%20more%20information.%0A%0A%23%20This%20sshd%20was%20compiled%20with%20PATH=%2Fusr%2Flocal%2Fbin:%2Fusr%2Fbin:%2Fusr%2Flocal%2Fsbin:%2Fusr%2Fsbin%0A%0A%23%20The%20strategy%20used%20for%20options%20in%20the%20default%20sshd_config%20shipped%20with%0A%23%20OpenSSH%20is%20to%20specify%20options%20with%20their%20default%20value%20where%0A%23%20possible%2C%20but%20leave%20them%20commented.%20%20Uncommented%20options%20override%20the%0A%23%20default%20value.%0A%0A%23%20If%20you%20want%20to%20change%20the%20port%20on%20a%20SELinux%20system%2C%20you%20have%20to%20tell%0A%23%20SELinux%20about%20this%20change.%0A%23%20semanage%20port%20-a%20-t%20ssh_port_t%20-p%20tcp%20%23PORTNUMBER%0A%23%0A%23Port%2022%0A%23AddressFamily%20any%0A%23ListenAddress%200.0.0.0%0A%23ListenAddress%20::%0A%0AHostKey%20%2Fetc%2Fssh%2Fssh_host_rsa_key%0AHostKey%20%2Fetc%2Fssh%2Fssh_host_ecdsa_key%0AHostKey%20%2Fetc%2Fssh%2Fssh_host_ed25519_key%0A%0A%23%20Ciphers%20and%20keying%0ARekeyLimit%20512M%201h%0A%0A%23%20System-wide%20Crypto%20policy:%0A%23%20This%20system%20is%20following%20system-wide%20crypto%20policy.%20The%20changes%20to%0A%23%20Ciphers%2C%20MACs%2C%20KexAlgoritms%20and%20GSSAPIKexAlgorithsm%20will%20not%20have%20any%0A%23%20effect%20here.%20They%20will%20be%20overridden%20by%20command-line%20options%20passed%20on%0A%23%20the%20server%20start%20up.%0A%23%20To%20opt%20out%2C%20uncomment%20a%20line%20with%20redefinition%20of%20%20CRYPTO_POLICY=%0A%23%20variable%20in%20%20%2Fetc%2Fsysconfig%2Fsshd%20%20to%20overwrite%20the%20policy.%0A%23%20For%20more%20information%2C%20see%20manual%20page%20for%20update-crypto-policies%288%29.%0A%0A%23%20Logging%0A%23SyslogFacility%20AUTH%0ASyslogFacility%20AUTHPRIV%0A%23LogLevel%20INFO%0A%0A%23%20Authentication:%0A%0A%23LoginGraceTime%202m%0APermitRootLogin%20no%0AStrictModes%20yes%0A%23MaxAuthTries%206%0A%23MaxSessions%2010%0A%0APubkeyAuthentication%20yes%0A%0A%23%20The%20default%20is%20to%20check%20both%20.ssh%2Fauthorized_keys%20and%20.ssh%2Fauthorized_keys2%0A%23%20but%20this%20is%20overridden%20so%20installations%20will%20only%20check%20.ssh%2Fauthorized_keys%0AAuthorizedKeysFile%09.ssh%2Fauthorized_keys%0A%0A%23AuthorizedPrincipalsFile%20none%0A%0A%23AuthorizedKeysCommand%20none%0A%23AuthorizedKeysCommandUser%20nobody%0A%0A%23%20For%20this%20to%20work%20you%20will%20also%20need%20host%20keys%20in%20%2Fetc%2Fssh%2Fssh_known_hosts%0AHostbasedAuthentication%20no%0A%23%20Change%20to%20yes%20if%20you%20don%27t%20trust%20~%2F.ssh%2Fknown_hosts%20for%0A%23%20HostbasedAuthentication%0AIgnoreUserKnownHosts%20yes%0A%23%20Don%27t%20read%20the%20user%27s%20~%2F.rhosts%20and%20~%2F.shosts%20files%0AIgnoreRhosts%20yes%0A%0A%23%20To%20disable%20tunneled%20clear%20text%20passwords%2C%20change%20to%20no%20here%21%0A%23PasswordAuthentication%20yes%0APermitEmptyPasswords%20no%0APasswordAuthentication%20no%0A%0A%23%20Change%20to%20no%20to%20disable%20s%2Fkey%20passwords%0A%23ChallengeResponseAuthentication%20yes%0AChallengeResponseAuthentication%20no%0A%0A%23%20Kerberos%20options%0AKerberosAuthentication%20no%0A%23KerberosOrLocalPasswd%20yes%0A%23KerberosTicketCleanup%20yes%0A%23KerberosGetAFSToken%20no%0A%23KerberosUseKuserok%20yes%0A%0A%23%20GSSAPI%20options%0AGSSAPIAuthentication%20no%0AGSSAPICleanupCredentials%20no%0A%23GSSAPIStrictAcceptorCheck%20yes%0A%23GSSAPIKeyExchange%20no%0A%23GSSAPIEnablek5users%20no%0A%0A%23%20Set%20this%20to%20%27yes%27%20to%20enable%20PAM%20authentication%2C%20account%20processing%2C%0A%23%20and%20session%20processing.%20If%20this%20is%20enabled%2C%20PAM%20authentication%20will%0A%23%20be%20allowed%20through%20the%20ChallengeResponseAuthentication%20and%0A%23%20PasswordAuthentication.%20%20Depending%20on%20your%20PAM%20configuration%2C%0A%23%20PAM%20authentication%20via%20ChallengeResponseAuthentication%20may%20bypass%0A%23%20the%20setting%20of%20%22PermitRootLogin%20without-password%22.%0A%23%20If%20you%20just%20want%20the%20PAM%20account%20and%20session%20checks%20to%20run%20without%0A%23%20PAM%20authentication%2C%20then%20enable%20this%20but%20set%20PasswordAuthentication%0A%23%20and%20ChallengeResponseAuthentication%20to%20%27no%27.%0A%23%20WARNING:%20%27UsePAM%20no%27%20is%20not%20supported%20in%20Fedora%20and%20may%20cause%20several%0A%23%20problems.%0AUsePAM%20yes%0A%0A%23AllowAgentForwarding%20yes%0A%23AllowTcpForwarding%20yes%0A%23GatewayPorts%20no%0AX11Forwarding%20yes%0A%23X11DisplayOffset%2010%0A%23X11UseLocalhost%20yes%0A%23PermitTTY%20yes%0A%0A%23%20It%20is%20recommended%20to%20use%20pam_motd%20in%20%2Fetc%2Fpam.d%2Fsshd%20instead%20of%20PrintMotd%2C%0A%23%20as%20it%20is%20more%20configurable%20and%20versatile%20than%20the%20built-in%20version.%0APrintMotd%20no%0A%0APrintLastLog%20yes%0A%23TCPKeepAlive%20yes%0APermitUserEnvironment%20no%0ACompression%20no%0AClientAliveInterval%20600%0AClientAliveCountMax%200%0A%23UseDNS%20no%0A%23PidFile%20%2Fvar%2Frun%2Fsshd.pid%0A%23MaxStartups%2010:30:100%0A%23PermitTunnel%20no%0A%23ChrootDirectory%20none%0A%23V+G67ersionAddendum%20none%0A%0A%23%20no%20default%20banner%20path%0ABanner%20%2Fetc%2Fissue%0A%0A%23%20Accept%20locale-related%20environment%20variables%0AAcceptEnv%20LANG%20LC_CTYPE%20LC_NUMERIC%20LC_TIME%20LC_COLLATE%20LC_MONETARY%20LC_MESSAGES%0AAcceptEnv%20LC_PAPER%20LC_NAME%20LC_ADDRESS%20LC_TELEPHONE%20LC_MEASUREMENT%0AAcceptEnv%20LC_IDENTIFICATION%20LC_ALL%20LANGUAGE%0AAcceptEnv%20XMODIFIERS%0A%0A%23%20override%20default%20of%20no%20subsystems%0ASubsystem%09sftp%09%2Fusr%2Flibexec%2Fopenssh%2Fsftp-server%0A%0A%23%20Example%20of%20overriding%20settings%20on%20a%20per-user%20basis%0A%23Match%20User%20anoncvs%0A%23%09X11Forwarding%20no%0A%23%09AllowTcpForwarding%20no%0A%23%09PermitTTY%20no%0A%23%09ForceCommand%20cvs%20server%0A%0AUsePrivilegeSeparation%20sandbox</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path: /etc/ssh/sshd_config</t>
    </r>
    <r>
      <rPr>
        <sz val="11"/>
        <color rgb="FF000000"/>
        <rFont val="Calibri"/>
      </rPr>
      <t xml:space="preserve">
</t>
    </r>
    <r>
      <rPr>
        <sz val="11"/>
        <color rgb="FF000000"/>
        <rFont val="Calibri"/>
      </rPr>
      <t>" | oc apply -f -</t>
    </r>
    <r>
      <rPr>
        <sz val="11"/>
        <color rgb="FF000000"/>
        <rFont val="Calibri"/>
      </rPr>
      <t xml:space="preserve">
</t>
    </r>
    <r>
      <rPr>
        <sz val="11"/>
        <color rgb="FF000000"/>
        <rFont val="Calibri"/>
      </rPr>
      <t>done</t>
    </r>
    <r>
      <rPr>
        <sz val="11"/>
        <color rgb="FF000000"/>
        <rFont val="Calibri"/>
      </rPr>
      <t xml:space="preserve">
</t>
    </r>
    <r>
      <rPr>
        <sz val="11"/>
        <color rgb="FF000000"/>
        <rFont val="Calibri"/>
      </rPr>
      <t>Where OpenShift Virtualization is enabled on versions older than 4.18:</t>
    </r>
    <r>
      <rPr>
        <sz val="11"/>
        <color rgb="FF000000"/>
        <rFont val="Calibri"/>
      </rPr>
      <t xml:space="preserve">
</t>
    </r>
    <r>
      <rPr>
        <sz val="11"/>
        <color rgb="FF000000"/>
        <rFont val="Calibri"/>
      </rPr>
      <t>$ oc patch hyperconverged kubevirt-hyperconverged -n openshift-cnv</t>
    </r>
    <r>
      <rPr>
        <sz val="11"/>
        <color rgb="FF000000"/>
        <rFont val="Calibri"/>
      </rPr>
      <t xml:space="preserve">
</t>
    </r>
    <r>
      <rPr>
        <sz val="11"/>
        <color rgb="FF000000"/>
        <rFont val="Calibri"/>
      </rPr>
      <t>--type='json' -p='[</t>
    </r>
    <r>
      <rPr>
        <sz val="11"/>
        <color rgb="FF000000"/>
        <rFont val="Calibri"/>
      </rPr>
      <t xml:space="preserve">
</t>
    </r>
    <r>
      <rPr>
        <sz val="11"/>
        <color rgb="FF000000"/>
        <rFont val="Calibri"/>
      </rPr>
      <t>{"op": "replace", "path": "/spec/featureGates/nonRoot", "value":</t>
    </r>
    <r>
      <rPr>
        <sz val="11"/>
        <color rgb="FF000000"/>
        <rFont val="Calibri"/>
      </rPr>
      <t xml:space="preserve">
</t>
    </r>
    <r>
      <rPr>
        <sz val="11"/>
        <color rgb="FF000000"/>
        <rFont val="Calibri"/>
      </rPr>
      <t>true },</t>
    </r>
    <r>
      <rPr>
        <sz val="11"/>
        <color rgb="FF000000"/>
        <rFont val="Calibri"/>
      </rPr>
      <t xml:space="preserve">
</t>
    </r>
    <r>
      <rPr>
        <sz val="11"/>
        <color rgb="FF000000"/>
        <rFont val="Calibri"/>
      </rPr>
      <t>]'</t>
    </r>
  </si>
  <si>
    <r>
      <rPr>
        <sz val="11"/>
        <color rgb="FF000000"/>
        <rFont val="Calibri"/>
      </rPr>
      <t xml:space="preserve">Direct login as the "root" user must be disabled to prevent unrestricted access and control over the entire system. </t>
    </r>
    <r>
      <rPr>
        <sz val="11"/>
        <color rgb="FF000000"/>
        <rFont val="Calibri"/>
      </rPr>
      <t xml:space="preserve">
</t>
    </r>
    <r>
      <rPr>
        <sz val="11"/>
        <color rgb="FF000000"/>
        <rFont val="Calibri"/>
      </rPr>
      <t xml:space="preserve">Terminating an idle session within a short time reduces the window of opportunity for unauthorized personnel to take control of a management session enabled on the console or console port that has been left unattended. In addition, quickly terminating an idle session will also free up resources committed by the managed network element. </t>
    </r>
    <r>
      <rPr>
        <sz val="11"/>
        <color rgb="FF000000"/>
        <rFont val="Calibri"/>
      </rPr>
      <t xml:space="preserve">
</t>
    </r>
    <r>
      <rPr>
        <sz val="11"/>
        <color rgb="FF000000"/>
        <rFont val="Calibri"/>
      </rPr>
      <t>Terminating network connections associated with communications sessions includes, for example, de-allocating associated TCP/IP address/port pairs at the operating system level, or de-allocating networking assignments at the application level if multiple application sessions are using a single operating system level network connection. This does not mean that the application terminates all sessions or network access; it only ends the inactive session and releases the resources associated with that session.</t>
    </r>
    <r>
      <rPr>
        <sz val="11"/>
        <color rgb="FF000000"/>
        <rFont val="Calibri"/>
      </rPr>
      <t xml:space="preserve">
</t>
    </r>
    <r>
      <rPr>
        <sz val="11"/>
        <color rgb="FF000000"/>
        <rFont val="Calibri"/>
      </rPr>
      <t>Satisfies: SRG-APP-000148-CTR-000335, SRG-APP-000190-CTR-000500</t>
    </r>
  </si>
  <si>
    <r>
      <rPr>
        <sz val="11"/>
        <color rgb="FF000000"/>
        <rFont val="Calibri"/>
      </rPr>
      <t>Verify SSH is restricted from logging on as root and network connections are terminated.</t>
    </r>
    <r>
      <rPr>
        <sz val="11"/>
        <color rgb="FF000000"/>
        <rFont val="Calibri"/>
      </rPr>
      <t xml:space="preserve">
</t>
    </r>
    <r>
      <rPr>
        <sz val="11"/>
        <color rgb="FF000000"/>
        <rFont val="Calibri"/>
      </rPr>
      <t>Prevent logging on directly as "root" using SSH by executing the following command:</t>
    </r>
    <r>
      <rPr>
        <sz val="11"/>
        <color rgb="FF000000"/>
        <rFont val="Calibri"/>
      </rPr>
      <t xml:space="preserve">
</t>
    </r>
    <r>
      <rPr>
        <sz val="11"/>
        <color rgb="FF000000"/>
        <rFont val="Calibri"/>
      </rPr>
      <t xml:space="preserve"> for node in $(oc get node -oname); do oc debug $node -- chroot /host /bin/bash -c 'echo -n "$HOSTNAME "; grep -i PermitRootLogin /etc/ssh/sshd_config' 2&gt;/dev/null; done</t>
    </r>
    <r>
      <rPr>
        <sz val="11"/>
        <color rgb="FF000000"/>
        <rFont val="Calibri"/>
      </rPr>
      <t xml:space="preserve">
</t>
    </r>
    <r>
      <rPr>
        <sz val="11"/>
        <color rgb="FF000000"/>
        <rFont val="Calibri"/>
      </rPr>
      <t>If the "PermitRootLogin" keyword is set to "yes", is missing, or is commented out, this is a finding.</t>
    </r>
    <r>
      <rPr>
        <sz val="11"/>
        <color rgb="FF000000"/>
        <rFont val="Calibri"/>
      </rPr>
      <t xml:space="preserve">
</t>
    </r>
    <r>
      <rPr>
        <sz val="11"/>
        <color rgb="FF000000"/>
        <rFont val="Calibri"/>
      </rPr>
      <t>Verify all network connections associated with SSH traffic are automatically terminated at the end of the session or after 10 minutes of inactivity.</t>
    </r>
    <r>
      <rPr>
        <sz val="11"/>
        <color rgb="FF000000"/>
        <rFont val="Calibri"/>
      </rPr>
      <t xml:space="preserve">
</t>
    </r>
    <r>
      <rPr>
        <sz val="11"/>
        <color rgb="FF000000"/>
        <rFont val="Calibri"/>
      </rPr>
      <t>Check the "ClientAliveCountMax" and ClientAliveInterval by executing the following command:</t>
    </r>
    <r>
      <rPr>
        <sz val="11"/>
        <color rgb="FF000000"/>
        <rFont val="Calibri"/>
      </rPr>
      <t xml:space="preserve">
</t>
    </r>
    <r>
      <rPr>
        <sz val="11"/>
        <color rgb="FF000000"/>
        <rFont val="Calibri"/>
      </rPr>
      <t xml:space="preserve"> for node in $(oc get node -oname); do oc debug $node -- chroot /host /bin/bash -c 'echo -n "$HOSTNAME "; grep -i clientalive /etc/ssh/sshd_config</t>
    </r>
    <r>
      <rPr>
        <sz val="11"/>
        <color rgb="FF000000"/>
        <rFont val="Calibri"/>
      </rPr>
      <t xml:space="preserve">
</t>
    </r>
    <r>
      <rPr>
        <sz val="11"/>
        <color rgb="FF000000"/>
        <rFont val="Calibri"/>
      </rPr>
      <t>' 2&gt;/dev/null; done</t>
    </r>
    <r>
      <rPr>
        <sz val="11"/>
        <color rgb="FF000000"/>
        <rFont val="Calibri"/>
      </rPr>
      <t xml:space="preserve">
</t>
    </r>
    <r>
      <rPr>
        <sz val="11"/>
        <color rgb="FF000000"/>
        <rFont val="Calibri"/>
      </rPr>
      <t>If "ClientAliveCountMax" do not exist, is not set to a value of "0" in "/etc/ssh/sshd_config", or is commented out, this is a finding.</t>
    </r>
    <r>
      <rPr>
        <sz val="11"/>
        <color rgb="FF000000"/>
        <rFont val="Calibri"/>
      </rPr>
      <t xml:space="preserve">
</t>
    </r>
    <r>
      <rPr>
        <sz val="11"/>
        <color rgb="FF000000"/>
        <rFont val="Calibri"/>
      </rPr>
      <t>If "ClientAliveInterval" does not exist, or has a value of &gt; 600 in "/etc/ssh/sshd_config", or is commented out, this is a finding.</t>
    </r>
    <r>
      <rPr>
        <sz val="11"/>
        <color rgb="FF000000"/>
        <rFont val="Calibri"/>
      </rPr>
      <t xml:space="preserve">
</t>
    </r>
    <r>
      <rPr>
        <sz val="11"/>
        <color rgb="FF000000"/>
        <rFont val="Calibri"/>
      </rPr>
      <t>Where OpenShift Virtualization is enabled on versions older than 4.18:</t>
    </r>
    <r>
      <rPr>
        <sz val="11"/>
        <color rgb="FF000000"/>
        <rFont val="Calibri"/>
      </rPr>
      <t xml:space="preserve">
</t>
    </r>
    <r>
      <rPr>
        <sz val="11"/>
        <color rgb="FF000000"/>
        <rFont val="Calibri"/>
      </rPr>
      <t>$ oc get hyperconverged kubevirt-hyperconverged -n openshift-cnv</t>
    </r>
    <r>
      <rPr>
        <sz val="11"/>
        <color rgb="FF000000"/>
        <rFont val="Calibri"/>
      </rPr>
      <t xml:space="preserve">
</t>
    </r>
    <r>
      <rPr>
        <sz val="11"/>
        <color rgb="FF000000"/>
        <rFont val="Calibri"/>
      </rPr>
      <t>-ojsonpath='{.spec.featureGates.nonRoot}'</t>
    </r>
    <r>
      <rPr>
        <sz val="11"/>
        <color rgb="FF000000"/>
        <rFont val="Calibri"/>
      </rPr>
      <t xml:space="preserve">
</t>
    </r>
    <r>
      <rPr>
        <sz val="11"/>
        <color rgb="FF000000"/>
        <rFont val="Calibri"/>
      </rPr>
      <t>If this is set to anything other than "true", this is a finding.</t>
    </r>
  </si>
  <si>
    <t>V-257541</t>
  </si>
  <si>
    <r>
      <rPr>
        <sz val="11"/>
        <rFont val="Calibri"/>
      </rPr>
      <t>OpenShift must use multifactor authentication for network access to accounts.</t>
    </r>
  </si>
  <si>
    <r>
      <rPr>
        <sz val="11"/>
        <color rgb="FF000000"/>
        <rFont val="Calibri"/>
      </rPr>
      <t>Configure OpenShift to use an appropriate Identity Provider. Do not use HTPasswd. Use either LDAP(AD), OpenIDConnect, or an approved identity provider.</t>
    </r>
    <r>
      <rPr>
        <sz val="11"/>
        <color rgb="FF000000"/>
        <rFont val="Calibri"/>
      </rPr>
      <t xml:space="preserve">
</t>
    </r>
    <r>
      <rPr>
        <sz val="11"/>
        <color rgb="FF000000"/>
        <rFont val="Calibri"/>
      </rPr>
      <t>Steps to configure LDAP provider:</t>
    </r>
    <r>
      <rPr>
        <sz val="11"/>
        <color rgb="FF000000"/>
        <rFont val="Calibri"/>
      </rPr>
      <t xml:space="preserve">
</t>
    </r>
    <r>
      <rPr>
        <sz val="11"/>
        <color rgb="FF000000"/>
        <rFont val="Calibri"/>
      </rPr>
      <t>1. Create Secret for BIND DN password by executing the following:</t>
    </r>
    <r>
      <rPr>
        <sz val="11"/>
        <color rgb="FF000000"/>
        <rFont val="Calibri"/>
      </rPr>
      <t xml:space="preserve">
</t>
    </r>
    <r>
      <rPr>
        <sz val="11"/>
        <color rgb="FF000000"/>
        <rFont val="Calibri"/>
      </rPr>
      <t xml:space="preserve">oc create secret generic ldap-secret --from-literal=bindPassword=&lt;secret&gt; -n openshift-config </t>
    </r>
    <r>
      <rPr>
        <sz val="11"/>
        <color rgb="FF000000"/>
        <rFont val="Calibri"/>
      </rPr>
      <t xml:space="preserve">
</t>
    </r>
    <r>
      <rPr>
        <sz val="11"/>
        <color rgb="FF000000"/>
        <rFont val="Calibri"/>
      </rPr>
      <t>2. Create config map for LDAP Trust CA by executing the following: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oc create configmap ca-config-map --from-file=ca.crt=/path/to/ca -n openshift-config</t>
    </r>
    <r>
      <rPr>
        <sz val="11"/>
        <color rgb="FF000000"/>
        <rFont val="Calibri"/>
      </rPr>
      <t xml:space="preserve">
</t>
    </r>
    <r>
      <rPr>
        <sz val="11"/>
        <color rgb="FF000000"/>
        <rFont val="Calibri"/>
      </rPr>
      <t>3. Create LDAP Auth Config Resource YAML:</t>
    </r>
    <r>
      <rPr>
        <sz val="11"/>
        <color rgb="FF000000"/>
        <rFont val="Calibri"/>
      </rPr>
      <t xml:space="preserve">
</t>
    </r>
    <r>
      <rPr>
        <sz val="11"/>
        <color rgb="FF000000"/>
        <rFont val="Calibri"/>
      </rPr>
      <t>Using the preferred text editor, create a file named ldapidp.yaml using the example content. (replacing config values as appropriate):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apiVersion: config.openshift.io/v1</t>
    </r>
    <r>
      <rPr>
        <sz val="11"/>
        <color rgb="FF000000"/>
        <rFont val="Calibri"/>
      </rPr>
      <t xml:space="preserve">
</t>
    </r>
    <r>
      <rPr>
        <sz val="11"/>
        <color rgb="FF000000"/>
        <rFont val="Calibri"/>
      </rPr>
      <t>kind: OAuth</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cluster</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identityProviders:</t>
    </r>
    <r>
      <rPr>
        <sz val="11"/>
        <color rgb="FF000000"/>
        <rFont val="Calibri"/>
      </rPr>
      <t xml:space="preserve">
</t>
    </r>
    <r>
      <rPr>
        <sz val="11"/>
        <color rgb="FF000000"/>
        <rFont val="Calibri"/>
      </rPr>
      <t xml:space="preserve">  - name: ldapidp </t>
    </r>
    <r>
      <rPr>
        <sz val="11"/>
        <color rgb="FF000000"/>
        <rFont val="Calibri"/>
      </rPr>
      <t xml:space="preserve">
</t>
    </r>
    <r>
      <rPr>
        <sz val="11"/>
        <color rgb="FF000000"/>
        <rFont val="Calibri"/>
      </rPr>
      <t xml:space="preserve">    mappingMethod: claim </t>
    </r>
    <r>
      <rPr>
        <sz val="11"/>
        <color rgb="FF000000"/>
        <rFont val="Calibri"/>
      </rPr>
      <t xml:space="preserve">
</t>
    </r>
    <r>
      <rPr>
        <sz val="11"/>
        <color rgb="FF000000"/>
        <rFont val="Calibri"/>
      </rPr>
      <t xml:space="preserve">    type: LDAP</t>
    </r>
    <r>
      <rPr>
        <sz val="11"/>
        <color rgb="FF000000"/>
        <rFont val="Calibri"/>
      </rPr>
      <t xml:space="preserve">
</t>
    </r>
    <r>
      <rPr>
        <sz val="11"/>
        <color rgb="FF000000"/>
        <rFont val="Calibri"/>
      </rPr>
      <t xml:space="preserve">    ldap:</t>
    </r>
    <r>
      <rPr>
        <sz val="11"/>
        <color rgb="FF000000"/>
        <rFont val="Calibri"/>
      </rPr>
      <t xml:space="preserve">
</t>
    </r>
    <r>
      <rPr>
        <sz val="11"/>
        <color rgb="FF000000"/>
        <rFont val="Calibri"/>
      </rPr>
      <t xml:space="preserve">      attributes:</t>
    </r>
    <r>
      <rPr>
        <sz val="11"/>
        <color rgb="FF000000"/>
        <rFont val="Calibri"/>
      </rPr>
      <t xml:space="preserve">
</t>
    </r>
    <r>
      <rPr>
        <sz val="11"/>
        <color rgb="FF000000"/>
        <rFont val="Calibri"/>
      </rPr>
      <t xml:space="preserve">        id: </t>
    </r>
    <r>
      <rPr>
        <sz val="11"/>
        <color rgb="FF000000"/>
        <rFont val="Calibri"/>
      </rPr>
      <t xml:space="preserve">
</t>
    </r>
    <r>
      <rPr>
        <sz val="11"/>
        <color rgb="FF000000"/>
        <rFont val="Calibri"/>
      </rPr>
      <t xml:space="preserve">        - dn</t>
    </r>
    <r>
      <rPr>
        <sz val="11"/>
        <color rgb="FF000000"/>
        <rFont val="Calibri"/>
      </rPr>
      <t xml:space="preserve">
</t>
    </r>
    <r>
      <rPr>
        <sz val="11"/>
        <color rgb="FF000000"/>
        <rFont val="Calibri"/>
      </rPr>
      <t xml:space="preserve">        email: </t>
    </r>
    <r>
      <rPr>
        <sz val="11"/>
        <color rgb="FF000000"/>
        <rFont val="Calibri"/>
      </rPr>
      <t xml:space="preserve">
</t>
    </r>
    <r>
      <rPr>
        <sz val="11"/>
        <color rgb="FF000000"/>
        <rFont val="Calibri"/>
      </rPr>
      <t xml:space="preserve">        - mail</t>
    </r>
    <r>
      <rPr>
        <sz val="11"/>
        <color rgb="FF000000"/>
        <rFont val="Calibri"/>
      </rPr>
      <t xml:space="preserve">
</t>
    </r>
    <r>
      <rPr>
        <sz val="11"/>
        <color rgb="FF000000"/>
        <rFont val="Calibri"/>
      </rPr>
      <t xml:space="preserve">        name: </t>
    </r>
    <r>
      <rPr>
        <sz val="11"/>
        <color rgb="FF000000"/>
        <rFont val="Calibri"/>
      </rPr>
      <t xml:space="preserve">
</t>
    </r>
    <r>
      <rPr>
        <sz val="11"/>
        <color rgb="FF000000"/>
        <rFont val="Calibri"/>
      </rPr>
      <t xml:space="preserve">        - cn</t>
    </r>
    <r>
      <rPr>
        <sz val="11"/>
        <color rgb="FF000000"/>
        <rFont val="Calibri"/>
      </rPr>
      <t xml:space="preserve">
</t>
    </r>
    <r>
      <rPr>
        <sz val="11"/>
        <color rgb="FF000000"/>
        <rFont val="Calibri"/>
      </rPr>
      <t xml:space="preserve">        preferredUsername: </t>
    </r>
    <r>
      <rPr>
        <sz val="11"/>
        <color rgb="FF000000"/>
        <rFont val="Calibri"/>
      </rPr>
      <t xml:space="preserve">
</t>
    </r>
    <r>
      <rPr>
        <sz val="11"/>
        <color rgb="FF000000"/>
        <rFont val="Calibri"/>
      </rPr>
      <t xml:space="preserve">        - uid</t>
    </r>
    <r>
      <rPr>
        <sz val="11"/>
        <color rgb="FF000000"/>
        <rFont val="Calibri"/>
      </rPr>
      <t xml:space="preserve">
</t>
    </r>
    <r>
      <rPr>
        <sz val="11"/>
        <color rgb="FF000000"/>
        <rFont val="Calibri"/>
      </rPr>
      <t xml:space="preserve">      bindDN: &lt;"bindDN"&gt;</t>
    </r>
    <r>
      <rPr>
        <sz val="11"/>
        <color rgb="FF000000"/>
        <rFont val="Calibri"/>
      </rPr>
      <t xml:space="preserve">
</t>
    </r>
    <r>
      <rPr>
        <sz val="11"/>
        <color rgb="FF000000"/>
        <rFont val="Calibri"/>
      </rPr>
      <t xml:space="preserve">      bindPassword: </t>
    </r>
    <r>
      <rPr>
        <sz val="11"/>
        <color rgb="FF000000"/>
        <rFont val="Calibri"/>
      </rPr>
      <t xml:space="preserve">
</t>
    </r>
    <r>
      <rPr>
        <sz val="11"/>
        <color rgb="FF000000"/>
        <rFont val="Calibri"/>
      </rPr>
      <t xml:space="preserve">        name: ldap-secret</t>
    </r>
    <r>
      <rPr>
        <sz val="11"/>
        <color rgb="FF000000"/>
        <rFont val="Calibri"/>
      </rPr>
      <t xml:space="preserve">
</t>
    </r>
    <r>
      <rPr>
        <sz val="11"/>
        <color rgb="FF000000"/>
        <rFont val="Calibri"/>
      </rPr>
      <t xml:space="preserve">      ca: </t>
    </r>
    <r>
      <rPr>
        <sz val="11"/>
        <color rgb="FF000000"/>
        <rFont val="Calibri"/>
      </rPr>
      <t xml:space="preserve">
</t>
    </r>
    <r>
      <rPr>
        <sz val="11"/>
        <color rgb="FF000000"/>
        <rFont val="Calibri"/>
      </rPr>
      <t xml:space="preserve">        name: ca-config-map</t>
    </r>
    <r>
      <rPr>
        <sz val="11"/>
        <color rgb="FF000000"/>
        <rFont val="Calibri"/>
      </rPr>
      <t xml:space="preserve">
</t>
    </r>
    <r>
      <rPr>
        <sz val="11"/>
        <color rgb="FF000000"/>
        <rFont val="Calibri"/>
      </rPr>
      <t xml:space="preserve">      insecure: false </t>
    </r>
    <r>
      <rPr>
        <sz val="11"/>
        <color rgb="FF000000"/>
        <rFont val="Calibri"/>
      </rPr>
      <t xml:space="preserve">
</t>
    </r>
    <r>
      <rPr>
        <sz val="11"/>
        <color rgb="FF000000"/>
        <rFont val="Calibri"/>
      </rPr>
      <t xml:space="preserve">      url: &lt;URL&gt; </t>
    </r>
    <r>
      <rPr>
        <sz val="11"/>
        <color rgb="FF000000"/>
        <rFont val="Calibri"/>
      </rPr>
      <t xml:space="preserve">
</t>
    </r>
    <r>
      <rPr>
        <sz val="11"/>
        <color rgb="FF000000"/>
        <rFont val="Calibri"/>
      </rPr>
      <t>4. Apply LDAP config to cluster by executing the following: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oc apply -f ldapidp.yaml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For more information on configuring an LDAP provider, refer to https://docs.openshift.com/container-platform/4.8/authentication/identity_providers/configuring-ldap-identity-provider.html.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Steps to configure OpenID provider:</t>
    </r>
    <r>
      <rPr>
        <sz val="11"/>
        <color rgb="FF000000"/>
        <rFont val="Calibri"/>
      </rPr>
      <t xml:space="preserve">
</t>
    </r>
    <r>
      <rPr>
        <sz val="11"/>
        <color rgb="FF000000"/>
        <rFont val="Calibri"/>
      </rPr>
      <t>1. Create Secret for Client Secret by executing the following: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oc create secret generic idp-secret --from-literal=clientSecret=&lt;secret&gt; -n openshift-config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2. Create config map for OpenID Trust CA by executing the following: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oc create configmap ca-config-map --from-file=ca.crt=/path/to/ca -n openshift-config</t>
    </r>
    <r>
      <rPr>
        <sz val="11"/>
        <color rgb="FF000000"/>
        <rFont val="Calibri"/>
      </rPr>
      <t xml:space="preserve">
</t>
    </r>
    <r>
      <rPr>
        <sz val="11"/>
        <color rgb="FF000000"/>
        <rFont val="Calibri"/>
      </rPr>
      <t>3. Create OpenID Auth Config Resource YAML.</t>
    </r>
    <r>
      <rPr>
        <sz val="11"/>
        <color rgb="FF000000"/>
        <rFont val="Calibri"/>
      </rPr>
      <t xml:space="preserve">
</t>
    </r>
    <r>
      <rPr>
        <sz val="11"/>
        <color rgb="FF000000"/>
        <rFont val="Calibri"/>
      </rPr>
      <t>Using your preferred text editor, create a file named oidcidp.yaml using the example content (replacing config values as appropriate).</t>
    </r>
    <r>
      <rPr>
        <sz val="11"/>
        <color rgb="FF000000"/>
        <rFont val="Calibri"/>
      </rPr>
      <t xml:space="preserve">
</t>
    </r>
    <r>
      <rPr>
        <sz val="11"/>
        <color rgb="FF000000"/>
        <rFont val="Calibri"/>
      </rPr>
      <t>apiVersion: config.openshift.io/v1</t>
    </r>
    <r>
      <rPr>
        <sz val="11"/>
        <color rgb="FF000000"/>
        <rFont val="Calibri"/>
      </rPr>
      <t xml:space="preserve">
</t>
    </r>
    <r>
      <rPr>
        <sz val="11"/>
        <color rgb="FF000000"/>
        <rFont val="Calibri"/>
      </rPr>
      <t>kind: OAuth</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cluster</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identityProviders:</t>
    </r>
    <r>
      <rPr>
        <sz val="11"/>
        <color rgb="FF000000"/>
        <rFont val="Calibri"/>
      </rPr>
      <t xml:space="preserve">
</t>
    </r>
    <r>
      <rPr>
        <sz val="11"/>
        <color rgb="FF000000"/>
        <rFont val="Calibri"/>
      </rPr>
      <t xml:space="preserve">  - name: oidcidp</t>
    </r>
    <r>
      <rPr>
        <sz val="11"/>
        <color rgb="FF000000"/>
        <rFont val="Calibri"/>
      </rPr>
      <t xml:space="preserve">
</t>
    </r>
    <r>
      <rPr>
        <sz val="11"/>
        <color rgb="FF000000"/>
        <rFont val="Calibri"/>
      </rPr>
      <t xml:space="preserve">    mappingMethod: claim</t>
    </r>
    <r>
      <rPr>
        <sz val="11"/>
        <color rgb="FF000000"/>
        <rFont val="Calibri"/>
      </rPr>
      <t xml:space="preserve">
</t>
    </r>
    <r>
      <rPr>
        <sz val="11"/>
        <color rgb="FF000000"/>
        <rFont val="Calibri"/>
      </rPr>
      <t xml:space="preserve">    type: OpenID</t>
    </r>
    <r>
      <rPr>
        <sz val="11"/>
        <color rgb="FF000000"/>
        <rFont val="Calibri"/>
      </rPr>
      <t xml:space="preserve">
</t>
    </r>
    <r>
      <rPr>
        <sz val="11"/>
        <color rgb="FF000000"/>
        <rFont val="Calibri"/>
      </rPr>
      <t xml:space="preserve">    openID:</t>
    </r>
    <r>
      <rPr>
        <sz val="11"/>
        <color rgb="FF000000"/>
        <rFont val="Calibri"/>
      </rPr>
      <t xml:space="preserve">
</t>
    </r>
    <r>
      <rPr>
        <sz val="11"/>
        <color rgb="FF000000"/>
        <rFont val="Calibri"/>
      </rPr>
      <t xml:space="preserve">      clientID: &lt;clientID&gt;</t>
    </r>
    <r>
      <rPr>
        <sz val="11"/>
        <color rgb="FF000000"/>
        <rFont val="Calibri"/>
      </rPr>
      <t xml:space="preserve">
</t>
    </r>
    <r>
      <rPr>
        <sz val="11"/>
        <color rgb="FF000000"/>
        <rFont val="Calibri"/>
      </rPr>
      <t xml:space="preserve">      clientSecret:</t>
    </r>
    <r>
      <rPr>
        <sz val="11"/>
        <color rgb="FF000000"/>
        <rFont val="Calibri"/>
      </rPr>
      <t xml:space="preserve">
</t>
    </r>
    <r>
      <rPr>
        <sz val="11"/>
        <color rgb="FF000000"/>
        <rFont val="Calibri"/>
      </rPr>
      <t xml:space="preserve">        name: oidc-idp-secret</t>
    </r>
    <r>
      <rPr>
        <sz val="11"/>
        <color rgb="FF000000"/>
        <rFont val="Calibri"/>
      </rPr>
      <t xml:space="preserve">
</t>
    </r>
    <r>
      <rPr>
        <sz val="11"/>
        <color rgb="FF000000"/>
        <rFont val="Calibri"/>
      </rPr>
      <t xml:space="preserve">      claims:</t>
    </r>
    <r>
      <rPr>
        <sz val="11"/>
        <color rgb="FF000000"/>
        <rFont val="Calibri"/>
      </rPr>
      <t xml:space="preserve">
</t>
    </r>
    <r>
      <rPr>
        <sz val="11"/>
        <color rgb="FF000000"/>
        <rFont val="Calibri"/>
      </rPr>
      <t xml:space="preserve">        preferredUsername:</t>
    </r>
    <r>
      <rPr>
        <sz val="11"/>
        <color rgb="FF000000"/>
        <rFont val="Calibri"/>
      </rPr>
      <t xml:space="preserve">
</t>
    </r>
    <r>
      <rPr>
        <sz val="11"/>
        <color rgb="FF000000"/>
        <rFont val="Calibri"/>
      </rPr>
      <t xml:space="preserve">        - preferred_username</t>
    </r>
    <r>
      <rPr>
        <sz val="11"/>
        <color rgb="FF000000"/>
        <rFont val="Calibri"/>
      </rPr>
      <t xml:space="preserve">
</t>
    </r>
    <r>
      <rPr>
        <sz val="11"/>
        <color rgb="FF000000"/>
        <rFont val="Calibri"/>
      </rPr>
      <t xml:space="preserve">        name:</t>
    </r>
    <r>
      <rPr>
        <sz val="11"/>
        <color rgb="FF000000"/>
        <rFont val="Calibri"/>
      </rPr>
      <t xml:space="preserve">
</t>
    </r>
    <r>
      <rPr>
        <sz val="11"/>
        <color rgb="FF000000"/>
        <rFont val="Calibri"/>
      </rPr>
      <t xml:space="preserve">        - name</t>
    </r>
    <r>
      <rPr>
        <sz val="11"/>
        <color rgb="FF000000"/>
        <rFont val="Calibri"/>
      </rPr>
      <t xml:space="preserve">
</t>
    </r>
    <r>
      <rPr>
        <sz val="11"/>
        <color rgb="FF000000"/>
        <rFont val="Calibri"/>
      </rPr>
      <t xml:space="preserve">        email:</t>
    </r>
    <r>
      <rPr>
        <sz val="11"/>
        <color rgb="FF000000"/>
        <rFont val="Calibri"/>
      </rPr>
      <t xml:space="preserve">
</t>
    </r>
    <r>
      <rPr>
        <sz val="11"/>
        <color rgb="FF000000"/>
        <rFont val="Calibri"/>
      </rPr>
      <t xml:space="preserve">        - email</t>
    </r>
    <r>
      <rPr>
        <sz val="11"/>
        <color rgb="FF000000"/>
        <rFont val="Calibri"/>
      </rPr>
      <t xml:space="preserve">
</t>
    </r>
    <r>
      <rPr>
        <sz val="11"/>
        <color rgb="FF000000"/>
        <rFont val="Calibri"/>
      </rPr>
      <t xml:space="preserve">      ca:</t>
    </r>
    <r>
      <rPr>
        <sz val="11"/>
        <color rgb="FF000000"/>
        <rFont val="Calibri"/>
      </rPr>
      <t xml:space="preserve">
</t>
    </r>
    <r>
      <rPr>
        <sz val="11"/>
        <color rgb="FF000000"/>
        <rFont val="Calibri"/>
      </rPr>
      <t xml:space="preserve">        name: ca-config-map</t>
    </r>
    <r>
      <rPr>
        <sz val="11"/>
        <color rgb="FF000000"/>
        <rFont val="Calibri"/>
      </rPr>
      <t xml:space="preserve">
</t>
    </r>
    <r>
      <rPr>
        <sz val="11"/>
        <color rgb="FF000000"/>
        <rFont val="Calibri"/>
      </rPr>
      <t xml:space="preserve">      issuer: &lt;URL&gt;</t>
    </r>
    <r>
      <rPr>
        <sz val="11"/>
        <color rgb="FF000000"/>
        <rFont val="Calibri"/>
      </rPr>
      <t xml:space="preserve">
</t>
    </r>
    <r>
      <rPr>
        <sz val="11"/>
        <color rgb="FF000000"/>
        <rFont val="Calibri"/>
      </rPr>
      <t>4. Apply OpenID config to cluster by executing the following: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oc apply -f ldapidp.yaml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For more information on configuring an OpenID provider, refer to https://docs.openshift.com/container-platform/4.8/authentication/identity_providers/configuring-oidc-identity-provider.html.</t>
    </r>
  </si>
  <si>
    <r>
      <rPr>
        <sz val="11"/>
        <color rgb="FF000000"/>
        <rFont val="Calibri"/>
      </rPr>
      <t>Without the use of multifactor authentication, the ease of access to privileged and nonprivileged functions is greatly increased.</t>
    </r>
    <r>
      <rPr>
        <sz val="11"/>
        <color rgb="FF000000"/>
        <rFont val="Calibri"/>
      </rPr>
      <t xml:space="preserve">
</t>
    </r>
    <r>
      <rPr>
        <sz val="11"/>
        <color rgb="FF000000"/>
        <rFont val="Calibri"/>
      </rPr>
      <t>Multifactor authentication requires using two or more factors to achieve authentication.</t>
    </r>
    <r>
      <rPr>
        <sz val="11"/>
        <color rgb="FF000000"/>
        <rFont val="Calibri"/>
      </rPr>
      <t xml:space="preserve">
</t>
    </r>
    <r>
      <rPr>
        <sz val="11"/>
        <color rgb="FF000000"/>
        <rFont val="Calibri"/>
      </rPr>
      <t xml:space="preserve">Factors include: </t>
    </r>
    <r>
      <rPr>
        <sz val="11"/>
        <color rgb="FF000000"/>
        <rFont val="Calibri"/>
      </rPr>
      <t xml:space="preserve">
</t>
    </r>
    <r>
      <rPr>
        <sz val="11"/>
        <color rgb="FF000000"/>
        <rFont val="Calibri"/>
      </rPr>
      <t xml:space="preserve">(i) something a user knows (e.g., password/PIN); </t>
    </r>
    <r>
      <rPr>
        <sz val="11"/>
        <color rgb="FF000000"/>
        <rFont val="Calibri"/>
      </rPr>
      <t xml:space="preserve">
</t>
    </r>
    <r>
      <rPr>
        <sz val="11"/>
        <color rgb="FF000000"/>
        <rFont val="Calibri"/>
      </rPr>
      <t xml:space="preserve">(ii) something a user has (e.g., cryptographic identification device, token); or </t>
    </r>
    <r>
      <rPr>
        <sz val="11"/>
        <color rgb="FF000000"/>
        <rFont val="Calibri"/>
      </rPr>
      <t xml:space="preserve">
</t>
    </r>
    <r>
      <rPr>
        <sz val="11"/>
        <color rgb="FF000000"/>
        <rFont val="Calibri"/>
      </rPr>
      <t>(iii) something a user is (e.g., biometric).</t>
    </r>
    <r>
      <rPr>
        <sz val="11"/>
        <color rgb="FF000000"/>
        <rFont val="Calibri"/>
      </rPr>
      <t xml:space="preserve">
</t>
    </r>
    <r>
      <rPr>
        <sz val="11"/>
        <color rgb="FF000000"/>
        <rFont val="Calibri"/>
      </rPr>
      <t>A privileged account is defined as an information system account with authorizations of a privileged user.</t>
    </r>
    <r>
      <rPr>
        <sz val="11"/>
        <color rgb="FF000000"/>
        <rFont val="Calibri"/>
      </rPr>
      <t xml:space="preserve">
</t>
    </r>
    <r>
      <rPr>
        <sz val="11"/>
        <color rgb="FF000000"/>
        <rFont val="Calibri"/>
      </rPr>
      <t>A nonprivileged account is any information system account with authorizations of a nonprivileged user.</t>
    </r>
    <r>
      <rPr>
        <sz val="11"/>
        <color rgb="FF000000"/>
        <rFont val="Calibri"/>
      </rPr>
      <t xml:space="preserve">
</t>
    </r>
    <r>
      <rPr>
        <sz val="11"/>
        <color rgb="FF000000"/>
        <rFont val="Calibri"/>
      </rPr>
      <t>Network access is defined as access to an information system by a user (or a process acting on behalf of a user) communicating through a network (e.g., local area network, wide area network, or the internet).</t>
    </r>
    <r>
      <rPr>
        <sz val="11"/>
        <color rgb="FF000000"/>
        <rFont val="Calibri"/>
      </rPr>
      <t xml:space="preserve">
</t>
    </r>
    <r>
      <rPr>
        <sz val="11"/>
        <color rgb="FF000000"/>
        <rFont val="Calibri"/>
      </rPr>
      <t>Satisfies: SRG-APP-000149-CTR-000355, SRG-APP-000150-CTR-000360</t>
    </r>
  </si>
  <si>
    <t>V-257542</t>
  </si>
  <si>
    <r>
      <rPr>
        <sz val="11"/>
        <rFont val="Calibri"/>
      </rPr>
      <t>OpenShift must use FIPS-validated SHA-1 or higher hash function to provide replay-resistant authentication mechanisms for network access to privileged accounts.</t>
    </r>
  </si>
  <si>
    <r>
      <rPr>
        <sz val="11"/>
        <color rgb="FF000000"/>
        <rFont val="Calibri"/>
      </rPr>
      <t>Configure OpenShift to use an OpenIDConnect Identity Provider. Note: This STIG was written for OIC; do not use HTPasswd. Only use an approved identity provider.</t>
    </r>
    <r>
      <rPr>
        <sz val="11"/>
        <color rgb="FF000000"/>
        <rFont val="Calibri"/>
      </rPr>
      <t xml:space="preserve">
</t>
    </r>
    <r>
      <rPr>
        <sz val="11"/>
        <color rgb="FF000000"/>
        <rFont val="Calibri"/>
      </rPr>
      <t>Steps to configure OpenID provider:</t>
    </r>
    <r>
      <rPr>
        <sz val="11"/>
        <color rgb="FF000000"/>
        <rFont val="Calibri"/>
      </rPr>
      <t xml:space="preserve">
</t>
    </r>
    <r>
      <rPr>
        <sz val="11"/>
        <color rgb="FF000000"/>
        <rFont val="Calibri"/>
      </rPr>
      <t>1. Create Secret for Client Secret by executing the following: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oc create secret generic idp-secret --from-literal=clientSecret=&lt;secret&gt; -n openshift-config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2. Create config map for OpenID Trust CA by executing the following: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oc create configmap ca-config-map --from-file=ca.crt=/path/to/ca -n openshift-config</t>
    </r>
    <r>
      <rPr>
        <sz val="11"/>
        <color rgb="FF000000"/>
        <rFont val="Calibri"/>
      </rPr>
      <t xml:space="preserve">
</t>
    </r>
    <r>
      <rPr>
        <sz val="11"/>
        <color rgb="FF000000"/>
        <rFont val="Calibri"/>
      </rPr>
      <t>3. Create OpenID Auth Config Resource YAML.</t>
    </r>
    <r>
      <rPr>
        <sz val="11"/>
        <color rgb="FF000000"/>
        <rFont val="Calibri"/>
      </rPr>
      <t xml:space="preserve">
</t>
    </r>
    <r>
      <rPr>
        <sz val="11"/>
        <color rgb="FF000000"/>
        <rFont val="Calibri"/>
      </rPr>
      <t>Using the preferred text editor, create a file named oidcidp.yaml using the example content (replacing config values as appropriate).</t>
    </r>
    <r>
      <rPr>
        <sz val="11"/>
        <color rgb="FF000000"/>
        <rFont val="Calibri"/>
      </rPr>
      <t xml:space="preserve">
</t>
    </r>
    <r>
      <rPr>
        <sz val="11"/>
        <color rgb="FF000000"/>
        <rFont val="Calibri"/>
      </rPr>
      <t>apiVersion: config.openshift.io/v1</t>
    </r>
    <r>
      <rPr>
        <sz val="11"/>
        <color rgb="FF000000"/>
        <rFont val="Calibri"/>
      </rPr>
      <t xml:space="preserve">
</t>
    </r>
    <r>
      <rPr>
        <sz val="11"/>
        <color rgb="FF000000"/>
        <rFont val="Calibri"/>
      </rPr>
      <t>kind: OAuth</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cluster</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identityProviders:</t>
    </r>
    <r>
      <rPr>
        <sz val="11"/>
        <color rgb="FF000000"/>
        <rFont val="Calibri"/>
      </rPr>
      <t xml:space="preserve">
</t>
    </r>
    <r>
      <rPr>
        <sz val="11"/>
        <color rgb="FF000000"/>
        <rFont val="Calibri"/>
      </rPr>
      <t xml:space="preserve">  - name: oidcidp </t>
    </r>
    <r>
      <rPr>
        <sz val="11"/>
        <color rgb="FF000000"/>
        <rFont val="Calibri"/>
      </rPr>
      <t xml:space="preserve">
</t>
    </r>
    <r>
      <rPr>
        <sz val="11"/>
        <color rgb="FF000000"/>
        <rFont val="Calibri"/>
      </rPr>
      <t xml:space="preserve">    mappingMethod: claim </t>
    </r>
    <r>
      <rPr>
        <sz val="11"/>
        <color rgb="FF000000"/>
        <rFont val="Calibri"/>
      </rPr>
      <t xml:space="preserve">
</t>
    </r>
    <r>
      <rPr>
        <sz val="11"/>
        <color rgb="FF000000"/>
        <rFont val="Calibri"/>
      </rPr>
      <t xml:space="preserve">    type: OpenID</t>
    </r>
    <r>
      <rPr>
        <sz val="11"/>
        <color rgb="FF000000"/>
        <rFont val="Calibri"/>
      </rPr>
      <t xml:space="preserve">
</t>
    </r>
    <r>
      <rPr>
        <sz val="11"/>
        <color rgb="FF000000"/>
        <rFont val="Calibri"/>
      </rPr>
      <t xml:space="preserve">    openID:</t>
    </r>
    <r>
      <rPr>
        <sz val="11"/>
        <color rgb="FF000000"/>
        <rFont val="Calibri"/>
      </rPr>
      <t xml:space="preserve">
</t>
    </r>
    <r>
      <rPr>
        <sz val="11"/>
        <color rgb="FF000000"/>
        <rFont val="Calibri"/>
      </rPr>
      <t xml:space="preserve">      clientID: ... </t>
    </r>
    <r>
      <rPr>
        <sz val="11"/>
        <color rgb="FF000000"/>
        <rFont val="Calibri"/>
      </rPr>
      <t xml:space="preserve">
</t>
    </r>
    <r>
      <rPr>
        <sz val="11"/>
        <color rgb="FF000000"/>
        <rFont val="Calibri"/>
      </rPr>
      <t xml:space="preserve">      clientSecret: </t>
    </r>
    <r>
      <rPr>
        <sz val="11"/>
        <color rgb="FF000000"/>
        <rFont val="Calibri"/>
      </rPr>
      <t xml:space="preserve">
</t>
    </r>
    <r>
      <rPr>
        <sz val="11"/>
        <color rgb="FF000000"/>
        <rFont val="Calibri"/>
      </rPr>
      <t xml:space="preserve">        name: idp-secret</t>
    </r>
    <r>
      <rPr>
        <sz val="11"/>
        <color rgb="FF000000"/>
        <rFont val="Calibri"/>
      </rPr>
      <t xml:space="preserve">
</t>
    </r>
    <r>
      <rPr>
        <sz val="11"/>
        <color rgb="FF000000"/>
        <rFont val="Calibri"/>
      </rPr>
      <t xml:space="preserve">      claims: </t>
    </r>
    <r>
      <rPr>
        <sz val="11"/>
        <color rgb="FF000000"/>
        <rFont val="Calibri"/>
      </rPr>
      <t xml:space="preserve">
</t>
    </r>
    <r>
      <rPr>
        <sz val="11"/>
        <color rgb="FF000000"/>
        <rFont val="Calibri"/>
      </rPr>
      <t xml:space="preserve">        preferredUsername:</t>
    </r>
    <r>
      <rPr>
        <sz val="11"/>
        <color rgb="FF000000"/>
        <rFont val="Calibri"/>
      </rPr>
      <t xml:space="preserve">
</t>
    </r>
    <r>
      <rPr>
        <sz val="11"/>
        <color rgb="FF000000"/>
        <rFont val="Calibri"/>
      </rPr>
      <t xml:space="preserve">        - preferred_username</t>
    </r>
    <r>
      <rPr>
        <sz val="11"/>
        <color rgb="FF000000"/>
        <rFont val="Calibri"/>
      </rPr>
      <t xml:space="preserve">
</t>
    </r>
    <r>
      <rPr>
        <sz val="11"/>
        <color rgb="FF000000"/>
        <rFont val="Calibri"/>
      </rPr>
      <t xml:space="preserve">        name:</t>
    </r>
    <r>
      <rPr>
        <sz val="11"/>
        <color rgb="FF000000"/>
        <rFont val="Calibri"/>
      </rPr>
      <t xml:space="preserve">
</t>
    </r>
    <r>
      <rPr>
        <sz val="11"/>
        <color rgb="FF000000"/>
        <rFont val="Calibri"/>
      </rPr>
      <t xml:space="preserve">        - name</t>
    </r>
    <r>
      <rPr>
        <sz val="11"/>
        <color rgb="FF000000"/>
        <rFont val="Calibri"/>
      </rPr>
      <t xml:space="preserve">
</t>
    </r>
    <r>
      <rPr>
        <sz val="11"/>
        <color rgb="FF000000"/>
        <rFont val="Calibri"/>
      </rPr>
      <t xml:space="preserve">        email:</t>
    </r>
    <r>
      <rPr>
        <sz val="11"/>
        <color rgb="FF000000"/>
        <rFont val="Calibri"/>
      </rPr>
      <t xml:space="preserve">
</t>
    </r>
    <r>
      <rPr>
        <sz val="11"/>
        <color rgb="FF000000"/>
        <rFont val="Calibri"/>
      </rPr>
      <t xml:space="preserve">        - email</t>
    </r>
    <r>
      <rPr>
        <sz val="11"/>
        <color rgb="FF000000"/>
        <rFont val="Calibri"/>
      </rPr>
      <t xml:space="preserve">
</t>
    </r>
    <r>
      <rPr>
        <sz val="11"/>
        <color rgb="FF000000"/>
        <rFont val="Calibri"/>
      </rPr>
      <t xml:space="preserve">      issuer: https://www.idp-issuer.com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4. Apply OpenID config to cluster by executing the following: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oc apply -f ldapidp.yaml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For more information on configuring an OpenID provider, refer to https://docs.openshift.com/container-platform/4.8/authentication/identity_providers/configuring-oidc-identity-provider.html.</t>
    </r>
  </si>
  <si>
    <r>
      <rPr>
        <sz val="11"/>
        <color rgb="FF000000"/>
        <rFont val="Calibri"/>
      </rPr>
      <t>A replay attack may enable an unauthorized user to gain access to the application. Authentication sessions between the authenticator and the application validating the user credentials must not be vulnerable to a replay attack.</t>
    </r>
    <r>
      <rPr>
        <sz val="11"/>
        <color rgb="FF000000"/>
        <rFont val="Calibri"/>
      </rPr>
      <t xml:space="preserve">
</t>
    </r>
    <r>
      <rPr>
        <sz val="11"/>
        <color rgb="FF000000"/>
        <rFont val="Calibri"/>
      </rPr>
      <t>Anti-replay is a cryptographically based mechanism; thus, it must use FIPS-approved algorithms. An authentication process resists replay attacks if it is impractical to achieve a successful authentication by recording and replaying a previous authentication message. Note that the anti-replay service is implicit when data contains monotonically increasing sequence numbers and data integrity is assured. Use of DOD PKI is inherently compliant with this requirement for user and device access. Use of Transport Layer Security (TLS), including application protocols such as HTTPS and DNSSEC, that use TLS/SSL as the underlying security protocol is also complaint.</t>
    </r>
    <r>
      <rPr>
        <sz val="11"/>
        <color rgb="FF000000"/>
        <rFont val="Calibri"/>
      </rPr>
      <t xml:space="preserve">
</t>
    </r>
    <r>
      <rPr>
        <sz val="11"/>
        <color rgb="FF000000"/>
        <rFont val="Calibri"/>
      </rPr>
      <t>Configure the information system to use the hash message authentication code (HMAC) algorithm for authentication services to Kerberos, SSH, web management tool, and any other access method.</t>
    </r>
  </si>
  <si>
    <r>
      <rPr>
        <sz val="11"/>
        <color rgb="FF000000"/>
        <rFont val="Calibri"/>
      </rPr>
      <t>Verify the authentication operator is configured to use a secure transport to an OpenIDConnect provider:</t>
    </r>
    <r>
      <rPr>
        <sz val="11"/>
        <color rgb="FF000000"/>
        <rFont val="Calibri"/>
      </rPr>
      <t xml:space="preserve">
</t>
    </r>
    <r>
      <rPr>
        <sz val="11"/>
        <color rgb="FF000000"/>
        <rFont val="Calibri"/>
      </rPr>
      <t>oc get oauth cluster -o jsonpath="{.spec.identityProviders[*]}{'\n'}"</t>
    </r>
    <r>
      <rPr>
        <sz val="11"/>
        <color rgb="FF000000"/>
        <rFont val="Calibri"/>
      </rPr>
      <t xml:space="preserve">
</t>
    </r>
    <r>
      <rPr>
        <sz val="11"/>
        <color rgb="FF000000"/>
        <rFont val="Calibri"/>
      </rPr>
      <t>If the transport is not secure (ex. HTTPS), this is a finding.</t>
    </r>
  </si>
  <si>
    <t>V-257543</t>
  </si>
  <si>
    <r>
      <rPr>
        <sz val="11"/>
        <rFont val="Calibri"/>
      </rPr>
      <t>OpenShift must use FIPS validated LDAP or OpenIDConnect.</t>
    </r>
  </si>
  <si>
    <r>
      <rPr>
        <sz val="11"/>
        <color rgb="FF000000"/>
        <rFont val="Calibri"/>
      </rPr>
      <t>Configure OpenShift to use an appropriate Identity Provider. Do not use HTPasswd. Use either LDAP(AD), OpenIDConnect or an approved identity provider.</t>
    </r>
    <r>
      <rPr>
        <sz val="11"/>
        <color rgb="FF000000"/>
        <rFont val="Calibri"/>
      </rPr>
      <t xml:space="preserve">
</t>
    </r>
    <r>
      <rPr>
        <sz val="11"/>
        <color rgb="FF000000"/>
        <rFont val="Calibri"/>
      </rPr>
      <t>To configure LDAP provider:</t>
    </r>
    <r>
      <rPr>
        <sz val="11"/>
        <color rgb="FF000000"/>
        <rFont val="Calibri"/>
      </rPr>
      <t xml:space="preserve">
</t>
    </r>
    <r>
      <rPr>
        <sz val="11"/>
        <color rgb="FF000000"/>
        <rFont val="Calibri"/>
      </rPr>
      <t>1. Create Secret for BIND DN password by executing the following:</t>
    </r>
    <r>
      <rPr>
        <sz val="11"/>
        <color rgb="FF000000"/>
        <rFont val="Calibri"/>
      </rPr>
      <t xml:space="preserve">
</t>
    </r>
    <r>
      <rPr>
        <sz val="11"/>
        <color rgb="FF000000"/>
        <rFont val="Calibri"/>
      </rPr>
      <t xml:space="preserve">oc create secret generic ldap-secret --from-literal=bindPassword=&lt;secret&gt; -n openshift-config </t>
    </r>
    <r>
      <rPr>
        <sz val="11"/>
        <color rgb="FF000000"/>
        <rFont val="Calibri"/>
      </rPr>
      <t xml:space="preserve">
</t>
    </r>
    <r>
      <rPr>
        <sz val="11"/>
        <color rgb="FF000000"/>
        <rFont val="Calibri"/>
      </rPr>
      <t>2. Create config map for LDAP Trust CA by executing the following: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oc create configmap ca-config-map --from-file=ca.crt=/path/to/ca -n openshift-config</t>
    </r>
    <r>
      <rPr>
        <sz val="11"/>
        <color rgb="FF000000"/>
        <rFont val="Calibri"/>
      </rPr>
      <t xml:space="preserve">
</t>
    </r>
    <r>
      <rPr>
        <sz val="11"/>
        <color rgb="FF000000"/>
        <rFont val="Calibri"/>
      </rPr>
      <t>3. Create LDAP Auth Config Resource YAML:</t>
    </r>
    <r>
      <rPr>
        <sz val="11"/>
        <color rgb="FF000000"/>
        <rFont val="Calibri"/>
      </rPr>
      <t xml:space="preserve">
</t>
    </r>
    <r>
      <rPr>
        <sz val="11"/>
        <color rgb="FF000000"/>
        <rFont val="Calibri"/>
      </rPr>
      <t>Using the preferred text editor, create a file named ldapidp.yaml using the example content (replacing config values as appropriate).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apiVersion: config.openshift.io/v1</t>
    </r>
    <r>
      <rPr>
        <sz val="11"/>
        <color rgb="FF000000"/>
        <rFont val="Calibri"/>
      </rPr>
      <t xml:space="preserve">
</t>
    </r>
    <r>
      <rPr>
        <sz val="11"/>
        <color rgb="FF000000"/>
        <rFont val="Calibri"/>
      </rPr>
      <t>kind: OAuth</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cluster</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identityProviders:</t>
    </r>
    <r>
      <rPr>
        <sz val="11"/>
        <color rgb="FF000000"/>
        <rFont val="Calibri"/>
      </rPr>
      <t xml:space="preserve">
</t>
    </r>
    <r>
      <rPr>
        <sz val="11"/>
        <color rgb="FF000000"/>
        <rFont val="Calibri"/>
      </rPr>
      <t xml:space="preserve">  - name: ldapidp </t>
    </r>
    <r>
      <rPr>
        <sz val="11"/>
        <color rgb="FF000000"/>
        <rFont val="Calibri"/>
      </rPr>
      <t xml:space="preserve">
</t>
    </r>
    <r>
      <rPr>
        <sz val="11"/>
        <color rgb="FF000000"/>
        <rFont val="Calibri"/>
      </rPr>
      <t xml:space="preserve">    mappingMethod: claim </t>
    </r>
    <r>
      <rPr>
        <sz val="11"/>
        <color rgb="FF000000"/>
        <rFont val="Calibri"/>
      </rPr>
      <t xml:space="preserve">
</t>
    </r>
    <r>
      <rPr>
        <sz val="11"/>
        <color rgb="FF000000"/>
        <rFont val="Calibri"/>
      </rPr>
      <t xml:space="preserve">    type: LDAP</t>
    </r>
    <r>
      <rPr>
        <sz val="11"/>
        <color rgb="FF000000"/>
        <rFont val="Calibri"/>
      </rPr>
      <t xml:space="preserve">
</t>
    </r>
    <r>
      <rPr>
        <sz val="11"/>
        <color rgb="FF000000"/>
        <rFont val="Calibri"/>
      </rPr>
      <t xml:space="preserve">    ldap:</t>
    </r>
    <r>
      <rPr>
        <sz val="11"/>
        <color rgb="FF000000"/>
        <rFont val="Calibri"/>
      </rPr>
      <t xml:space="preserve">
</t>
    </r>
    <r>
      <rPr>
        <sz val="11"/>
        <color rgb="FF000000"/>
        <rFont val="Calibri"/>
      </rPr>
      <t xml:space="preserve">      attributes:</t>
    </r>
    <r>
      <rPr>
        <sz val="11"/>
        <color rgb="FF000000"/>
        <rFont val="Calibri"/>
      </rPr>
      <t xml:space="preserve">
</t>
    </r>
    <r>
      <rPr>
        <sz val="11"/>
        <color rgb="FF000000"/>
        <rFont val="Calibri"/>
      </rPr>
      <t xml:space="preserve">        id: </t>
    </r>
    <r>
      <rPr>
        <sz val="11"/>
        <color rgb="FF000000"/>
        <rFont val="Calibri"/>
      </rPr>
      <t xml:space="preserve">
</t>
    </r>
    <r>
      <rPr>
        <sz val="11"/>
        <color rgb="FF000000"/>
        <rFont val="Calibri"/>
      </rPr>
      <t xml:space="preserve">        - dn</t>
    </r>
    <r>
      <rPr>
        <sz val="11"/>
        <color rgb="FF000000"/>
        <rFont val="Calibri"/>
      </rPr>
      <t xml:space="preserve">
</t>
    </r>
    <r>
      <rPr>
        <sz val="11"/>
        <color rgb="FF000000"/>
        <rFont val="Calibri"/>
      </rPr>
      <t xml:space="preserve">        email: </t>
    </r>
    <r>
      <rPr>
        <sz val="11"/>
        <color rgb="FF000000"/>
        <rFont val="Calibri"/>
      </rPr>
      <t xml:space="preserve">
</t>
    </r>
    <r>
      <rPr>
        <sz val="11"/>
        <color rgb="FF000000"/>
        <rFont val="Calibri"/>
      </rPr>
      <t xml:space="preserve">        - mail</t>
    </r>
    <r>
      <rPr>
        <sz val="11"/>
        <color rgb="FF000000"/>
        <rFont val="Calibri"/>
      </rPr>
      <t xml:space="preserve">
</t>
    </r>
    <r>
      <rPr>
        <sz val="11"/>
        <color rgb="FF000000"/>
        <rFont val="Calibri"/>
      </rPr>
      <t xml:space="preserve">        name: </t>
    </r>
    <r>
      <rPr>
        <sz val="11"/>
        <color rgb="FF000000"/>
        <rFont val="Calibri"/>
      </rPr>
      <t xml:space="preserve">
</t>
    </r>
    <r>
      <rPr>
        <sz val="11"/>
        <color rgb="FF000000"/>
        <rFont val="Calibri"/>
      </rPr>
      <t xml:space="preserve">        - cn</t>
    </r>
    <r>
      <rPr>
        <sz val="11"/>
        <color rgb="FF000000"/>
        <rFont val="Calibri"/>
      </rPr>
      <t xml:space="preserve">
</t>
    </r>
    <r>
      <rPr>
        <sz val="11"/>
        <color rgb="FF000000"/>
        <rFont val="Calibri"/>
      </rPr>
      <t xml:space="preserve">        preferredUsername: </t>
    </r>
    <r>
      <rPr>
        <sz val="11"/>
        <color rgb="FF000000"/>
        <rFont val="Calibri"/>
      </rPr>
      <t xml:space="preserve">
</t>
    </r>
    <r>
      <rPr>
        <sz val="11"/>
        <color rgb="FF000000"/>
        <rFont val="Calibri"/>
      </rPr>
      <t xml:space="preserve">        - uid</t>
    </r>
    <r>
      <rPr>
        <sz val="11"/>
        <color rgb="FF000000"/>
        <rFont val="Calibri"/>
      </rPr>
      <t xml:space="preserve">
</t>
    </r>
    <r>
      <rPr>
        <sz val="11"/>
        <color rgb="FF000000"/>
        <rFont val="Calibri"/>
      </rPr>
      <t xml:space="preserve">      bindDN: &lt;"bindDN"&gt;</t>
    </r>
    <r>
      <rPr>
        <sz val="11"/>
        <color rgb="FF000000"/>
        <rFont val="Calibri"/>
      </rPr>
      <t xml:space="preserve">
</t>
    </r>
    <r>
      <rPr>
        <sz val="11"/>
        <color rgb="FF000000"/>
        <rFont val="Calibri"/>
      </rPr>
      <t xml:space="preserve">      bindPassword: </t>
    </r>
    <r>
      <rPr>
        <sz val="11"/>
        <color rgb="FF000000"/>
        <rFont val="Calibri"/>
      </rPr>
      <t xml:space="preserve">
</t>
    </r>
    <r>
      <rPr>
        <sz val="11"/>
        <color rgb="FF000000"/>
        <rFont val="Calibri"/>
      </rPr>
      <t xml:space="preserve">        name: ldap-secret</t>
    </r>
    <r>
      <rPr>
        <sz val="11"/>
        <color rgb="FF000000"/>
        <rFont val="Calibri"/>
      </rPr>
      <t xml:space="preserve">
</t>
    </r>
    <r>
      <rPr>
        <sz val="11"/>
        <color rgb="FF000000"/>
        <rFont val="Calibri"/>
      </rPr>
      <t xml:space="preserve">      ca: </t>
    </r>
    <r>
      <rPr>
        <sz val="11"/>
        <color rgb="FF000000"/>
        <rFont val="Calibri"/>
      </rPr>
      <t xml:space="preserve">
</t>
    </r>
    <r>
      <rPr>
        <sz val="11"/>
        <color rgb="FF000000"/>
        <rFont val="Calibri"/>
      </rPr>
      <t xml:space="preserve">        name: ca-config-map</t>
    </r>
    <r>
      <rPr>
        <sz val="11"/>
        <color rgb="FF000000"/>
        <rFont val="Calibri"/>
      </rPr>
      <t xml:space="preserve">
</t>
    </r>
    <r>
      <rPr>
        <sz val="11"/>
        <color rgb="FF000000"/>
        <rFont val="Calibri"/>
      </rPr>
      <t xml:space="preserve">      insecure: false </t>
    </r>
    <r>
      <rPr>
        <sz val="11"/>
        <color rgb="FF000000"/>
        <rFont val="Calibri"/>
      </rPr>
      <t xml:space="preserve">
</t>
    </r>
    <r>
      <rPr>
        <sz val="11"/>
        <color rgb="FF000000"/>
        <rFont val="Calibri"/>
      </rPr>
      <t xml:space="preserve">      url: &lt;URL&gt; </t>
    </r>
    <r>
      <rPr>
        <sz val="11"/>
        <color rgb="FF000000"/>
        <rFont val="Calibri"/>
      </rPr>
      <t xml:space="preserve">
</t>
    </r>
    <r>
      <rPr>
        <sz val="11"/>
        <color rgb="FF000000"/>
        <rFont val="Calibri"/>
      </rPr>
      <t>4. Apply LDAP config to cluster by executing the following: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oc apply -f ldapidp.yaml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For more information on configuring an LDAP provider, refer to https://docs.openshift.com/container-platform/4.8/authentication/identity_providers/configuring-ldap-identity-provider.html.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configure OpenID provider: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1. Create Secret for Client Secret by executing the following: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oc create secret generic idp-secret --from-literal=clientSecret=&lt;secret&gt; -n openshift-config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2. Create config map for OpenID Trust CA by executing the following: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oc create configmap ca-config-map --from-file=ca.crt=/path/to/ca -n openshift-config</t>
    </r>
    <r>
      <rPr>
        <sz val="11"/>
        <color rgb="FF000000"/>
        <rFont val="Calibri"/>
      </rPr>
      <t xml:space="preserve">
</t>
    </r>
    <r>
      <rPr>
        <sz val="11"/>
        <color rgb="FF000000"/>
        <rFont val="Calibri"/>
      </rPr>
      <t>3. Create OpenID Auth Config Resource YAML.</t>
    </r>
    <r>
      <rPr>
        <sz val="11"/>
        <color rgb="FF000000"/>
        <rFont val="Calibri"/>
      </rPr>
      <t xml:space="preserve">
</t>
    </r>
    <r>
      <rPr>
        <sz val="11"/>
        <color rgb="FF000000"/>
        <rFont val="Calibri"/>
      </rPr>
      <t>Using your preferred text editor, create a file named oidcidp.yaml using the example content (replacing config values as appropriate).</t>
    </r>
    <r>
      <rPr>
        <sz val="11"/>
        <color rgb="FF000000"/>
        <rFont val="Calibri"/>
      </rPr>
      <t xml:space="preserve">
</t>
    </r>
    <r>
      <rPr>
        <sz val="11"/>
        <color rgb="FF000000"/>
        <rFont val="Calibri"/>
      </rPr>
      <t>apiVersion: config.openshift.io/v1</t>
    </r>
    <r>
      <rPr>
        <sz val="11"/>
        <color rgb="FF000000"/>
        <rFont val="Calibri"/>
      </rPr>
      <t xml:space="preserve">
</t>
    </r>
    <r>
      <rPr>
        <sz val="11"/>
        <color rgb="FF000000"/>
        <rFont val="Calibri"/>
      </rPr>
      <t>kind: OAuth</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cluster</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identityProviders:</t>
    </r>
    <r>
      <rPr>
        <sz val="11"/>
        <color rgb="FF000000"/>
        <rFont val="Calibri"/>
      </rPr>
      <t xml:space="preserve">
</t>
    </r>
    <r>
      <rPr>
        <sz val="11"/>
        <color rgb="FF000000"/>
        <rFont val="Calibri"/>
      </rPr>
      <t xml:space="preserve">  - name: oidcidp</t>
    </r>
    <r>
      <rPr>
        <sz val="11"/>
        <color rgb="FF000000"/>
        <rFont val="Calibri"/>
      </rPr>
      <t xml:space="preserve">
</t>
    </r>
    <r>
      <rPr>
        <sz val="11"/>
        <color rgb="FF000000"/>
        <rFont val="Calibri"/>
      </rPr>
      <t xml:space="preserve">    mappingMethod: claim</t>
    </r>
    <r>
      <rPr>
        <sz val="11"/>
        <color rgb="FF000000"/>
        <rFont val="Calibri"/>
      </rPr>
      <t xml:space="preserve">
</t>
    </r>
    <r>
      <rPr>
        <sz val="11"/>
        <color rgb="FF000000"/>
        <rFont val="Calibri"/>
      </rPr>
      <t xml:space="preserve">    type: OpenID</t>
    </r>
    <r>
      <rPr>
        <sz val="11"/>
        <color rgb="FF000000"/>
        <rFont val="Calibri"/>
      </rPr>
      <t xml:space="preserve">
</t>
    </r>
    <r>
      <rPr>
        <sz val="11"/>
        <color rgb="FF000000"/>
        <rFont val="Calibri"/>
      </rPr>
      <t xml:space="preserve">    openID:</t>
    </r>
    <r>
      <rPr>
        <sz val="11"/>
        <color rgb="FF000000"/>
        <rFont val="Calibri"/>
      </rPr>
      <t xml:space="preserve">
</t>
    </r>
    <r>
      <rPr>
        <sz val="11"/>
        <color rgb="FF000000"/>
        <rFont val="Calibri"/>
      </rPr>
      <t xml:space="preserve">      clientID: &lt;clientID&gt;</t>
    </r>
    <r>
      <rPr>
        <sz val="11"/>
        <color rgb="FF000000"/>
        <rFont val="Calibri"/>
      </rPr>
      <t xml:space="preserve">
</t>
    </r>
    <r>
      <rPr>
        <sz val="11"/>
        <color rgb="FF000000"/>
        <rFont val="Calibri"/>
      </rPr>
      <t xml:space="preserve">      clientSecret:</t>
    </r>
    <r>
      <rPr>
        <sz val="11"/>
        <color rgb="FF000000"/>
        <rFont val="Calibri"/>
      </rPr>
      <t xml:space="preserve">
</t>
    </r>
    <r>
      <rPr>
        <sz val="11"/>
        <color rgb="FF000000"/>
        <rFont val="Calibri"/>
      </rPr>
      <t xml:space="preserve">        name: oidc-idp-secret</t>
    </r>
    <r>
      <rPr>
        <sz val="11"/>
        <color rgb="FF000000"/>
        <rFont val="Calibri"/>
      </rPr>
      <t xml:space="preserve">
</t>
    </r>
    <r>
      <rPr>
        <sz val="11"/>
        <color rgb="FF000000"/>
        <rFont val="Calibri"/>
      </rPr>
      <t xml:space="preserve">      claims:</t>
    </r>
    <r>
      <rPr>
        <sz val="11"/>
        <color rgb="FF000000"/>
        <rFont val="Calibri"/>
      </rPr>
      <t xml:space="preserve">
</t>
    </r>
    <r>
      <rPr>
        <sz val="11"/>
        <color rgb="FF000000"/>
        <rFont val="Calibri"/>
      </rPr>
      <t xml:space="preserve">        preferredUsername:</t>
    </r>
    <r>
      <rPr>
        <sz val="11"/>
        <color rgb="FF000000"/>
        <rFont val="Calibri"/>
      </rPr>
      <t xml:space="preserve">
</t>
    </r>
    <r>
      <rPr>
        <sz val="11"/>
        <color rgb="FF000000"/>
        <rFont val="Calibri"/>
      </rPr>
      <t xml:space="preserve">        - preferred_username</t>
    </r>
    <r>
      <rPr>
        <sz val="11"/>
        <color rgb="FF000000"/>
        <rFont val="Calibri"/>
      </rPr>
      <t xml:space="preserve">
</t>
    </r>
    <r>
      <rPr>
        <sz val="11"/>
        <color rgb="FF000000"/>
        <rFont val="Calibri"/>
      </rPr>
      <t xml:space="preserve">        name:</t>
    </r>
    <r>
      <rPr>
        <sz val="11"/>
        <color rgb="FF000000"/>
        <rFont val="Calibri"/>
      </rPr>
      <t xml:space="preserve">
</t>
    </r>
    <r>
      <rPr>
        <sz val="11"/>
        <color rgb="FF000000"/>
        <rFont val="Calibri"/>
      </rPr>
      <t xml:space="preserve">        - name</t>
    </r>
    <r>
      <rPr>
        <sz val="11"/>
        <color rgb="FF000000"/>
        <rFont val="Calibri"/>
      </rPr>
      <t xml:space="preserve">
</t>
    </r>
    <r>
      <rPr>
        <sz val="11"/>
        <color rgb="FF000000"/>
        <rFont val="Calibri"/>
      </rPr>
      <t xml:space="preserve">        email:</t>
    </r>
    <r>
      <rPr>
        <sz val="11"/>
        <color rgb="FF000000"/>
        <rFont val="Calibri"/>
      </rPr>
      <t xml:space="preserve">
</t>
    </r>
    <r>
      <rPr>
        <sz val="11"/>
        <color rgb="FF000000"/>
        <rFont val="Calibri"/>
      </rPr>
      <t xml:space="preserve">        - email</t>
    </r>
    <r>
      <rPr>
        <sz val="11"/>
        <color rgb="FF000000"/>
        <rFont val="Calibri"/>
      </rPr>
      <t xml:space="preserve">
</t>
    </r>
    <r>
      <rPr>
        <sz val="11"/>
        <color rgb="FF000000"/>
        <rFont val="Calibri"/>
      </rPr>
      <t xml:space="preserve">      ca:</t>
    </r>
    <r>
      <rPr>
        <sz val="11"/>
        <color rgb="FF000000"/>
        <rFont val="Calibri"/>
      </rPr>
      <t xml:space="preserve">
</t>
    </r>
    <r>
      <rPr>
        <sz val="11"/>
        <color rgb="FF000000"/>
        <rFont val="Calibri"/>
      </rPr>
      <t xml:space="preserve">        name: ca-config-map</t>
    </r>
    <r>
      <rPr>
        <sz val="11"/>
        <color rgb="FF000000"/>
        <rFont val="Calibri"/>
      </rPr>
      <t xml:space="preserve">
</t>
    </r>
    <r>
      <rPr>
        <sz val="11"/>
        <color rgb="FF000000"/>
        <rFont val="Calibri"/>
      </rPr>
      <t xml:space="preserve">      issuer: &lt;URL&gt;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4. Apply OpenID config to cluster by executing the following: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oc apply -f ldapidp.yaml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For more information on configuring an OpenID provider, refer to https://docs.openshift.com/container-platform/4.8/authentication/identity_providers/configuring-oidc-identity-provider.html.</t>
    </r>
  </si>
  <si>
    <r>
      <rPr>
        <sz val="11"/>
        <color rgb="FF000000"/>
        <rFont val="Calibri"/>
      </rPr>
      <t>Passwords need to be protected on entry, in transmission, during authentication, and when stored. If compromised at any of these security points, a nefarious user can use the password along with stolen user account information to gain access or to escalate privileges. The container platform may require account authentication during container platform tasks and before accessing container platform components (e.g., runtime, registry, and keystore).</t>
    </r>
    <r>
      <rPr>
        <sz val="11"/>
        <color rgb="FF000000"/>
        <rFont val="Calibri"/>
      </rPr>
      <t xml:space="preserve">
</t>
    </r>
    <r>
      <rPr>
        <sz val="11"/>
        <color rgb="FF000000"/>
        <rFont val="Calibri"/>
      </rPr>
      <t>During any user authentication, the container platform must use FIPS-validated SHA-2 or later protocol to protect the integrity of the password authentication process.</t>
    </r>
    <r>
      <rPr>
        <sz val="11"/>
        <color rgb="FF000000"/>
        <rFont val="Calibri"/>
      </rPr>
      <t xml:space="preserve">
</t>
    </r>
    <r>
      <rPr>
        <sz val="11"/>
        <color rgb="FF000000"/>
        <rFont val="Calibri"/>
      </rPr>
      <t>Satisfies: SRG-APP-000172-CTR-000440, SRG-APP-000024-CTR-000060, SRG-APP-000025-CTR-000065, SRG-APP-000065-CTR-000115, SRG-APP-000151-CTR-000365, SRG-APP-000152-CTR-000370, SRG-APP-000157-CTR-000385, SRG-APP-000163-CTR-000395, SRG-APP-000164-CTR-000400, SRG-APP-000165-CTR-000405, SRG-APP-000166-CTR-000410, SRG-APP-000167-CTR-000415, SRG-APP-000168-CTR-000420, SRG-APP-000169-CTR-000425, SRG-APP-000170-CTR-000430, SRG-APP-000171-CTR-000435, SRG-APP-000173-CTR-000445, SRG-APP-000174-CTR-000450, SRG-APP-000177-CTR-000465, SRG-APP-000317-CTR-000735, SRG-APP-000318-CTR-000740, SRG-APP-000345-CTR-000785, SRG-APP-000391-CTR-000935, SRG-APP-000397-CTR-000955, SRG-APP-000401-CTR-000965, SRG-APP-000402-CTR-000970</t>
    </r>
  </si>
  <si>
    <t>V-257544</t>
  </si>
  <si>
    <r>
      <rPr>
        <sz val="11"/>
        <rFont val="Calibri"/>
      </rPr>
      <t>OpenShift must terminate all network connections associated with a communications session at the end of the session, or as follows: for in-band management sessions (privileged sessions), the session must be terminated after 10 minutes of inactivity.</t>
    </r>
  </si>
  <si>
    <r>
      <rPr>
        <sz val="11"/>
        <color rgb="FF000000"/>
        <rFont val="Calibri"/>
      </rPr>
      <t>Download the latest version of the OC client, and remove/replace any older versions.</t>
    </r>
    <r>
      <rPr>
        <sz val="11"/>
        <color rgb="FF000000"/>
        <rFont val="Calibri"/>
      </rPr>
      <t xml:space="preserve">
</t>
    </r>
    <r>
      <rPr>
        <sz val="11"/>
        <color rgb="FF000000"/>
        <rFont val="Calibri"/>
      </rPr>
      <t>For each oauth client that does not have the idle timeout set, or the timeout is set to the wrong duration, run the following command to set the idle timeout value to 10 minutes.</t>
    </r>
    <r>
      <rPr>
        <sz val="11"/>
        <color rgb="FF000000"/>
        <rFont val="Calibri"/>
      </rPr>
      <t xml:space="preserve">
</t>
    </r>
    <r>
      <rPr>
        <sz val="11"/>
        <color rgb="FF000000"/>
        <rFont val="Calibri"/>
      </rPr>
      <t>oc patch oauthclient/&lt;CLIENT_NAME&gt; --type=merge -p '{"accessTokenInactivityTimeoutSeconds":600}'</t>
    </r>
    <r>
      <rPr>
        <sz val="11"/>
        <color rgb="FF000000"/>
        <rFont val="Calibri"/>
      </rPr>
      <t xml:space="preserve">
</t>
    </r>
    <r>
      <rPr>
        <sz val="11"/>
        <color rgb="FF000000"/>
        <rFont val="Calibri"/>
      </rPr>
      <t>where CLIENT_NAME is the name of the oauthclient identified in the check.</t>
    </r>
  </si>
  <si>
    <r>
      <rPr>
        <sz val="11"/>
        <color rgb="FF000000"/>
        <rFont val="Calibri"/>
      </rPr>
      <t>In OpenShift, the "session token inactivity timeout" on OAuth clients is set to ensure security and protect against potential unauthorized access to user sessions. OAuth is an open standard for secure authorization and authentication between different services. By setting a session token inactivity timeout, OpenShift reduces the risk of unauthorized access to a user's session if they become inactive or leave their session unattended. It helps protect against potential session hijacking or session replay attacks.</t>
    </r>
    <r>
      <rPr>
        <sz val="11"/>
        <color rgb="FF000000"/>
        <rFont val="Calibri"/>
      </rPr>
      <t xml:space="preserve">
</t>
    </r>
    <r>
      <rPr>
        <sz val="11"/>
        <color rgb="FF000000"/>
        <rFont val="Calibri"/>
      </rPr>
      <t>OpenShift is designed to efficiently manage resources across the cluster. Active sessions consume resources such as memory and CPU. By setting timeouts, OpenShift can reclaim these resources if a session remains inactive for a certain duration. This helps optimize resource allocation and ensures that resources are available for other active sessions and workloads.</t>
    </r>
    <r>
      <rPr>
        <sz val="11"/>
        <color rgb="FF000000"/>
        <rFont val="Calibri"/>
      </rPr>
      <t xml:space="preserve">
</t>
    </r>
    <r>
      <rPr>
        <sz val="11"/>
        <color rgb="FF000000"/>
        <rFont val="Calibri"/>
      </rPr>
      <t>OpenShift provides the ability for automatic time-out to debug node sessions on client versions starting with 4.8.36. By setting a time-out, OpenShift can manage the allocation of resources efficiently. It prevents the scenario where a debug session remains active indefinitely, potentially consuming excessive resources and impacting the performance of other applications running on the cluster.</t>
    </r>
    <r>
      <rPr>
        <sz val="11"/>
        <color rgb="FF000000"/>
        <rFont val="Calibri"/>
      </rPr>
      <t xml:space="preserve">
</t>
    </r>
    <r>
      <rPr>
        <sz val="11"/>
        <color rgb="FF000000"/>
        <rFont val="Calibri"/>
      </rPr>
      <t>Allowing debug sessions to run indefinitely could introduce security risks. If a session is left unattended or unauthorized access is gained to a debug session, it could potentially compromise the application or expose sensitive information. By enforcing time-outs, OpenShift reduces the window of opportunity for unauthorized access and helps maintain the security and stability of the platform.</t>
    </r>
    <r>
      <rPr>
        <sz val="11"/>
        <color rgb="FF000000"/>
        <rFont val="Calibri"/>
      </rPr>
      <t xml:space="preserve">
</t>
    </r>
    <r>
      <rPr>
        <sz val="11"/>
        <color rgb="FF000000"/>
        <rFont val="Calibri"/>
      </rPr>
      <t>Satisfies: SRG-APP-000190-CTR-000500, SRG-APP-000389-CTR-000925</t>
    </r>
  </si>
  <si>
    <r>
      <rPr>
        <sz val="11"/>
        <color rgb="FF000000"/>
        <rFont val="Calibri"/>
      </rPr>
      <t>On each administrators terminal, verify the OC client version includes the required idle timeout by executing the following.</t>
    </r>
    <r>
      <rPr>
        <sz val="11"/>
        <color rgb="FF000000"/>
        <rFont val="Calibri"/>
      </rPr>
      <t xml:space="preserve">
</t>
    </r>
    <r>
      <rPr>
        <sz val="11"/>
        <color rgb="FF000000"/>
        <rFont val="Calibri"/>
      </rPr>
      <t>oc version</t>
    </r>
    <r>
      <rPr>
        <sz val="11"/>
        <color rgb="FF000000"/>
        <rFont val="Calibri"/>
      </rPr>
      <t xml:space="preserve">
</t>
    </r>
    <r>
      <rPr>
        <sz val="11"/>
        <color rgb="FF000000"/>
        <rFont val="Calibri"/>
      </rPr>
      <t>If the client version &lt; "4.8.36", this is a finding.</t>
    </r>
    <r>
      <rPr>
        <sz val="11"/>
        <color rgb="FF000000"/>
        <rFont val="Calibri"/>
      </rPr>
      <t xml:space="preserve">
</t>
    </r>
    <r>
      <rPr>
        <sz val="11"/>
        <color rgb="FF000000"/>
        <rFont val="Calibri"/>
      </rPr>
      <t xml:space="preserve">Determine if the session token inactivity timeout is set on the oauthclients by executing the following: </t>
    </r>
    <r>
      <rPr>
        <sz val="11"/>
        <color rgb="FF000000"/>
        <rFont val="Calibri"/>
      </rPr>
      <t xml:space="preserve">
</t>
    </r>
    <r>
      <rPr>
        <sz val="11"/>
        <color rgb="FF000000"/>
        <rFont val="Calibri"/>
      </rPr>
      <t>oc get oauthclients -ojsonpath='{range .items[*]}{.metadata.name}{"\t"}{.accessTokenInactivityTimeoutSeconds}{"\n"}'</t>
    </r>
    <r>
      <rPr>
        <sz val="11"/>
        <color rgb="FF000000"/>
        <rFont val="Calibri"/>
      </rPr>
      <t xml:space="preserve">
</t>
    </r>
    <r>
      <rPr>
        <sz val="11"/>
        <color rgb="FF000000"/>
        <rFont val="Calibri"/>
      </rPr>
      <t>The output will list each oauth client name followed by a number. The number represents the timeout in seconds. If no number is displayed, or the timeout value is &gt;600, this is a finding.</t>
    </r>
  </si>
  <si>
    <t>V-257545</t>
  </si>
  <si>
    <r>
      <rPr>
        <sz val="11"/>
        <rFont val="Calibri"/>
      </rPr>
      <t>OpenShift must separate user functionality (including user interface services) from information system management functionality.</t>
    </r>
  </si>
  <si>
    <r>
      <rPr>
        <sz val="11"/>
        <color rgb="FF000000"/>
        <rFont val="Calibri"/>
      </rPr>
      <t>Disable and remove passwords from root and core accounts by executing the following:</t>
    </r>
    <r>
      <rPr>
        <sz val="11"/>
        <color rgb="FF000000"/>
        <rFont val="Calibri"/>
      </rPr>
      <t xml:space="preserve">
</t>
    </r>
    <r>
      <rPr>
        <sz val="11"/>
        <color rgb="FF000000"/>
        <rFont val="Calibri"/>
      </rPr>
      <t xml:space="preserve"> for node in $(oc get node -oname); do oc debug $node -- chroot /host /bin/bash -c &amp;#039;usermod -p &amp;#039;*&amp;#039; root; usermod -p &amp;#039;*&amp;#039; core&amp;#039; 2&amp;gt;/dev/null; done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Remove any additional user accounts from the nodes by executing the following:</t>
    </r>
    <r>
      <rPr>
        <sz val="11"/>
        <color rgb="FF000000"/>
        <rFont val="Calibri"/>
      </rPr>
      <t xml:space="preserve">
</t>
    </r>
    <r>
      <rPr>
        <sz val="11"/>
        <color rgb="FF000000"/>
        <rFont val="Calibri"/>
      </rPr>
      <t>oc debug node/&amp;lt;node&amp;gt; -- chroot /host /bin/bash -c &amp;#039;userdel &amp;lt;user&amp;gt;&amp;#039;</t>
    </r>
    <r>
      <rPr>
        <sz val="11"/>
        <color rgb="FF000000"/>
        <rFont val="Calibri"/>
      </rPr>
      <t xml:space="preserve">
</t>
    </r>
    <r>
      <rPr>
        <sz val="11"/>
        <color rgb="FF000000"/>
        <rFont val="Calibri"/>
      </rPr>
      <t>Where OpenShift Virtualization is enabled:</t>
    </r>
    <r>
      <rPr>
        <sz val="11"/>
        <color rgb="FF000000"/>
        <rFont val="Calibri"/>
      </rPr>
      <t xml:space="preserve">
</t>
    </r>
    <r>
      <rPr>
        <sz val="11"/>
        <color rgb="FF000000"/>
        <rFont val="Calibri"/>
      </rPr>
      <t>oc get rolebinding -ojson | jq -r '.items[] | select(.roleRef.name | contains("token.kubevirt.io:generate")) | .metadata.name' | xargs oc delete rolebinding</t>
    </r>
  </si>
  <si>
    <r>
      <rPr>
        <sz val="11"/>
        <color rgb="FF000000"/>
        <rFont val="Calibri"/>
      </rPr>
      <t xml:space="preserve">Red Hat Enterprise Linux CoreOS (RHCOS) is a single-purpose container operating system. RHCOS is only supported as a component of the OpenShift Container Platform. Remote management of the RHCOS nodes is performed at the OpenShift Container Platform API level. </t>
    </r>
    <r>
      <rPr>
        <sz val="11"/>
        <color rgb="FF000000"/>
        <rFont val="Calibri"/>
      </rPr>
      <t xml:space="preserve">
</t>
    </r>
    <r>
      <rPr>
        <sz val="11"/>
        <color rgb="FF000000"/>
        <rFont val="Calibri"/>
      </rPr>
      <t>Any direct access to the RHCOS nodes is unnecessary. RHCOS only has two user accounts defined, root(0) and core(1000). These are the only two user accounts that should exist on the RHCOS nodes. As any administrative access or actions are to be done through the OpenShift Container Platform's administrative APIs, direct logon access to the RHCOS host must be disabled.</t>
    </r>
  </si>
  <si>
    <r>
      <rPr>
        <sz val="11"/>
        <color rgb="FF000000"/>
        <rFont val="Calibri"/>
      </rPr>
      <t>Verify root and core are the only user accounts on the nodes by executing the following:</t>
    </r>
    <r>
      <rPr>
        <sz val="11"/>
        <color rgb="FF000000"/>
        <rFont val="Calibri"/>
      </rPr>
      <t xml:space="preserve">
</t>
    </r>
    <r>
      <rPr>
        <sz val="11"/>
        <color rgb="FF000000"/>
        <rFont val="Calibri"/>
      </rPr>
      <t xml:space="preserve"> for node in $(oc get node -oname); do oc debug $node -- chroot /host /bin/bash -c &amp;#039;echo -n &amp;#039;$HOSTNAME &amp;#039;; cat /etc/passwd&amp;#039; 2&amp;gt;/dev/null; done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output will look similar to:</t>
    </r>
    <r>
      <rPr>
        <sz val="11"/>
        <color rgb="FF000000"/>
        <rFont val="Calibri"/>
      </rPr>
      <t xml:space="preserve">
</t>
    </r>
    <r>
      <rPr>
        <sz val="11"/>
        <color rgb="FF000000"/>
        <rFont val="Calibri"/>
      </rPr>
      <t>&amp;lt;node_name&amp;gt; root:x:0:0:root:/root:/bin/bash</t>
    </r>
    <r>
      <rPr>
        <sz val="11"/>
        <color rgb="FF000000"/>
        <rFont val="Calibri"/>
      </rPr>
      <t xml:space="preserve">
</t>
    </r>
    <r>
      <rPr>
        <sz val="11"/>
        <color rgb="FF000000"/>
        <rFont val="Calibri"/>
      </rPr>
      <t>core:x:1000:1000:CoreOS Admin:/var/home/core:/bin/bash</t>
    </r>
    <r>
      <rPr>
        <sz val="11"/>
        <color rgb="FF000000"/>
        <rFont val="Calibri"/>
      </rPr>
      <t xml:space="preserve">
</t>
    </r>
    <r>
      <rPr>
        <sz val="11"/>
        <color rgb="FF000000"/>
        <rFont val="Calibri"/>
      </rPr>
      <t>containers:x:993:995:User for housing the sub ID range for containers:/var/home/containers:/sbin/nologin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there are any user accounts in addition to root, containers, and core,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Verify the root and core users are set to disable password logon by executing the following:</t>
    </r>
    <r>
      <rPr>
        <sz val="11"/>
        <color rgb="FF000000"/>
        <rFont val="Calibri"/>
      </rPr>
      <t xml:space="preserve">
</t>
    </r>
    <r>
      <rPr>
        <sz val="11"/>
        <color rgb="FF000000"/>
        <rFont val="Calibri"/>
      </rPr>
      <t xml:space="preserve"> for node in $(oc get node -oname); do oc debug $node -- chroot /host /bin/bash -c &amp;#039;echo -n &amp;#039;$HOSTNAME &amp;#039;; grep -e &amp;#039;^root&amp;#039; -e &amp;#039;^core&amp;#039; /etc/shadow&amp;#039; 2&amp;gt;/dev/null; done</t>
    </r>
    <r>
      <rPr>
        <sz val="11"/>
        <color rgb="FF000000"/>
        <rFont val="Calibri"/>
      </rPr>
      <t xml:space="preserve">
</t>
    </r>
    <r>
      <rPr>
        <sz val="11"/>
        <color rgb="FF000000"/>
        <rFont val="Calibri"/>
      </rPr>
      <t>The output will look similar to:</t>
    </r>
    <r>
      <rPr>
        <sz val="11"/>
        <color rgb="FF000000"/>
        <rFont val="Calibri"/>
      </rPr>
      <t xml:space="preserve">
</t>
    </r>
    <r>
      <rPr>
        <sz val="11"/>
        <color rgb="FF000000"/>
        <rFont val="Calibri"/>
      </rPr>
      <t>&amp;lt;node_name&amp;gt;</t>
    </r>
    <r>
      <rPr>
        <sz val="11"/>
        <color rgb="FF000000"/>
        <rFont val="Calibri"/>
      </rPr>
      <t xml:space="preserve">
</t>
    </r>
    <r>
      <rPr>
        <sz val="11"/>
        <color rgb="FF000000"/>
        <rFont val="Calibri"/>
      </rPr>
      <t>root:*:18367:0:99999:7:::</t>
    </r>
    <r>
      <rPr>
        <sz val="11"/>
        <color rgb="FF000000"/>
        <rFont val="Calibri"/>
      </rPr>
      <t xml:space="preserve">
</t>
    </r>
    <r>
      <rPr>
        <sz val="11"/>
        <color rgb="FF000000"/>
        <rFont val="Calibri"/>
      </rPr>
      <t>core:*:18939:0:99999:7:::</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password entry has anything other than &amp;#039;*&amp;#039;, this is a finding.</t>
    </r>
    <r>
      <rPr>
        <sz val="11"/>
        <color rgb="FF000000"/>
        <rFont val="Calibri"/>
      </rPr>
      <t xml:space="preserve">
</t>
    </r>
    <r>
      <rPr>
        <sz val="11"/>
        <color rgb="FF000000"/>
        <rFont val="Calibri"/>
      </rPr>
      <t>Where OpenShift Virtualization is enabled:</t>
    </r>
    <r>
      <rPr>
        <sz val="11"/>
        <color rgb="FF000000"/>
        <rFont val="Calibri"/>
      </rPr>
      <t xml:space="preserve">
</t>
    </r>
    <r>
      <rPr>
        <sz val="11"/>
        <color rgb="FF000000"/>
        <rFont val="Calibri"/>
      </rPr>
      <t>$ oc get rolebinding -ojson | jq -c '.items[] | select(.roleRef.name</t>
    </r>
    <r>
      <rPr>
        <sz val="11"/>
        <color rgb="FF000000"/>
        <rFont val="Calibri"/>
      </rPr>
      <t xml:space="preserve">
</t>
    </r>
    <r>
      <rPr>
        <sz val="11"/>
        <color rgb="FF000000"/>
        <rFont val="Calibri"/>
      </rPr>
      <t>| contains("token.kubevirt.io:generate"))'</t>
    </r>
    <r>
      <rPr>
        <sz val="11"/>
        <color rgb="FF000000"/>
        <rFont val="Calibri"/>
      </rPr>
      <t xml:space="preserve">
</t>
    </r>
    <r>
      <rPr>
        <sz val="11"/>
        <color rgb="FF000000"/>
        <rFont val="Calibri"/>
      </rPr>
      <t>If these results show users with this rolebinding, this is a finding.</t>
    </r>
  </si>
  <si>
    <t>V-257546</t>
  </si>
  <si>
    <r>
      <rPr>
        <sz val="11"/>
        <rFont val="Calibri"/>
      </rPr>
      <t>OpenShift must protect authenticity of communications sessions with the use of FIPS-validated 140-2 or 140-3 validated cryptography.</t>
    </r>
  </si>
  <si>
    <r>
      <rPr>
        <sz val="11"/>
        <color rgb="FF000000"/>
        <rFont val="Calibri"/>
      </rPr>
      <t>Reinstall the OpenShift cluster in FIPS mode. The file install-config.yaml has a top-level key that enables FIPS mode for all nodes and the cluster platform layer. If the install-config.yaml was not backed up prior to consumption as part of the installation, recreate it. An example install-config.yaml with some sections trimmed out for brevity, and the "fips: true" key applied at the top level is shown below:</t>
    </r>
    <r>
      <rPr>
        <sz val="11"/>
        <color rgb="FF000000"/>
        <rFont val="Calibri"/>
      </rPr>
      <t xml:space="preserve">
</t>
    </r>
    <r>
      <rPr>
        <sz val="11"/>
        <color rgb="FF000000"/>
        <rFont val="Calibri"/>
      </rPr>
      <t>apiVersion: v1</t>
    </r>
    <r>
      <rPr>
        <sz val="11"/>
        <color rgb="FF000000"/>
        <rFont val="Calibri"/>
      </rPr>
      <t xml:space="preserve">
</t>
    </r>
    <r>
      <rPr>
        <sz val="11"/>
        <color rgb="FF000000"/>
        <rFont val="Calibri"/>
      </rPr>
      <t>baseDomain: example.com</t>
    </r>
    <r>
      <rPr>
        <sz val="11"/>
        <color rgb="FF000000"/>
        <rFont val="Calibri"/>
      </rPr>
      <t xml:space="preserve">
</t>
    </r>
    <r>
      <rPr>
        <sz val="11"/>
        <color rgb="FF000000"/>
        <rFont val="Calibri"/>
      </rPr>
      <t>controlPlane:</t>
    </r>
    <r>
      <rPr>
        <sz val="11"/>
        <color rgb="FF000000"/>
        <rFont val="Calibri"/>
      </rPr>
      <t xml:space="preserve">
</t>
    </r>
    <r>
      <rPr>
        <sz val="11"/>
        <color rgb="FF000000"/>
        <rFont val="Calibri"/>
      </rPr>
      <t xml:space="preserve">  name: master</t>
    </r>
    <r>
      <rPr>
        <sz val="11"/>
        <color rgb="FF000000"/>
        <rFont val="Calibri"/>
      </rPr>
      <t xml:space="preserve">
</t>
    </r>
    <r>
      <rPr>
        <sz val="11"/>
        <color rgb="FF000000"/>
        <rFont val="Calibri"/>
      </rPr>
      <t xml:space="preserve">  platform:</t>
    </r>
    <r>
      <rPr>
        <sz val="11"/>
        <color rgb="FF000000"/>
        <rFont val="Calibri"/>
      </rPr>
      <t xml:space="preserve">
</t>
    </r>
    <r>
      <rPr>
        <sz val="11"/>
        <color rgb="FF000000"/>
        <rFont val="Calibri"/>
      </rPr>
      <t xml:space="preserve">    aws: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replicas: 3</t>
    </r>
    <r>
      <rPr>
        <sz val="11"/>
        <color rgb="FF000000"/>
        <rFont val="Calibri"/>
      </rPr>
      <t xml:space="preserve">
</t>
    </r>
    <r>
      <rPr>
        <sz val="11"/>
        <color rgb="FF000000"/>
        <rFont val="Calibri"/>
      </rPr>
      <t>compute:</t>
    </r>
    <r>
      <rPr>
        <sz val="11"/>
        <color rgb="FF000000"/>
        <rFont val="Calibri"/>
      </rPr>
      <t xml:space="preserve">
</t>
    </r>
    <r>
      <rPr>
        <sz val="11"/>
        <color rgb="FF000000"/>
        <rFont val="Calibri"/>
      </rPr>
      <t>- name: worker</t>
    </r>
    <r>
      <rPr>
        <sz val="11"/>
        <color rgb="FF000000"/>
        <rFont val="Calibri"/>
      </rPr>
      <t xml:space="preserve">
</t>
    </r>
    <r>
      <rPr>
        <sz val="11"/>
        <color rgb="FF000000"/>
        <rFont val="Calibri"/>
      </rPr>
      <t xml:space="preserve">  platform:</t>
    </r>
    <r>
      <rPr>
        <sz val="11"/>
        <color rgb="FF000000"/>
        <rFont val="Calibri"/>
      </rPr>
      <t xml:space="preserve">
</t>
    </r>
    <r>
      <rPr>
        <sz val="11"/>
        <color rgb="FF000000"/>
        <rFont val="Calibri"/>
      </rPr>
      <t xml:space="preserve">    aws:</t>
    </r>
    <r>
      <rPr>
        <sz val="11"/>
        <color rgb="FF000000"/>
        <rFont val="Calibri"/>
      </rPr>
      <t xml:space="preserve">
</t>
    </r>
    <r>
      <rPr>
        <sz val="11"/>
        <color rgb="FF000000"/>
        <rFont val="Calibri"/>
      </rPr>
      <t xml:space="preserve">  replicas: 3</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fips-cluster</t>
    </r>
    <r>
      <rPr>
        <sz val="11"/>
        <color rgb="FF000000"/>
        <rFont val="Calibri"/>
      </rPr>
      <t xml:space="preserve">
</t>
    </r>
    <r>
      <rPr>
        <sz val="11"/>
        <color rgb="FF000000"/>
        <rFont val="Calibri"/>
      </rPr>
      <t>networking: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platform:</t>
    </r>
    <r>
      <rPr>
        <sz val="11"/>
        <color rgb="FF000000"/>
        <rFont val="Calibri"/>
      </rPr>
      <t xml:space="preserve">
</t>
    </r>
    <r>
      <rPr>
        <sz val="11"/>
        <color rgb="FF000000"/>
        <rFont val="Calibri"/>
      </rPr>
      <t xml:space="preserve">  aws: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sshKey: ssh-ed25519 AAAA...</t>
    </r>
    <r>
      <rPr>
        <sz val="11"/>
        <color rgb="FF000000"/>
        <rFont val="Calibri"/>
      </rPr>
      <t xml:space="preserve">
</t>
    </r>
    <r>
      <rPr>
        <sz val="11"/>
        <color rgb="FF000000"/>
        <rFont val="Calibri"/>
      </rPr>
      <t>pullSecret: '{"auths": ...}'</t>
    </r>
    <r>
      <rPr>
        <sz val="11"/>
        <color rgb="FF000000"/>
        <rFont val="Calibri"/>
      </rPr>
      <t xml:space="preserve">
</t>
    </r>
    <r>
      <rPr>
        <sz val="11"/>
        <color rgb="FF000000"/>
        <rFont val="Calibri"/>
      </rPr>
      <t>fips: true</t>
    </r>
    <r>
      <rPr>
        <sz val="11"/>
        <color rgb="FF000000"/>
        <rFont val="Calibri"/>
      </rPr>
      <t xml:space="preserve">
</t>
    </r>
    <r>
      <rPr>
        <sz val="11"/>
        <color rgb="FF000000"/>
        <rFont val="Calibri"/>
      </rPr>
      <t>Once the install-config.yaml is saved with corresponding correct information for the installation infrastructure, run the installer to create a cluster that uses FIPS Validated/Modules in Process cryptographic libraries. The command to install a cluster and consume the install-config.yaml is:</t>
    </r>
    <r>
      <rPr>
        <sz val="11"/>
        <color rgb="FF000000"/>
        <rFont val="Calibri"/>
      </rPr>
      <t xml:space="preserve">
</t>
    </r>
    <r>
      <rPr>
        <sz val="11"/>
        <color rgb="FF000000"/>
        <rFont val="Calibri"/>
      </rPr>
      <t>&gt; ./openshift-install create cluster --dir=&lt;installation_directory&gt; --log-level=info</t>
    </r>
    <r>
      <rPr>
        <sz val="11"/>
        <color rgb="FF000000"/>
        <rFont val="Calibri"/>
      </rPr>
      <t xml:space="preserve">
</t>
    </r>
    <r>
      <rPr>
        <sz val="11"/>
        <color rgb="FF000000"/>
        <rFont val="Calibri"/>
      </rPr>
      <t>Where &lt;installation_directory&gt; is the directory that contains install-config.yaml</t>
    </r>
    <r>
      <rPr>
        <sz val="11"/>
        <color rgb="FF000000"/>
        <rFont val="Calibri"/>
      </rPr>
      <t xml:space="preserve">
</t>
    </r>
    <r>
      <rPr>
        <sz val="11"/>
        <color rgb="FF000000"/>
        <rFont val="Calibri"/>
      </rPr>
      <t>Additional details can be found here: https://docs.openshift.com/container-platform/4.8/installing/installing-fips.html</t>
    </r>
  </si>
  <si>
    <r>
      <rPr>
        <sz val="11"/>
        <color rgb="FF000000"/>
        <rFont val="Calibri"/>
      </rPr>
      <t>FIPS compliance is one of the most critical components required in highly secure environments, to ensure that only supported cryptographic technologies are allowed on nodes.</t>
    </r>
    <r>
      <rPr>
        <sz val="11"/>
        <color rgb="FF000000"/>
        <rFont val="Calibri"/>
      </rPr>
      <t xml:space="preserve">
</t>
    </r>
    <r>
      <rPr>
        <sz val="11"/>
        <color rgb="FF000000"/>
        <rFont val="Calibri"/>
      </rPr>
      <t>Because FIPS must be enabled before the operating system used by the cluster boots for the first time, FIPS cannot be disabled after a cluster is deployed.</t>
    </r>
    <r>
      <rPr>
        <sz val="11"/>
        <color rgb="FF000000"/>
        <rFont val="Calibri"/>
      </rPr>
      <t xml:space="preserve">
</t>
    </r>
    <r>
      <rPr>
        <sz val="11"/>
        <color rgb="FF000000"/>
        <rFont val="Calibri"/>
      </rPr>
      <t>OpenShift employs industry-validated cryptographic algorithms, key management practices, and secure protocols, reducing the likelihood of cryptographic vulnerabilities and attacks.</t>
    </r>
    <r>
      <rPr>
        <sz val="11"/>
        <color rgb="FF000000"/>
        <rFont val="Calibri"/>
      </rPr>
      <t xml:space="preserve">
</t>
    </r>
    <r>
      <rPr>
        <sz val="11"/>
        <color rgb="FF000000"/>
        <rFont val="Calibri"/>
      </rPr>
      <t>Satisfies: SRG-APP-000219-CTR-000550, SRG-APP-000635-CTR-001405, SRG-APP-000126-CTR-000275, SRG-APP-000411-CTR-000995, SRG-APP-000412-CTR-001000, SRG-APP-000416-CTR-001015, SRG-APP-000514-CTR-001315</t>
    </r>
  </si>
  <si>
    <r>
      <rPr>
        <sz val="11"/>
        <color rgb="FF000000"/>
        <rFont val="Calibri"/>
      </rPr>
      <t>To validate the OpenShift cluster is running with FIPS enabled on each node by executing the following:</t>
    </r>
    <r>
      <rPr>
        <sz val="11"/>
        <color rgb="FF000000"/>
        <rFont val="Calibri"/>
      </rPr>
      <t xml:space="preserve">
</t>
    </r>
    <r>
      <rPr>
        <sz val="11"/>
        <color rgb="FF000000"/>
        <rFont val="Calibri"/>
      </rPr>
      <t>for node in $(oc get node -oname); do oc debug $node -- chroot /host /bin/bash -c 'echo -n "$HOSTNAME "; sysctl crypto.fips_enabled' 2&gt;/dev/null; done</t>
    </r>
    <r>
      <rPr>
        <sz val="11"/>
        <color rgb="FF000000"/>
        <rFont val="Calibri"/>
      </rPr>
      <t xml:space="preserve">
</t>
    </r>
    <r>
      <rPr>
        <sz val="11"/>
        <color rgb="FF000000"/>
        <rFont val="Calibri"/>
      </rPr>
      <t>If any lines of output end in anything other than 1, this is a finding.</t>
    </r>
  </si>
  <si>
    <t>V-257547</t>
  </si>
  <si>
    <r>
      <rPr>
        <sz val="11"/>
        <rFont val="Calibri"/>
      </rPr>
      <t>OpenShift runtime must isolate security functions from nonsecurity functions.</t>
    </r>
  </si>
  <si>
    <r>
      <rPr>
        <sz val="11"/>
        <color rgb="FF000000"/>
        <rFont val="Calibri"/>
      </rPr>
      <t>Apply the machine config by executing the following:</t>
    </r>
    <r>
      <rPr>
        <sz val="11"/>
        <color rgb="FF000000"/>
        <rFont val="Calibri"/>
      </rPr>
      <t xml:space="preserve">
</t>
    </r>
    <r>
      <rPr>
        <sz val="11"/>
        <color rgb="FF000000"/>
        <rFont val="Calibri"/>
      </rPr>
      <t>for mcpool in $(oc get mcp -oname | sed "s:.*/::" ); do</t>
    </r>
    <r>
      <rPr>
        <sz val="11"/>
        <color rgb="FF000000"/>
        <rFont val="Calibri"/>
      </rPr>
      <t xml:space="preserve">
</t>
    </r>
    <r>
      <rPr>
        <sz val="11"/>
        <color rgb="FF000000"/>
        <rFont val="Calibri"/>
      </rPr>
      <t>echo "apiVersion: machineconfiguration.openshift.io/v1</t>
    </r>
    <r>
      <rPr>
        <sz val="11"/>
        <color rgb="FF000000"/>
        <rFont val="Calibri"/>
      </rPr>
      <t xml:space="preserve">
</t>
    </r>
    <r>
      <rPr>
        <sz val="11"/>
        <color rgb="FF000000"/>
        <rFont val="Calibri"/>
      </rPr>
      <t>kind: MachineConfig</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05-kernelarg-selinux-enforcing-$mcpool</t>
    </r>
    <r>
      <rPr>
        <sz val="11"/>
        <color rgb="FF000000"/>
        <rFont val="Calibri"/>
      </rPr>
      <t xml:space="preserve">
</t>
    </r>
    <r>
      <rPr>
        <sz val="11"/>
        <color rgb="FF000000"/>
        <rFont val="Calibri"/>
      </rPr>
      <t xml:space="preserve">  labels:</t>
    </r>
    <r>
      <rPr>
        <sz val="11"/>
        <color rgb="FF000000"/>
        <rFont val="Calibri"/>
      </rPr>
      <t xml:space="preserve">
</t>
    </r>
    <r>
      <rPr>
        <sz val="11"/>
        <color rgb="FF000000"/>
        <rFont val="Calibri"/>
      </rPr>
      <t xml:space="preserve">    machineconfiguration.openshift.io/role: $mcpool</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config:</t>
    </r>
    <r>
      <rPr>
        <sz val="11"/>
        <color rgb="FF000000"/>
        <rFont val="Calibri"/>
      </rPr>
      <t xml:space="preserve">
</t>
    </r>
    <r>
      <rPr>
        <sz val="11"/>
        <color rgb="FF000000"/>
        <rFont val="Calibri"/>
      </rPr>
      <t xml:space="preserve">    ignition:</t>
    </r>
    <r>
      <rPr>
        <sz val="11"/>
        <color rgb="FF000000"/>
        <rFont val="Calibri"/>
      </rPr>
      <t xml:space="preserve">
</t>
    </r>
    <r>
      <rPr>
        <sz val="11"/>
        <color rgb="FF000000"/>
        <rFont val="Calibri"/>
      </rPr>
      <t xml:space="preserve">      version: 3.1.0</t>
    </r>
    <r>
      <rPr>
        <sz val="11"/>
        <color rgb="FF000000"/>
        <rFont val="Calibri"/>
      </rPr>
      <t xml:space="preserve">
</t>
    </r>
    <r>
      <rPr>
        <sz val="11"/>
        <color rgb="FF000000"/>
        <rFont val="Calibri"/>
      </rPr>
      <t xml:space="preserve">  kernelArguments:</t>
    </r>
    <r>
      <rPr>
        <sz val="11"/>
        <color rgb="FF000000"/>
        <rFont val="Calibri"/>
      </rPr>
      <t xml:space="preserve">
</t>
    </r>
    <r>
      <rPr>
        <sz val="11"/>
        <color rgb="FF000000"/>
        <rFont val="Calibri"/>
      </rPr>
      <t xml:space="preserve">    - enforcing=1</t>
    </r>
    <r>
      <rPr>
        <sz val="11"/>
        <color rgb="FF000000"/>
        <rFont val="Calibri"/>
      </rPr>
      <t xml:space="preserve">
</t>
    </r>
    <r>
      <rPr>
        <sz val="11"/>
        <color rgb="FF000000"/>
        <rFont val="Calibri"/>
      </rPr>
      <t>" | oc apply -f -</t>
    </r>
    <r>
      <rPr>
        <sz val="11"/>
        <color rgb="FF000000"/>
        <rFont val="Calibri"/>
      </rPr>
      <t xml:space="preserve">
</t>
    </r>
    <r>
      <rPr>
        <sz val="11"/>
        <color rgb="FF000000"/>
        <rFont val="Calibri"/>
      </rPr>
      <t>done</t>
    </r>
  </si>
  <si>
    <r>
      <rPr>
        <sz val="11"/>
        <color rgb="FF000000"/>
        <rFont val="Calibri"/>
      </rPr>
      <t>An isolation boundary provides access control and protects the integrity of the hardware, software, and firmware that perform security functions. Security functions are the hardware, software, and/or firmware of the information system responsible for enforcing the system security policy and supporting the isolation of code and data on which the protection is based.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Operating systems implement code separation (i.e., separation of security functions from nonsecurity functions) in several ways, including through the provision of security kernels via processor rings or processor modes. For nonkernel code, security function isolation is often achieved through file system protections that serve to protect the code on disk and address space protections that protect executing code.</t>
    </r>
    <r>
      <rPr>
        <sz val="11"/>
        <color rgb="FF000000"/>
        <rFont val="Calibri"/>
      </rPr>
      <t xml:space="preserve">
</t>
    </r>
    <r>
      <rPr>
        <sz val="11"/>
        <color rgb="FF000000"/>
        <rFont val="Calibri"/>
      </rPr>
      <t>Developers and implementers can increase the assurance in security functions by employing well-defined security policy models; structured, disciplined, and rigorous hardware and software development techniques; and sound system/security engineering principles. Implementation may include isolation of memory space and libraries. Operating systems restrict access to security functions using access control mechanisms and by implementing least privilege capabilities.</t>
    </r>
  </si>
  <si>
    <r>
      <rPr>
        <sz val="11"/>
        <color rgb="FF000000"/>
        <rFont val="Calibri"/>
      </rPr>
      <t>Verify the Red Hat Enterprise Linux CoreOS (RHCOS) verifies correct operation of all security functions by executing the following:</t>
    </r>
    <r>
      <rPr>
        <sz val="11"/>
        <color rgb="FF000000"/>
        <rFont val="Calibri"/>
      </rPr>
      <t xml:space="preserve">
</t>
    </r>
    <r>
      <rPr>
        <sz val="11"/>
        <color rgb="FF000000"/>
        <rFont val="Calibri"/>
      </rPr>
      <t>for node in $(oc get node -oname); do oc debug $node -- chroot /host /bin/bash -c 'echo -n "$HOSTNAME "; getenforce' 2&gt;/dev/null; done</t>
    </r>
    <r>
      <rPr>
        <sz val="11"/>
        <color rgb="FF000000"/>
        <rFont val="Calibri"/>
      </rPr>
      <t xml:space="preserve">
</t>
    </r>
    <r>
      <rPr>
        <sz val="11"/>
        <color rgb="FF000000"/>
        <rFont val="Calibri"/>
      </rPr>
      <t>If "SELinux" is not active and not in "Enforcing" mode, this is a finding.</t>
    </r>
  </si>
  <si>
    <t>V-257548</t>
  </si>
  <si>
    <r>
      <rPr>
        <sz val="11"/>
        <rFont val="Calibri"/>
      </rPr>
      <t>OpenShift must prevent unauthorized and unintended information transfer via shared system resources and enable page poisoning.</t>
    </r>
  </si>
  <si>
    <r>
      <rPr>
        <sz val="11"/>
        <color rgb="FF000000"/>
        <rFont val="Calibri"/>
      </rPr>
      <t xml:space="preserve">Apply the machine config to enable page poisoning by executing the following: </t>
    </r>
    <r>
      <rPr>
        <sz val="11"/>
        <color rgb="FF000000"/>
        <rFont val="Calibri"/>
      </rPr>
      <t xml:space="preserve">
</t>
    </r>
    <r>
      <rPr>
        <sz val="11"/>
        <color rgb="FF000000"/>
        <rFont val="Calibri"/>
      </rPr>
      <t xml:space="preserve"> for mcpool in $(oc get mcp -oname | sed &amp;#039;s:.*/::&amp;#039; ); do</t>
    </r>
    <r>
      <rPr>
        <sz val="11"/>
        <color rgb="FF000000"/>
        <rFont val="Calibri"/>
      </rPr>
      <t xml:space="preserve">
</t>
    </r>
    <r>
      <rPr>
        <sz val="11"/>
        <color rgb="FF000000"/>
        <rFont val="Calibri"/>
      </rPr>
      <t>echo &amp;#039;apiVersion: machineconfiguration.openshift.io/v1</t>
    </r>
    <r>
      <rPr>
        <sz val="11"/>
        <color rgb="FF000000"/>
        <rFont val="Calibri"/>
      </rPr>
      <t xml:space="preserve">
</t>
    </r>
    <r>
      <rPr>
        <sz val="11"/>
        <color rgb="FF000000"/>
        <rFont val="Calibri"/>
      </rPr>
      <t>kind: MachineConfig</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05-kernelarg-page-poison-$mcpool</t>
    </r>
    <r>
      <rPr>
        <sz val="11"/>
        <color rgb="FF000000"/>
        <rFont val="Calibri"/>
      </rPr>
      <t xml:space="preserve">
</t>
    </r>
    <r>
      <rPr>
        <sz val="11"/>
        <color rgb="FF000000"/>
        <rFont val="Calibri"/>
      </rPr>
      <t xml:space="preserve"> labels:</t>
    </r>
    <r>
      <rPr>
        <sz val="11"/>
        <color rgb="FF000000"/>
        <rFont val="Calibri"/>
      </rPr>
      <t xml:space="preserve">
</t>
    </r>
    <r>
      <rPr>
        <sz val="11"/>
        <color rgb="FF000000"/>
        <rFont val="Calibri"/>
      </rPr>
      <t xml:space="preserve"> machineconfiguration.openshift.io/role: $mcpool</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config:</t>
    </r>
    <r>
      <rPr>
        <sz val="11"/>
        <color rgb="FF000000"/>
        <rFont val="Calibri"/>
      </rPr>
      <t xml:space="preserve">
</t>
    </r>
    <r>
      <rPr>
        <sz val="11"/>
        <color rgb="FF000000"/>
        <rFont val="Calibri"/>
      </rPr>
      <t xml:space="preserve"> ignition:</t>
    </r>
    <r>
      <rPr>
        <sz val="11"/>
        <color rgb="FF000000"/>
        <rFont val="Calibri"/>
      </rPr>
      <t xml:space="preserve">
</t>
    </r>
    <r>
      <rPr>
        <sz val="11"/>
        <color rgb="FF000000"/>
        <rFont val="Calibri"/>
      </rPr>
      <t xml:space="preserve"> version: 3.1.0</t>
    </r>
    <r>
      <rPr>
        <sz val="11"/>
        <color rgb="FF000000"/>
        <rFont val="Calibri"/>
      </rPr>
      <t xml:space="preserve">
</t>
    </r>
    <r>
      <rPr>
        <sz val="11"/>
        <color rgb="FF000000"/>
        <rFont val="Calibri"/>
      </rPr>
      <t xml:space="preserve"> kernelArguments:</t>
    </r>
    <r>
      <rPr>
        <sz val="11"/>
        <color rgb="FF000000"/>
        <rFont val="Calibri"/>
      </rPr>
      <t xml:space="preserve">
</t>
    </r>
    <r>
      <rPr>
        <sz val="11"/>
        <color rgb="FF000000"/>
        <rFont val="Calibri"/>
      </rPr>
      <t xml:space="preserve"> - page_poison=1</t>
    </r>
    <r>
      <rPr>
        <sz val="11"/>
        <color rgb="FF000000"/>
        <rFont val="Calibri"/>
      </rPr>
      <t xml:space="preserve">
</t>
    </r>
    <r>
      <rPr>
        <sz val="11"/>
        <color rgb="FF000000"/>
        <rFont val="Calibri"/>
      </rPr>
      <t>&amp;#039; | oc apply -f -</t>
    </r>
    <r>
      <rPr>
        <sz val="11"/>
        <color rgb="FF000000"/>
        <rFont val="Calibri"/>
      </rPr>
      <t xml:space="preserve">
</t>
    </r>
    <r>
      <rPr>
        <sz val="11"/>
        <color rgb="FF000000"/>
        <rFont val="Calibri"/>
      </rPr>
      <t xml:space="preserve">done </t>
    </r>
    <r>
      <rPr>
        <sz val="11"/>
        <color rgb="FF000000"/>
        <rFont val="Calibri"/>
      </rPr>
      <t xml:space="preserve">
</t>
    </r>
    <r>
      <rPr>
        <sz val="11"/>
        <color rgb="FF000000"/>
        <rFont val="Calibri"/>
      </rPr>
      <t>Where OpenShift Virtualization is enabled and Windows SCF is not in use execute the following:</t>
    </r>
    <r>
      <rPr>
        <sz val="11"/>
        <color rgb="FF000000"/>
        <rFont val="Calibri"/>
      </rPr>
      <t xml:space="preserve">
</t>
    </r>
    <r>
      <rPr>
        <sz val="11"/>
        <color rgb="FF000000"/>
        <rFont val="Calibri"/>
      </rPr>
      <t>$ oc patch hyperconverged kubevirt-hyperconverged -n openshift-cnv</t>
    </r>
    <r>
      <rPr>
        <sz val="11"/>
        <color rgb="FF000000"/>
        <rFont val="Calibri"/>
      </rPr>
      <t xml:space="preserve">
</t>
    </r>
    <r>
      <rPr>
        <sz val="11"/>
        <color rgb="FF000000"/>
        <rFont val="Calibri"/>
      </rPr>
      <t>--type='json' -p='[</t>
    </r>
    <r>
      <rPr>
        <sz val="11"/>
        <color rgb="FF000000"/>
        <rFont val="Calibri"/>
      </rPr>
      <t xml:space="preserve">
</t>
    </r>
    <r>
      <rPr>
        <sz val="11"/>
        <color rgb="FF000000"/>
        <rFont val="Calibri"/>
      </rPr>
      <t>{"op": "replace", "path":</t>
    </r>
    <r>
      <rPr>
        <sz val="11"/>
        <color rgb="FF000000"/>
        <rFont val="Calibri"/>
      </rPr>
      <t xml:space="preserve">
</t>
    </r>
    <r>
      <rPr>
        <sz val="11"/>
        <color rgb="FF000000"/>
        <rFont val="Calibri"/>
      </rPr>
      <t>"/spec/featureGates/persistentReservation", "value": false },</t>
    </r>
    <r>
      <rPr>
        <sz val="11"/>
        <color rgb="FF000000"/>
        <rFont val="Calibri"/>
      </rPr>
      <t xml:space="preserve">
</t>
    </r>
    <r>
      <rPr>
        <sz val="11"/>
        <color rgb="FF000000"/>
        <rFont val="Calibri"/>
      </rPr>
      <t>]'</t>
    </r>
    <r>
      <rPr>
        <sz val="11"/>
        <color rgb="FF000000"/>
        <rFont val="Calibri"/>
      </rPr>
      <t xml:space="preserve">
</t>
    </r>
    <r>
      <rPr>
        <sz val="11"/>
        <color rgb="FF000000"/>
        <rFont val="Calibri"/>
      </rPr>
      <t>Where OpenShift Virtualization is enabled:</t>
    </r>
    <r>
      <rPr>
        <sz val="11"/>
        <color rgb="FF000000"/>
        <rFont val="Calibri"/>
      </rPr>
      <t xml:space="preserve">
</t>
    </r>
    <r>
      <rPr>
        <sz val="11"/>
        <color rgb="FF000000"/>
        <rFont val="Calibri"/>
      </rPr>
      <t xml:space="preserve">Edit the object and set the field to false: </t>
    </r>
    <r>
      <rPr>
        <sz val="11"/>
        <color rgb="FF000000"/>
        <rFont val="Calibri"/>
      </rPr>
      <t xml:space="preserve">
</t>
    </r>
    <r>
      <rPr>
        <sz val="11"/>
        <color rgb="FF000000"/>
        <rFont val="Calibri"/>
      </rPr>
      <t>'oc edit hyperconverged kubevirt-hyperconverged -n openshift-cnv'</t>
    </r>
    <r>
      <rPr>
        <sz val="11"/>
        <color rgb="FF000000"/>
        <rFont val="Calibri"/>
      </rPr>
      <t xml:space="preserve">
</t>
    </r>
    <r>
      <rPr>
        <sz val="11"/>
        <color rgb="FF000000"/>
        <rFont val="Calibri"/>
      </rPr>
      <t>To set a shareable flag to false on every disk, this (experimental) command can be used:</t>
    </r>
    <r>
      <rPr>
        <sz val="11"/>
        <color rgb="FF000000"/>
        <rFont val="Calibri"/>
      </rPr>
      <t xml:space="preserve">
</t>
    </r>
    <r>
      <rPr>
        <sz val="11"/>
        <color rgb="FF000000"/>
        <rFont val="Calibri"/>
      </rPr>
      <t>$ oc get vm &lt;vm-name&gt; -o json | jq</t>
    </r>
    <r>
      <rPr>
        <sz val="11"/>
        <color rgb="FF000000"/>
        <rFont val="Calibri"/>
      </rPr>
      <t xml:space="preserve">
</t>
    </r>
    <r>
      <rPr>
        <sz val="11"/>
        <color rgb="FF000000"/>
        <rFont val="Calibri"/>
      </rPr>
      <t>'.spec.template.spec.domain.devices.disks[] += {"shareable":false}' |</t>
    </r>
    <r>
      <rPr>
        <sz val="11"/>
        <color rgb="FF000000"/>
        <rFont val="Calibri"/>
      </rPr>
      <t xml:space="preserve">
</t>
    </r>
    <r>
      <rPr>
        <sz val="11"/>
        <color rgb="FF000000"/>
        <rFont val="Calibri"/>
      </rPr>
      <t>oc apply -f -</t>
    </r>
  </si>
  <si>
    <r>
      <rPr>
        <sz val="11"/>
        <color rgb="FF000000"/>
        <rFont val="Calibri"/>
      </rPr>
      <t>Enabling page poisoning in OpenShift improves memory safety, mitigates memory corruption vulnerabilities, aids in fault isolation, assists with debugging. It enhances the overall security and stability of the platform, reducing the risk of memory-related exploits and improving the resilience of applications running on OpenShift.</t>
    </r>
  </si>
  <si>
    <r>
      <rPr>
        <sz val="11"/>
        <color rgb="FF000000"/>
        <rFont val="Calibri"/>
      </rPr>
      <t>1. Check the current CoreOS boot loader configuration has page poisoning enabled by executing the following:</t>
    </r>
    <r>
      <rPr>
        <sz val="11"/>
        <color rgb="FF000000"/>
        <rFont val="Calibri"/>
      </rPr>
      <t xml:space="preserve">
</t>
    </r>
    <r>
      <rPr>
        <sz val="11"/>
        <color rgb="FF000000"/>
        <rFont val="Calibri"/>
      </rPr>
      <t xml:space="preserve"> for node in $(oc get node -oname); do oc debug $node -- chroot /host /bin/bash -c 'echo -n "$HOSTNAME ";  grep page_poison /boot/loader/entries/*.conf|| echo "not found"' 2&gt;/dev/null; done</t>
    </r>
    <r>
      <rPr>
        <sz val="11"/>
        <color rgb="FF000000"/>
        <rFont val="Calibri"/>
      </rPr>
      <t xml:space="preserve">
</t>
    </r>
    <r>
      <rPr>
        <sz val="11"/>
        <color rgb="FF000000"/>
        <rFont val="Calibri"/>
      </rPr>
      <t>If "page_poison" is not set to "1" or returns "not found", this is a finding.</t>
    </r>
    <r>
      <rPr>
        <sz val="11"/>
        <color rgb="FF000000"/>
        <rFont val="Calibri"/>
      </rPr>
      <t xml:space="preserve">
</t>
    </r>
    <r>
      <rPr>
        <sz val="11"/>
        <color rgb="FF000000"/>
        <rFont val="Calibri"/>
      </rPr>
      <t>2. Where OpenShift Virtualization is enabled, execute the following:</t>
    </r>
    <r>
      <rPr>
        <sz val="11"/>
        <color rgb="FF000000"/>
        <rFont val="Calibri"/>
      </rPr>
      <t xml:space="preserve">
</t>
    </r>
    <r>
      <rPr>
        <sz val="11"/>
        <color rgb="FF000000"/>
        <rFont val="Calibri"/>
      </rPr>
      <t>$ oc get hyperconvergeds kubevirt-hyperconverged -n openshift-cnv</t>
    </r>
    <r>
      <rPr>
        <sz val="11"/>
        <color rgb="FF000000"/>
        <rFont val="Calibri"/>
      </rPr>
      <t xml:space="preserve">
</t>
    </r>
    <r>
      <rPr>
        <sz val="11"/>
        <color rgb="FF000000"/>
        <rFont val="Calibri"/>
      </rPr>
      <t>-ojsonpath='{.spec.ksmConfiguration}'</t>
    </r>
    <r>
      <rPr>
        <sz val="11"/>
        <color rgb="FF000000"/>
        <rFont val="Calibri"/>
      </rPr>
      <t xml:space="preserve">
</t>
    </r>
    <r>
      <rPr>
        <sz val="11"/>
        <color rgb="FF000000"/>
        <rFont val="Calibri"/>
      </rPr>
      <t>If this is set to anything other than "false", this is a finding.</t>
    </r>
    <r>
      <rPr>
        <sz val="11"/>
        <color rgb="FF000000"/>
        <rFont val="Calibri"/>
      </rPr>
      <t xml:space="preserve">
</t>
    </r>
    <r>
      <rPr>
        <sz val="11"/>
        <color rgb="FF000000"/>
        <rFont val="Calibri"/>
      </rPr>
      <t>3. Where OpenShift Virtualization is enabled, execute the following:</t>
    </r>
    <r>
      <rPr>
        <sz val="11"/>
        <color rgb="FF000000"/>
        <rFont val="Calibri"/>
      </rPr>
      <t xml:space="preserve">
</t>
    </r>
    <r>
      <rPr>
        <sz val="11"/>
        <color rgb="FF000000"/>
        <rFont val="Calibri"/>
      </rPr>
      <t>$ oc get vm -ojson -A | jq '.items[] |</t>
    </r>
    <r>
      <rPr>
        <sz val="11"/>
        <color rgb="FF000000"/>
        <rFont val="Calibri"/>
      </rPr>
      <t xml:space="preserve">
</t>
    </r>
    <r>
      <rPr>
        <sz val="11"/>
        <color rgb="FF000000"/>
        <rFont val="Calibri"/>
      </rPr>
      <t>select(.spec.template.spec.domain.devices.disks[].shareable == true)|</t>
    </r>
    <r>
      <rPr>
        <sz val="11"/>
        <color rgb="FF000000"/>
        <rFont val="Calibri"/>
      </rPr>
      <t xml:space="preserve">
</t>
    </r>
    <r>
      <rPr>
        <sz val="11"/>
        <color rgb="FF000000"/>
        <rFont val="Calibri"/>
      </rPr>
      <t>.metadata.namespace + "/" + .metadata.name'</t>
    </r>
    <r>
      <rPr>
        <sz val="11"/>
        <color rgb="FF000000"/>
        <rFont val="Calibri"/>
      </rPr>
      <t xml:space="preserve">
</t>
    </r>
    <r>
      <rPr>
        <sz val="11"/>
        <color rgb="FF000000"/>
        <rFont val="Calibri"/>
      </rPr>
      <t>If these results show disks flagged the shareable, this is a finding.</t>
    </r>
    <r>
      <rPr>
        <sz val="11"/>
        <color rgb="FF000000"/>
        <rFont val="Calibri"/>
      </rPr>
      <t xml:space="preserve">
</t>
    </r>
    <r>
      <rPr>
        <sz val="11"/>
        <color rgb="FF000000"/>
        <rFont val="Calibri"/>
      </rPr>
      <t>4. Where OpenShift Virtualization is enabled, and Windows SCF is not in use:</t>
    </r>
    <r>
      <rPr>
        <sz val="11"/>
        <color rgb="FF000000"/>
        <rFont val="Calibri"/>
      </rPr>
      <t xml:space="preserve">
</t>
    </r>
    <r>
      <rPr>
        <sz val="11"/>
        <color rgb="FF000000"/>
        <rFont val="Calibri"/>
      </rPr>
      <t>$ oc get hyperconverged kubevirt-hyperconverged -n openshift-cnv</t>
    </r>
    <r>
      <rPr>
        <sz val="11"/>
        <color rgb="FF000000"/>
        <rFont val="Calibri"/>
      </rPr>
      <t xml:space="preserve">
</t>
    </r>
    <r>
      <rPr>
        <sz val="11"/>
        <color rgb="FF000000"/>
        <rFont val="Calibri"/>
      </rPr>
      <t>-ojsonpath='{.spec.featureGates.persistentReservation}'</t>
    </r>
    <r>
      <rPr>
        <sz val="11"/>
        <color rgb="FF000000"/>
        <rFont val="Calibri"/>
      </rPr>
      <t xml:space="preserve">
</t>
    </r>
    <r>
      <rPr>
        <sz val="11"/>
        <color rgb="FF000000"/>
        <rFont val="Calibri"/>
      </rPr>
      <t>If this is set to anything other than "false", this is a finding.</t>
    </r>
  </si>
  <si>
    <t>V-257549</t>
  </si>
  <si>
    <r>
      <rPr>
        <sz val="11"/>
        <rFont val="Calibri"/>
      </rPr>
      <t>OpenShift must disable virtual syscalls.</t>
    </r>
  </si>
  <si>
    <r>
      <rPr>
        <sz val="11"/>
        <color rgb="FF000000"/>
        <rFont val="Calibri"/>
      </rPr>
      <t>Apply the machine config to disable virtual syscalls by executing the following:</t>
    </r>
    <r>
      <rPr>
        <sz val="11"/>
        <color rgb="FF000000"/>
        <rFont val="Calibri"/>
      </rPr>
      <t xml:space="preserve">
</t>
    </r>
    <r>
      <rPr>
        <sz val="11"/>
        <color rgb="FF000000"/>
        <rFont val="Calibri"/>
      </rPr>
      <t>for mcpool in $(oc get mcp -oname | sed "s:.*/::" ); do</t>
    </r>
    <r>
      <rPr>
        <sz val="11"/>
        <color rgb="FF000000"/>
        <rFont val="Calibri"/>
      </rPr>
      <t xml:space="preserve">
</t>
    </r>
    <r>
      <rPr>
        <sz val="11"/>
        <color rgb="FF000000"/>
        <rFont val="Calibri"/>
      </rPr>
      <t>echo "apiVersion: machineconfiguration.openshift.io/v1</t>
    </r>
    <r>
      <rPr>
        <sz val="11"/>
        <color rgb="FF000000"/>
        <rFont val="Calibri"/>
      </rPr>
      <t xml:space="preserve">
</t>
    </r>
    <r>
      <rPr>
        <sz val="11"/>
        <color rgb="FF000000"/>
        <rFont val="Calibri"/>
      </rPr>
      <t>kind: MachineConfig</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05-kernelarg-vsyscall-none-$mcpool</t>
    </r>
    <r>
      <rPr>
        <sz val="11"/>
        <color rgb="FF000000"/>
        <rFont val="Calibri"/>
      </rPr>
      <t xml:space="preserve">
</t>
    </r>
    <r>
      <rPr>
        <sz val="11"/>
        <color rgb="FF000000"/>
        <rFont val="Calibri"/>
      </rPr>
      <t xml:space="preserve">  labels:</t>
    </r>
    <r>
      <rPr>
        <sz val="11"/>
        <color rgb="FF000000"/>
        <rFont val="Calibri"/>
      </rPr>
      <t xml:space="preserve">
</t>
    </r>
    <r>
      <rPr>
        <sz val="11"/>
        <color rgb="FF000000"/>
        <rFont val="Calibri"/>
      </rPr>
      <t xml:space="preserve">    machineconfiguration.openshift.io/role: $mcpool</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config:</t>
    </r>
    <r>
      <rPr>
        <sz val="11"/>
        <color rgb="FF000000"/>
        <rFont val="Calibri"/>
      </rPr>
      <t xml:space="preserve">
</t>
    </r>
    <r>
      <rPr>
        <sz val="11"/>
        <color rgb="FF000000"/>
        <rFont val="Calibri"/>
      </rPr>
      <t xml:space="preserve">    ignition:</t>
    </r>
    <r>
      <rPr>
        <sz val="11"/>
        <color rgb="FF000000"/>
        <rFont val="Calibri"/>
      </rPr>
      <t xml:space="preserve">
</t>
    </r>
    <r>
      <rPr>
        <sz val="11"/>
        <color rgb="FF000000"/>
        <rFont val="Calibri"/>
      </rPr>
      <t xml:space="preserve">      version: 3.1.0</t>
    </r>
    <r>
      <rPr>
        <sz val="11"/>
        <color rgb="FF000000"/>
        <rFont val="Calibri"/>
      </rPr>
      <t xml:space="preserve">
</t>
    </r>
    <r>
      <rPr>
        <sz val="11"/>
        <color rgb="FF000000"/>
        <rFont val="Calibri"/>
      </rPr>
      <t xml:space="preserve">  kernelArguments:</t>
    </r>
    <r>
      <rPr>
        <sz val="11"/>
        <color rgb="FF000000"/>
        <rFont val="Calibri"/>
      </rPr>
      <t xml:space="preserve">
</t>
    </r>
    <r>
      <rPr>
        <sz val="11"/>
        <color rgb="FF000000"/>
        <rFont val="Calibri"/>
      </rPr>
      <t xml:space="preserve">  - vsyscall=none</t>
    </r>
    <r>
      <rPr>
        <sz val="11"/>
        <color rgb="FF000000"/>
        <rFont val="Calibri"/>
      </rPr>
      <t xml:space="preserve">
</t>
    </r>
    <r>
      <rPr>
        <sz val="11"/>
        <color rgb="FF000000"/>
        <rFont val="Calibri"/>
      </rPr>
      <t>" | oc apply -f -</t>
    </r>
    <r>
      <rPr>
        <sz val="11"/>
        <color rgb="FF000000"/>
        <rFont val="Calibri"/>
      </rPr>
      <t xml:space="preserve">
</t>
    </r>
    <r>
      <rPr>
        <sz val="11"/>
        <color rgb="FF000000"/>
        <rFont val="Calibri"/>
      </rPr>
      <t>done</t>
    </r>
  </si>
  <si>
    <r>
      <rPr>
        <sz val="11"/>
        <color rgb="FF000000"/>
        <rFont val="Calibri"/>
      </rPr>
      <t>Virtual syscalls are a mechanism that allows user-space programs to make privileged system calls without transitioning to kernel mode. However, this feature can introduce additional security risks. Disabling virtual syscalls helps to mitigate potential vulnerabilities associated with this mechanism. By reducing the attack surface and limiting the ways in which user-space programs can interact with the kernel, OpenShift can enhance the overall security posture of the platform.</t>
    </r>
  </si>
  <si>
    <r>
      <rPr>
        <sz val="11"/>
        <color rgb="FF000000"/>
        <rFont val="Calibri"/>
      </rPr>
      <t>Check the current CoreOS boot loader configuration has virtual syscalls disabled by executing the following:</t>
    </r>
    <r>
      <rPr>
        <sz val="11"/>
        <color rgb="FF000000"/>
        <rFont val="Calibri"/>
      </rPr>
      <t xml:space="preserve">
</t>
    </r>
    <r>
      <rPr>
        <sz val="11"/>
        <color rgb="FF000000"/>
        <rFont val="Calibri"/>
      </rPr>
      <t xml:space="preserve"> for node in $(oc get node -oname); do oc debug $node -- chroot /host /bin/bash -c 'echo -n "$HOSTNAME ";  grep vsyscall=none boot/loader/entries/*.conf || echo "not found"' 2&gt;/dev/null; done</t>
    </r>
    <r>
      <rPr>
        <sz val="11"/>
        <color rgb="FF000000"/>
        <rFont val="Calibri"/>
      </rPr>
      <t xml:space="preserve">
</t>
    </r>
    <r>
      <rPr>
        <sz val="11"/>
        <color rgb="FF000000"/>
        <rFont val="Calibri"/>
      </rPr>
      <t>If "vsyscall" is not set to "none" or returns "not found", this is a finding.</t>
    </r>
  </si>
  <si>
    <t>V-257550</t>
  </si>
  <si>
    <r>
      <rPr>
        <sz val="11"/>
        <rFont val="Calibri"/>
      </rPr>
      <t>OpenShift must enable poisoning of SLUB/SLAB objects.</t>
    </r>
  </si>
  <si>
    <r>
      <rPr>
        <sz val="11"/>
        <color rgb="FF000000"/>
        <rFont val="Calibri"/>
      </rPr>
      <t>Apply the machine config to enable poisoning of SLUB/SLAB objects by executing the following:</t>
    </r>
    <r>
      <rPr>
        <sz val="11"/>
        <color rgb="FF000000"/>
        <rFont val="Calibri"/>
      </rPr>
      <t xml:space="preserve">
</t>
    </r>
    <r>
      <rPr>
        <sz val="11"/>
        <color rgb="FF000000"/>
        <rFont val="Calibri"/>
      </rPr>
      <t>for mcpool in $(oc get mcp -oname | sed "s:.*/::" ); do</t>
    </r>
    <r>
      <rPr>
        <sz val="11"/>
        <color rgb="FF000000"/>
        <rFont val="Calibri"/>
      </rPr>
      <t xml:space="preserve">
</t>
    </r>
    <r>
      <rPr>
        <sz val="11"/>
        <color rgb="FF000000"/>
        <rFont val="Calibri"/>
      </rPr>
      <t>echo "apiVersion: machineconfiguration.openshift.io/v1</t>
    </r>
    <r>
      <rPr>
        <sz val="11"/>
        <color rgb="FF000000"/>
        <rFont val="Calibri"/>
      </rPr>
      <t xml:space="preserve">
</t>
    </r>
    <r>
      <rPr>
        <sz val="11"/>
        <color rgb="FF000000"/>
        <rFont val="Calibri"/>
      </rPr>
      <t>kind: MachineConfig</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05-kernelarg-slub-debug-$mcpool</t>
    </r>
    <r>
      <rPr>
        <sz val="11"/>
        <color rgb="FF000000"/>
        <rFont val="Calibri"/>
      </rPr>
      <t xml:space="preserve">
</t>
    </r>
    <r>
      <rPr>
        <sz val="11"/>
        <color rgb="FF000000"/>
        <rFont val="Calibri"/>
      </rPr>
      <t xml:space="preserve">  labels:</t>
    </r>
    <r>
      <rPr>
        <sz val="11"/>
        <color rgb="FF000000"/>
        <rFont val="Calibri"/>
      </rPr>
      <t xml:space="preserve">
</t>
    </r>
    <r>
      <rPr>
        <sz val="11"/>
        <color rgb="FF000000"/>
        <rFont val="Calibri"/>
      </rPr>
      <t xml:space="preserve">    machineconfiguration.openshift.io/role: $mcpool</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config:</t>
    </r>
    <r>
      <rPr>
        <sz val="11"/>
        <color rgb="FF000000"/>
        <rFont val="Calibri"/>
      </rPr>
      <t xml:space="preserve">
</t>
    </r>
    <r>
      <rPr>
        <sz val="11"/>
        <color rgb="FF000000"/>
        <rFont val="Calibri"/>
      </rPr>
      <t xml:space="preserve">    ignition:</t>
    </r>
    <r>
      <rPr>
        <sz val="11"/>
        <color rgb="FF000000"/>
        <rFont val="Calibri"/>
      </rPr>
      <t xml:space="preserve">
</t>
    </r>
    <r>
      <rPr>
        <sz val="11"/>
        <color rgb="FF000000"/>
        <rFont val="Calibri"/>
      </rPr>
      <t xml:space="preserve">      version: 3.1.0</t>
    </r>
    <r>
      <rPr>
        <sz val="11"/>
        <color rgb="FF000000"/>
        <rFont val="Calibri"/>
      </rPr>
      <t xml:space="preserve">
</t>
    </r>
    <r>
      <rPr>
        <sz val="11"/>
        <color rgb="FF000000"/>
        <rFont val="Calibri"/>
      </rPr>
      <t xml:space="preserve">  kernelArguments:</t>
    </r>
    <r>
      <rPr>
        <sz val="11"/>
        <color rgb="FF000000"/>
        <rFont val="Calibri"/>
      </rPr>
      <t xml:space="preserve">
</t>
    </r>
    <r>
      <rPr>
        <sz val="11"/>
        <color rgb="FF000000"/>
        <rFont val="Calibri"/>
      </rPr>
      <t xml:space="preserve">  - slub_debug=P</t>
    </r>
    <r>
      <rPr>
        <sz val="11"/>
        <color rgb="FF000000"/>
        <rFont val="Calibri"/>
      </rPr>
      <t xml:space="preserve">
</t>
    </r>
    <r>
      <rPr>
        <sz val="11"/>
        <color rgb="FF000000"/>
        <rFont val="Calibri"/>
      </rPr>
      <t>" | oc apply -f -</t>
    </r>
    <r>
      <rPr>
        <sz val="11"/>
        <color rgb="FF000000"/>
        <rFont val="Calibri"/>
      </rPr>
      <t xml:space="preserve">
</t>
    </r>
    <r>
      <rPr>
        <sz val="11"/>
        <color rgb="FF000000"/>
        <rFont val="Calibri"/>
      </rPr>
      <t>done</t>
    </r>
  </si>
  <si>
    <r>
      <rPr>
        <sz val="11"/>
        <color rgb="FF000000"/>
        <rFont val="Calibri"/>
      </rPr>
      <t>By enabling poisoning of SLUB/SLAB objects, OpenShift can detect and identify use-after-free scenarios more effectively. The poisoned objects are marked as invalid or inaccessible, causing crashes or triggering alerts when an application attempts to access them. This helps identify and mitigate potential security vulnerabilities before they can be exploited.</t>
    </r>
  </si>
  <si>
    <r>
      <rPr>
        <sz val="11"/>
        <color rgb="FF000000"/>
        <rFont val="Calibri"/>
      </rPr>
      <t>Verify that Red Hat Enterprise Linux CoreOS (RHCOS) is configured to enable poisoning of SLUB/SLAB objects to mitigate use-after-free vulnerabilities by executing the following:</t>
    </r>
    <r>
      <rPr>
        <sz val="11"/>
        <color rgb="FF000000"/>
        <rFont val="Calibri"/>
      </rPr>
      <t xml:space="preserve">
</t>
    </r>
    <r>
      <rPr>
        <sz val="11"/>
        <color rgb="FF000000"/>
        <rFont val="Calibri"/>
      </rPr>
      <t>for node in $(oc get node -oname); do oc debug $node -- chroot /host /bin/bash -c 'echo -n "$HOSTNAME ";  grep slub_debug /boot/loader/entries/*.conf ' 2&gt;/dev/null; done</t>
    </r>
    <r>
      <rPr>
        <sz val="11"/>
        <color rgb="FF000000"/>
        <rFont val="Calibri"/>
      </rPr>
      <t xml:space="preserve">
</t>
    </r>
    <r>
      <rPr>
        <sz val="11"/>
        <color rgb="FF000000"/>
        <rFont val="Calibri"/>
      </rPr>
      <t>If "slub_debug" is not set to "P" or is missing, this is a finding.</t>
    </r>
  </si>
  <si>
    <t>V-257551</t>
  </si>
  <si>
    <r>
      <rPr>
        <sz val="11"/>
        <rFont val="Calibri"/>
      </rPr>
      <t>OpenShift must set the sticky bit for world-writable directories.</t>
    </r>
  </si>
  <si>
    <r>
      <rPr>
        <sz val="11"/>
        <color rgb="FF000000"/>
        <rFont val="Calibri"/>
      </rPr>
      <t>Fix the directory permissions, by either removing world-writeable permission, or setting the sticky bit by executing the following:</t>
    </r>
    <r>
      <rPr>
        <sz val="11"/>
        <color rgb="FF000000"/>
        <rFont val="Calibri"/>
      </rPr>
      <t xml:space="preserve">
</t>
    </r>
    <r>
      <rPr>
        <sz val="11"/>
        <color rgb="FF000000"/>
        <rFont val="Calibri"/>
      </rPr>
      <t>oc debug node/&lt;node_name&gt; -- chroot /host /bin/bash -c 'chmod XXXX &lt;directory&gt;'</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node_name: The name of the node to connect to (oc get node)</t>
    </r>
    <r>
      <rPr>
        <sz val="11"/>
        <color rgb="FF000000"/>
        <rFont val="Calibri"/>
      </rPr>
      <t xml:space="preserve">
</t>
    </r>
    <r>
      <rPr>
        <sz val="11"/>
        <color rgb="FF000000"/>
        <rFont val="Calibri"/>
      </rPr>
      <t xml:space="preserve">  XXXX:  Either 1777 (sticky bit) or 0755 (remove group and world write permission)</t>
    </r>
    <r>
      <rPr>
        <sz val="11"/>
        <color rgb="FF000000"/>
        <rFont val="Calibri"/>
      </rPr>
      <t xml:space="preserve">
</t>
    </r>
    <r>
      <rPr>
        <sz val="11"/>
        <color rgb="FF000000"/>
        <rFont val="Calibri"/>
      </rPr>
      <t xml:space="preserve">  &lt;directory&gt;: The directory on which to correct the permissions</t>
    </r>
  </si>
  <si>
    <r>
      <rPr>
        <sz val="11"/>
        <color rgb="FF000000"/>
        <rFont val="Calibri"/>
      </rPr>
      <t>Removing world-writable permissions or setting the sticky bit helps enforce access control on directories within the OpenShift platform. World-writable permissions allow any user to modify or delete files within the directory, which can introduce security risks. By removing these permissions or setting the sticky bit, OpenShift restricts modifications to the directory's owner and prevents unauthorized or unintended changes by other users.</t>
    </r>
  </si>
  <si>
    <r>
      <rPr>
        <sz val="11"/>
        <color rgb="FF000000"/>
        <rFont val="Calibri"/>
      </rPr>
      <t>Verify that all world-writable directories have the sticky bit set. List any world-writeable directories that do not have the sticky bit set by executing the following:</t>
    </r>
    <r>
      <rPr>
        <sz val="11"/>
        <color rgb="FF000000"/>
        <rFont val="Calibri"/>
      </rPr>
      <t xml:space="preserve">
</t>
    </r>
    <r>
      <rPr>
        <sz val="11"/>
        <color rgb="FF000000"/>
        <rFont val="Calibri"/>
      </rPr>
      <t>for node in $(oc get node -oname); do oc debug $node -- chroot /host /bin/bash -c 'echo -n "$HOSTNAME "; find / -type d \( -perm -0002 -a ! -perm -1000 ! -path "/var/lib/containers/*" ! -path "/var/lib/kubelet/pods/*" ! -path "/sysroot/ostree/deploy/*" \) -print 2&gt;/dev/null' 2&gt;/dev/null; done</t>
    </r>
    <r>
      <rPr>
        <sz val="11"/>
        <color rgb="FF000000"/>
        <rFont val="Calibri"/>
      </rPr>
      <t xml:space="preserve">
</t>
    </r>
    <r>
      <rPr>
        <sz val="11"/>
        <color rgb="FF000000"/>
        <rFont val="Calibri"/>
      </rPr>
      <t>If there are any directories listed in the results, this is a finding.</t>
    </r>
  </si>
  <si>
    <t>V-257552</t>
  </si>
  <si>
    <r>
      <rPr>
        <sz val="11"/>
        <rFont val="Calibri"/>
      </rPr>
      <t>OpenShift must restrict access to the kernel buffer.</t>
    </r>
  </si>
  <si>
    <r>
      <rPr>
        <sz val="11"/>
        <color rgb="FF000000"/>
        <rFont val="Calibri"/>
      </rPr>
      <t>Apply the machine config to restrict access to the kernel message buffer by executing the following:</t>
    </r>
    <r>
      <rPr>
        <sz val="11"/>
        <color rgb="FF000000"/>
        <rFont val="Calibri"/>
      </rPr>
      <t xml:space="preserve">
</t>
    </r>
    <r>
      <rPr>
        <sz val="11"/>
        <color rgb="FF000000"/>
        <rFont val="Calibri"/>
      </rPr>
      <t>for mcpool in $(oc get mcp -oname | sed "s:.*/::" ); do</t>
    </r>
    <r>
      <rPr>
        <sz val="11"/>
        <color rgb="FF000000"/>
        <rFont val="Calibri"/>
      </rPr>
      <t xml:space="preserve">
</t>
    </r>
    <r>
      <rPr>
        <sz val="11"/>
        <color rgb="FF000000"/>
        <rFont val="Calibri"/>
      </rPr>
      <t>echo "apiVersion: machineconfiguration.openshift.io/v1</t>
    </r>
    <r>
      <rPr>
        <sz val="11"/>
        <color rgb="FF000000"/>
        <rFont val="Calibri"/>
      </rPr>
      <t xml:space="preserve">
</t>
    </r>
    <r>
      <rPr>
        <sz val="11"/>
        <color rgb="FF000000"/>
        <rFont val="Calibri"/>
      </rPr>
      <t>kind: MachineConfig</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75-sysctl-kernel-dmesg-restrict-$mcpool</t>
    </r>
    <r>
      <rPr>
        <sz val="11"/>
        <color rgb="FF000000"/>
        <rFont val="Calibri"/>
      </rPr>
      <t xml:space="preserve">
</t>
    </r>
    <r>
      <rPr>
        <sz val="11"/>
        <color rgb="FF000000"/>
        <rFont val="Calibri"/>
      </rPr>
      <t xml:space="preserve">  labels:</t>
    </r>
    <r>
      <rPr>
        <sz val="11"/>
        <color rgb="FF000000"/>
        <rFont val="Calibri"/>
      </rPr>
      <t xml:space="preserve">
</t>
    </r>
    <r>
      <rPr>
        <sz val="11"/>
        <color rgb="FF000000"/>
        <rFont val="Calibri"/>
      </rPr>
      <t xml:space="preserve">    machineconfiguration.openshift.io/role: $mcpool</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config:</t>
    </r>
    <r>
      <rPr>
        <sz val="11"/>
        <color rgb="FF000000"/>
        <rFont val="Calibri"/>
      </rPr>
      <t xml:space="preserve">
</t>
    </r>
    <r>
      <rPr>
        <sz val="11"/>
        <color rgb="FF000000"/>
        <rFont val="Calibri"/>
      </rPr>
      <t xml:space="preserve">    ignition:</t>
    </r>
    <r>
      <rPr>
        <sz val="11"/>
        <color rgb="FF000000"/>
        <rFont val="Calibri"/>
      </rPr>
      <t xml:space="preserve">
</t>
    </r>
    <r>
      <rPr>
        <sz val="11"/>
        <color rgb="FF000000"/>
        <rFont val="Calibri"/>
      </rPr>
      <t xml:space="preserve">      version: 3.1.0</t>
    </r>
    <r>
      <rPr>
        <sz val="11"/>
        <color rgb="FF000000"/>
        <rFont val="Calibri"/>
      </rPr>
      <t xml:space="preserve">
</t>
    </r>
    <r>
      <rPr>
        <sz val="11"/>
        <color rgb="FF000000"/>
        <rFont val="Calibri"/>
      </rPr>
      <t xml:space="preserve">    storage:</t>
    </r>
    <r>
      <rPr>
        <sz val="11"/>
        <color rgb="FF000000"/>
        <rFont val="Calibri"/>
      </rPr>
      <t xml:space="preserve">
</t>
    </r>
    <r>
      <rPr>
        <sz val="11"/>
        <color rgb="FF000000"/>
        <rFont val="Calibri"/>
      </rPr>
      <t xml:space="preserve">      files:</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data:,kernel.dmesg_restrict%3D1%0A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/etc/sysctl.d/75-sysctl_kernel_dmesg_restrict.conf</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 oc apply -f -</t>
    </r>
    <r>
      <rPr>
        <sz val="11"/>
        <color rgb="FF000000"/>
        <rFont val="Calibri"/>
      </rPr>
      <t xml:space="preserve">
</t>
    </r>
    <r>
      <rPr>
        <sz val="11"/>
        <color rgb="FF000000"/>
        <rFont val="Calibri"/>
      </rPr>
      <t>done</t>
    </r>
  </si>
  <si>
    <r>
      <rPr>
        <sz val="11"/>
        <color rgb="FF000000"/>
        <rFont val="Calibri"/>
      </rPr>
      <t>Restricting access to the kernel buffer in OpenShift is crucial for preventing unauthorized access, protecting system stability, mitigating kernel-level attacks, preventing information leakage, and adhering to the principle of least privilege. It enhances the security posture of the platform and helps maintain the confidentiality, integrity, and availability of critical system resources.</t>
    </r>
  </si>
  <si>
    <r>
      <rPr>
        <sz val="11"/>
        <color rgb="FF000000"/>
        <rFont val="Calibri"/>
      </rPr>
      <t>Verify the Red Hat Enterprise Linux CoreOS (RHCOS) is configured to restrict access to the kernel message buffer.</t>
    </r>
    <r>
      <rPr>
        <sz val="11"/>
        <color rgb="FF000000"/>
        <rFont val="Calibri"/>
      </rPr>
      <t xml:space="preserve">
</t>
    </r>
    <r>
      <rPr>
        <sz val="11"/>
        <color rgb="FF000000"/>
        <rFont val="Calibri"/>
      </rPr>
      <t>Check the status of the kernel.dmesg_restrict kernel parameter by executing the following:</t>
    </r>
    <r>
      <rPr>
        <sz val="11"/>
        <color rgb="FF000000"/>
        <rFont val="Calibri"/>
      </rPr>
      <t xml:space="preserve">
</t>
    </r>
    <r>
      <rPr>
        <sz val="11"/>
        <color rgb="FF000000"/>
        <rFont val="Calibri"/>
      </rPr>
      <t>for node in $(oc get node -oname); do oc debug $node -- chroot /host /bin/bash -c 'echo -n "$HOSTNAME "; sysctl kernel.dmesg_restrict' 2&gt;/dev/null; done</t>
    </r>
    <r>
      <rPr>
        <sz val="11"/>
        <color rgb="FF000000"/>
        <rFont val="Calibri"/>
      </rPr>
      <t xml:space="preserve">
</t>
    </r>
    <r>
      <rPr>
        <sz val="11"/>
        <color rgb="FF000000"/>
        <rFont val="Calibri"/>
      </rPr>
      <t>If "kernel.dmesg_restrict" is not set to "1" or is missing, this is a finding.</t>
    </r>
  </si>
  <si>
    <t>V-257553</t>
  </si>
  <si>
    <r>
      <rPr>
        <sz val="11"/>
        <rFont val="Calibri"/>
      </rPr>
      <t>OpenShift must prevent kernel profiling.</t>
    </r>
  </si>
  <si>
    <r>
      <rPr>
        <sz val="11"/>
        <color rgb="FF000000"/>
        <rFont val="Calibri"/>
      </rPr>
      <t>Apply the machine config to prevent kernel profiling by executing the following:</t>
    </r>
    <r>
      <rPr>
        <sz val="11"/>
        <color rgb="FF000000"/>
        <rFont val="Calibri"/>
      </rPr>
      <t xml:space="preserve">
</t>
    </r>
    <r>
      <rPr>
        <sz val="11"/>
        <color rgb="FF000000"/>
        <rFont val="Calibri"/>
      </rPr>
      <t>for mcpool in $(oc get mcp -oname | sed "s:.*/::" ); do</t>
    </r>
    <r>
      <rPr>
        <sz val="11"/>
        <color rgb="FF000000"/>
        <rFont val="Calibri"/>
      </rPr>
      <t xml:space="preserve">
</t>
    </r>
    <r>
      <rPr>
        <sz val="11"/>
        <color rgb="FF000000"/>
        <rFont val="Calibri"/>
      </rPr>
      <t>echo "apiVersion: machineconfiguration.openshift.io/v1</t>
    </r>
    <r>
      <rPr>
        <sz val="11"/>
        <color rgb="FF000000"/>
        <rFont val="Calibri"/>
      </rPr>
      <t xml:space="preserve">
</t>
    </r>
    <r>
      <rPr>
        <sz val="11"/>
        <color rgb="FF000000"/>
        <rFont val="Calibri"/>
      </rPr>
      <t>kind: MachineConfig</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75-sysctl-kernel-perf-event-paranoid-$mcpool</t>
    </r>
    <r>
      <rPr>
        <sz val="11"/>
        <color rgb="FF000000"/>
        <rFont val="Calibri"/>
      </rPr>
      <t xml:space="preserve">
</t>
    </r>
    <r>
      <rPr>
        <sz val="11"/>
        <color rgb="FF000000"/>
        <rFont val="Calibri"/>
      </rPr>
      <t xml:space="preserve">  labels:</t>
    </r>
    <r>
      <rPr>
        <sz val="11"/>
        <color rgb="FF000000"/>
        <rFont val="Calibri"/>
      </rPr>
      <t xml:space="preserve">
</t>
    </r>
    <r>
      <rPr>
        <sz val="11"/>
        <color rgb="FF000000"/>
        <rFont val="Calibri"/>
      </rPr>
      <t xml:space="preserve">    machineconfiguration.openshift.io/role: $mcpool</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config:</t>
    </r>
    <r>
      <rPr>
        <sz val="11"/>
        <color rgb="FF000000"/>
        <rFont val="Calibri"/>
      </rPr>
      <t xml:space="preserve">
</t>
    </r>
    <r>
      <rPr>
        <sz val="11"/>
        <color rgb="FF000000"/>
        <rFont val="Calibri"/>
      </rPr>
      <t xml:space="preserve">    ignition:</t>
    </r>
    <r>
      <rPr>
        <sz val="11"/>
        <color rgb="FF000000"/>
        <rFont val="Calibri"/>
      </rPr>
      <t xml:space="preserve">
</t>
    </r>
    <r>
      <rPr>
        <sz val="11"/>
        <color rgb="FF000000"/>
        <rFont val="Calibri"/>
      </rPr>
      <t xml:space="preserve">      version: 3.1.0</t>
    </r>
    <r>
      <rPr>
        <sz val="11"/>
        <color rgb="FF000000"/>
        <rFont val="Calibri"/>
      </rPr>
      <t xml:space="preserve">
</t>
    </r>
    <r>
      <rPr>
        <sz val="11"/>
        <color rgb="FF000000"/>
        <rFont val="Calibri"/>
      </rPr>
      <t xml:space="preserve">    storage:</t>
    </r>
    <r>
      <rPr>
        <sz val="11"/>
        <color rgb="FF000000"/>
        <rFont val="Calibri"/>
      </rPr>
      <t xml:space="preserve">
</t>
    </r>
    <r>
      <rPr>
        <sz val="11"/>
        <color rgb="FF000000"/>
        <rFont val="Calibri"/>
      </rPr>
      <t xml:space="preserve">      files:</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data:,kernel.perf_event_paranoid%3D2%0A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/etc/sysctl.d/75-sysctl_kernel_perf_event_paranoid.conf</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 oc apply -f -</t>
    </r>
    <r>
      <rPr>
        <sz val="11"/>
        <color rgb="FF000000"/>
        <rFont val="Calibri"/>
      </rPr>
      <t xml:space="preserve">
</t>
    </r>
    <r>
      <rPr>
        <sz val="11"/>
        <color rgb="FF000000"/>
        <rFont val="Calibri"/>
      </rPr>
      <t>done</t>
    </r>
  </si>
  <si>
    <r>
      <rPr>
        <sz val="11"/>
        <color rgb="FF000000"/>
        <rFont val="Calibri"/>
      </rPr>
      <t>Kernel profiling involves monitoring and analyzing the behavior of the kernel, including its internal operations and system calls. This level of access and visibility into the kernel can potentially be exploited by attackers to gather sensitive information or launch attacks. By preventing kernel profiling, the attack surface is minimized and the risk of unauthorized access or malicious activities targeting the kernel is reduced.</t>
    </r>
    <r>
      <rPr>
        <sz val="11"/>
        <color rgb="FF000000"/>
        <rFont val="Calibri"/>
      </rPr>
      <t xml:space="preserve">
</t>
    </r>
    <r>
      <rPr>
        <sz val="11"/>
        <color rgb="FF000000"/>
        <rFont val="Calibri"/>
      </rPr>
      <t>Kernel profiling can introduce additional overhead and resource utilization, potentially impacting the stability and performance of the system. Profiling tools and techniques often involve instrumenting the kernel code, injecting hooks, or collecting detailed data, which may interfere with the normal operation of the kernel. By disallowing kernel profiling, OpenShift helps ensure the stability and reliability of the platform, preventing any potential disruptions caused by profiling activities.</t>
    </r>
  </si>
  <si>
    <r>
      <rPr>
        <sz val="11"/>
        <color rgb="FF000000"/>
        <rFont val="Calibri"/>
      </rPr>
      <t>Verify the Red Hat Enterprise Linux CoreOS (RHCOS) is configured to prevent kernel profiling by unprivileged users.</t>
    </r>
    <r>
      <rPr>
        <sz val="11"/>
        <color rgb="FF000000"/>
        <rFont val="Calibri"/>
      </rPr>
      <t xml:space="preserve">
</t>
    </r>
    <r>
      <rPr>
        <sz val="11"/>
        <color rgb="FF000000"/>
        <rFont val="Calibri"/>
      </rPr>
      <t>Check the status of the kernel.perf_event_paranoid kernel parameter by executing the following:</t>
    </r>
    <r>
      <rPr>
        <sz val="11"/>
        <color rgb="FF000000"/>
        <rFont val="Calibri"/>
      </rPr>
      <t xml:space="preserve">
</t>
    </r>
    <r>
      <rPr>
        <sz val="11"/>
        <color rgb="FF000000"/>
        <rFont val="Calibri"/>
      </rPr>
      <t>for node in $(oc get node -oname); do oc debug $node -- chroot /host /bin/bash -c 'echo -n "$HOSTNAME "; sysctl kernel.perf_event_paranoid</t>
    </r>
    <r>
      <rPr>
        <sz val="11"/>
        <color rgb="FF000000"/>
        <rFont val="Calibri"/>
      </rPr>
      <t xml:space="preserve">
</t>
    </r>
    <r>
      <rPr>
        <sz val="11"/>
        <color rgb="FF000000"/>
        <rFont val="Calibri"/>
      </rPr>
      <t>' 2&gt;/dev/null; done</t>
    </r>
    <r>
      <rPr>
        <sz val="11"/>
        <color rgb="FF000000"/>
        <rFont val="Calibri"/>
      </rPr>
      <t xml:space="preserve">
</t>
    </r>
    <r>
      <rPr>
        <sz val="11"/>
        <color rgb="FF000000"/>
        <rFont val="Calibri"/>
      </rPr>
      <t>If "kernel.perf_event_paranoid" is not set to "2" or is missing, this is a finding.</t>
    </r>
  </si>
  <si>
    <t>V-257554</t>
  </si>
  <si>
    <r>
      <rPr>
        <sz val="11"/>
        <rFont val="Calibri"/>
      </rPr>
      <t>OpenShift must restrict individuals the ability to launch organizational-defined Denial-of-Service (DOS) attacks against other information systems by setting a default Resource Quota.</t>
    </r>
  </si>
  <si>
    <r>
      <rPr>
        <sz val="11"/>
        <color rgb="FF000000"/>
        <rFont val="Calibri"/>
      </rPr>
      <t>Configure a default resource quota to protect resource over utilization by performing the following steps:</t>
    </r>
    <r>
      <rPr>
        <sz val="11"/>
        <color rgb="FF000000"/>
        <rFont val="Calibri"/>
      </rPr>
      <t xml:space="preserve">
</t>
    </r>
    <r>
      <rPr>
        <sz val="11"/>
        <color rgb="FF000000"/>
        <rFont val="Calibri"/>
      </rPr>
      <t>1. Create a bootstrap project template (if not already created) by executing the following:</t>
    </r>
    <r>
      <rPr>
        <sz val="11"/>
        <color rgb="FF000000"/>
        <rFont val="Calibri"/>
      </rPr>
      <t xml:space="preserve">
</t>
    </r>
    <r>
      <rPr>
        <sz val="11"/>
        <color rgb="FF000000"/>
        <rFont val="Calibri"/>
      </rPr>
      <t>oc adm create-bootstrap-project-template -o yaml &gt; template.yaml</t>
    </r>
    <r>
      <rPr>
        <sz val="11"/>
        <color rgb="FF000000"/>
        <rFont val="Calibri"/>
      </rPr>
      <t xml:space="preserve">
</t>
    </r>
    <r>
      <rPr>
        <sz val="11"/>
        <color rgb="FF000000"/>
        <rFont val="Calibri"/>
      </rPr>
      <t>2. Edit the template and add a ResourceQuota object definition before the parameters section.</t>
    </r>
    <r>
      <rPr>
        <sz val="11"/>
        <color rgb="FF000000"/>
        <rFont val="Calibri"/>
      </rPr>
      <t xml:space="preserve">
</t>
    </r>
    <r>
      <rPr>
        <sz val="11"/>
        <color rgb="FF000000"/>
        <rFont val="Calibri"/>
      </rPr>
      <t>- apiVersion: v1</t>
    </r>
    <r>
      <rPr>
        <sz val="11"/>
        <color rgb="FF000000"/>
        <rFont val="Calibri"/>
      </rPr>
      <t xml:space="preserve">
</t>
    </r>
    <r>
      <rPr>
        <sz val="11"/>
        <color rgb="FF000000"/>
        <rFont val="Calibri"/>
      </rPr>
      <t xml:space="preserve">  kind: ResourceQuota</t>
    </r>
    <r>
      <rPr>
        <sz val="11"/>
        <color rgb="FF000000"/>
        <rFont val="Calibri"/>
      </rPr>
      <t xml:space="preserve">
</t>
    </r>
    <r>
      <rPr>
        <sz val="11"/>
        <color rgb="FF000000"/>
        <rFont val="Calibri"/>
      </rPr>
      <t xml:space="preserve">  metadata:</t>
    </r>
    <r>
      <rPr>
        <sz val="11"/>
        <color rgb="FF000000"/>
        <rFont val="Calibri"/>
      </rPr>
      <t xml:space="preserve">
</t>
    </r>
    <r>
      <rPr>
        <sz val="11"/>
        <color rgb="FF000000"/>
        <rFont val="Calibri"/>
      </rPr>
      <t xml:space="preserve">    name: example</t>
    </r>
    <r>
      <rPr>
        <sz val="11"/>
        <color rgb="FF000000"/>
        <rFont val="Calibri"/>
      </rPr>
      <t xml:space="preserve">
</t>
    </r>
    <r>
      <rPr>
        <sz val="11"/>
        <color rgb="FF000000"/>
        <rFont val="Calibri"/>
      </rPr>
      <t xml:space="preserve">  spec:</t>
    </r>
    <r>
      <rPr>
        <sz val="11"/>
        <color rgb="FF000000"/>
        <rFont val="Calibri"/>
      </rPr>
      <t xml:space="preserve">
</t>
    </r>
    <r>
      <rPr>
        <sz val="11"/>
        <color rgb="FF000000"/>
        <rFont val="Calibri"/>
      </rPr>
      <t xml:space="preserve">    hard:</t>
    </r>
    <r>
      <rPr>
        <sz val="11"/>
        <color rgb="FF000000"/>
        <rFont val="Calibri"/>
      </rPr>
      <t xml:space="preserve">
</t>
    </r>
    <r>
      <rPr>
        <sz val="11"/>
        <color rgb="FF000000"/>
        <rFont val="Calibri"/>
      </rPr>
      <t xml:space="preserve">      persistentvolumeclaims: "10"</t>
    </r>
    <r>
      <rPr>
        <sz val="11"/>
        <color rgb="FF000000"/>
        <rFont val="Calibri"/>
      </rPr>
      <t xml:space="preserve">
</t>
    </r>
    <r>
      <rPr>
        <sz val="11"/>
        <color rgb="FF000000"/>
        <rFont val="Calibri"/>
      </rPr>
      <t xml:space="preserve">      requests.storage: "50Gi"</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parameters:</t>
    </r>
    <r>
      <rPr>
        <sz val="11"/>
        <color rgb="FF000000"/>
        <rFont val="Calibri"/>
      </rPr>
      <t xml:space="preserve">
</t>
    </r>
    <r>
      <rPr>
        <sz val="11"/>
        <color rgb="FF000000"/>
        <rFont val="Calibri"/>
      </rPr>
      <t>3. Apply the project template to the cluster by executing the following:</t>
    </r>
    <r>
      <rPr>
        <sz val="11"/>
        <color rgb="FF000000"/>
        <rFont val="Calibri"/>
      </rPr>
      <t xml:space="preserve">
</t>
    </r>
    <r>
      <rPr>
        <sz val="11"/>
        <color rgb="FF000000"/>
        <rFont val="Calibri"/>
      </rPr>
      <t>oc create -f template.yaml -n openshift-config</t>
    </r>
    <r>
      <rPr>
        <sz val="11"/>
        <color rgb="FF000000"/>
        <rFont val="Calibri"/>
      </rPr>
      <t xml:space="preserve">
</t>
    </r>
    <r>
      <rPr>
        <sz val="11"/>
        <color rgb="FF000000"/>
        <rFont val="Calibri"/>
      </rPr>
      <t>4. Set the default cluster project request template by executing the following: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oc patch project.config.openshift.io/cluster --type=merge -p '{"spec":{"projectRequestTemplate":{"name": "&lt;PROJECT_REQUEST_TEMPLATE&gt;"}}}'</t>
    </r>
    <r>
      <rPr>
        <sz val="11"/>
        <color rgb="FF000000"/>
        <rFont val="Calibri"/>
      </rPr>
      <t xml:space="preserve">
</t>
    </r>
    <r>
      <rPr>
        <sz val="11"/>
        <color rgb="FF000000"/>
        <rFont val="Calibri"/>
      </rPr>
      <t>Details regarding the configuration of resource quotas can be reviewed at https://docs.openshift.com/container-platform/4.8/applications/quotas/quotas-setting-per-project.html.</t>
    </r>
  </si>
  <si>
    <r>
      <rPr>
        <sz val="11"/>
        <color rgb="FF000000"/>
        <rFont val="Calibri"/>
      </rPr>
      <t>OpenShift allows administrators to define resource quotas on a namespace basis. This allows tailoring of the shared resources based on a project needs. However, when a new project is created, unless a default project resource quota is configured, that project will not have any limits or quotas defined. This could allow someone to create a new project and then deploy services that exhaust or overuse the shared cluster resources. Thus, it is necessary to ensure that there is a default resource quota configured for all new projects. A Cluster Admin may increase resource quotas on a given project namespace, if that project requires additional resources at any time.</t>
    </r>
  </si>
  <si>
    <r>
      <rPr>
        <sz val="11"/>
        <color rgb="FF000000"/>
        <rFont val="Calibri"/>
      </rPr>
      <t>Check for Resource Quota. Verify a default project template is defined by executing the following:</t>
    </r>
    <r>
      <rPr>
        <sz val="11"/>
        <color rgb="FF000000"/>
        <rFont val="Calibri"/>
      </rPr>
      <t xml:space="preserve">
</t>
    </r>
    <r>
      <rPr>
        <sz val="11"/>
        <color rgb="FF000000"/>
        <rFont val="Calibri"/>
      </rPr>
      <t>oc get project.config.openshift.io/cluster -o jsonpath="{.spec.projectRequestTemplate.name}"</t>
    </r>
    <r>
      <rPr>
        <sz val="11"/>
        <color rgb="FF000000"/>
        <rFont val="Calibri"/>
      </rPr>
      <t xml:space="preserve">
</t>
    </r>
    <r>
      <rPr>
        <sz val="11"/>
        <color rgb="FF000000"/>
        <rFont val="Calibri"/>
      </rPr>
      <t>If no project request template is in use by the project config, this is a finding.</t>
    </r>
    <r>
      <rPr>
        <sz val="11"/>
        <color rgb="FF000000"/>
        <rFont val="Calibri"/>
      </rPr>
      <t xml:space="preserve">
</t>
    </r>
    <r>
      <rPr>
        <sz val="11"/>
        <color rgb="FF000000"/>
        <rFont val="Calibri"/>
      </rPr>
      <t>Verify the project template includes a default resource quota.</t>
    </r>
    <r>
      <rPr>
        <sz val="11"/>
        <color rgb="FF000000"/>
        <rFont val="Calibri"/>
      </rPr>
      <t xml:space="preserve">
</t>
    </r>
    <r>
      <rPr>
        <sz val="11"/>
        <color rgb="FF000000"/>
        <rFont val="Calibri"/>
      </rPr>
      <t>oc get templates/&lt;PROJECT-REQUEST-TEMPLATE&gt; -n openshift-config -o jsonpath="{.objects[?(.kind=='ResourceQuota')]}{'\n'}"</t>
    </r>
    <r>
      <rPr>
        <sz val="11"/>
        <color rgb="FF000000"/>
        <rFont val="Calibri"/>
      </rPr>
      <t xml:space="preserve">
</t>
    </r>
    <r>
      <rPr>
        <sz val="11"/>
        <color rgb="FF000000"/>
        <rFont val="Calibri"/>
      </rPr>
      <t>Replace &lt;PROJECT-REQUEST-TEMPLATE&gt; with the name of the project request template returned from the earlier query.</t>
    </r>
    <r>
      <rPr>
        <sz val="11"/>
        <color rgb="FF000000"/>
        <rFont val="Calibri"/>
      </rPr>
      <t xml:space="preserve">
</t>
    </r>
    <r>
      <rPr>
        <sz val="11"/>
        <color rgb="FF000000"/>
        <rFont val="Calibri"/>
      </rPr>
      <t>If the project template is not defined, or there are no ResourceQuota definitions in it, this is a finding.</t>
    </r>
  </si>
  <si>
    <t>V-257555</t>
  </si>
  <si>
    <r>
      <rPr>
        <sz val="11"/>
        <rFont val="Calibri"/>
      </rPr>
      <t>OpenShift must restrict individuals</t>
    </r>
    <r>
      <rPr>
        <sz val="11"/>
        <color rgb="FF000000"/>
        <rFont val="Calibri"/>
      </rPr>
      <t>'</t>
    </r>
    <r>
      <rPr>
        <sz val="11"/>
        <color rgb="FF000000"/>
        <rFont val="Calibri"/>
      </rPr>
      <t xml:space="preserve"> ability to launch organization-defined denial-of-service (DOS) attacks against other information systems by rate-limiting.</t>
    </r>
  </si>
  <si>
    <r>
      <rPr>
        <sz val="11"/>
        <color rgb="FF000000"/>
        <rFont val="Calibri"/>
      </rPr>
      <t>Add the "haproxy.router.openshift.io/rate-limit-connections= true" annotation to any routes outside the kube-* or openshift-* namespaces.</t>
    </r>
    <r>
      <rPr>
        <sz val="11"/>
        <color rgb="FF000000"/>
        <rFont val="Calibri"/>
      </rPr>
      <t xml:space="preserve">
</t>
    </r>
    <r>
      <rPr>
        <sz val="11"/>
        <color rgb="FF000000"/>
        <rFont val="Calibri"/>
      </rPr>
      <t>oc annotate route &lt;route_name&gt; -n &lt;namespace&gt; --overwrite=true "haproxy.router.openshift.io/timeout=2s"</t>
    </r>
    <r>
      <rPr>
        <sz val="11"/>
        <color rgb="FF000000"/>
        <rFont val="Calibri"/>
      </rPr>
      <t xml:space="preserve">
</t>
    </r>
    <r>
      <rPr>
        <sz val="11"/>
        <color rgb="FF000000"/>
        <rFont val="Calibri"/>
      </rPr>
      <t>https://docs.openshift.com/container-platform/4.9/networking/routes/route-configuration.html</t>
    </r>
  </si>
  <si>
    <r>
      <rPr>
        <sz val="11"/>
        <color rgb="FF000000"/>
        <rFont val="Calibri"/>
      </rPr>
      <t>By setting rate limits, OpenShift can control the number of requests or connections allowed from a single source within a specific period. This prevents an excessive influx of requests that can overwhelm the application and degrade its performance or availability.</t>
    </r>
    <r>
      <rPr>
        <sz val="11"/>
        <color rgb="FF000000"/>
        <rFont val="Calibri"/>
      </rPr>
      <t xml:space="preserve">
</t>
    </r>
    <r>
      <rPr>
        <sz val="11"/>
        <color rgb="FF000000"/>
        <rFont val="Calibri"/>
      </rPr>
      <t>Setting rate limits ensures fair resource allocation, prevents service degradation, protects backend systems, and enhances overall security. It also helps to maintain the availability, performance, and security of the applications hosted on the platform, contributing to a reliable and robust application infrastructure.</t>
    </r>
    <r>
      <rPr>
        <sz val="11"/>
        <color rgb="FF000000"/>
        <rFont val="Calibri"/>
      </rPr>
      <t xml:space="preserve">
</t>
    </r>
    <r>
      <rPr>
        <sz val="11"/>
        <color rgb="FF000000"/>
        <rFont val="Calibri"/>
      </rPr>
      <t>OpenShift has an option to set the rate limit for routes (refer to link below) when creating new routes. All routes outside the OpenShift namespaces and the kube namespaces must use the rate-limiting annotations.</t>
    </r>
    <r>
      <rPr>
        <sz val="11"/>
        <color rgb="FF000000"/>
        <rFont val="Calibri"/>
      </rPr>
      <t xml:space="preserve">
</t>
    </r>
    <r>
      <rPr>
        <sz val="11"/>
        <color rgb="FF000000"/>
        <rFont val="Calibri"/>
      </rPr>
      <t>https://docs.openshift.com/container-platform/4.9/networking/routes/route-configuration.html#nw-route-specific-annotations_route-configuration</t>
    </r>
  </si>
  <si>
    <r>
      <rPr>
        <sz val="11"/>
        <color rgb="FF000000"/>
        <rFont val="Calibri"/>
      </rPr>
      <t>Verify that all namespaces except those that start with kube-* or openshift-* use the rate-limiting annotation by executing the following:</t>
    </r>
    <r>
      <rPr>
        <sz val="11"/>
        <color rgb="FF000000"/>
        <rFont val="Calibri"/>
      </rPr>
      <t xml:space="preserve">
</t>
    </r>
    <r>
      <rPr>
        <sz val="11"/>
        <color rgb="FF000000"/>
        <rFont val="Calibri"/>
      </rPr>
      <t>oc get routes --all-namespaces -o json | jq '[.items[] | select(.metadata.namespace | startswith("kube-") or startswith("openshift-") | not) | select(.metadata.annotations["haproxy.router.openshift.io/rate-limit-connections"] == "true" | not) | .metadata.name]'</t>
    </r>
    <r>
      <rPr>
        <sz val="11"/>
        <color rgb="FF000000"/>
        <rFont val="Calibri"/>
      </rPr>
      <t xml:space="preserve">
</t>
    </r>
    <r>
      <rPr>
        <sz val="11"/>
        <color rgb="FF000000"/>
        <rFont val="Calibri"/>
      </rPr>
      <t>If the above command returns any namespaces, this is a finding.</t>
    </r>
  </si>
  <si>
    <t>V-257556</t>
  </si>
  <si>
    <r>
      <rPr>
        <sz val="11"/>
        <rFont val="Calibri"/>
      </rPr>
      <t>OpenShift must display an explicit logout message indicating the reliable termination of authenticated communication sessions.</t>
    </r>
  </si>
  <si>
    <r>
      <rPr>
        <sz val="11"/>
        <color rgb="FF000000"/>
        <rFont val="Calibri"/>
      </rPr>
      <t>Configure the web console's logout redirect to direct to an appropriate logout page. If OpenShift is configured to use an OIDC provider, then the redirect needs to first go to the OIDC provider's logout page, and then it can be redirected to another logout page as needed.</t>
    </r>
    <r>
      <rPr>
        <sz val="11"/>
        <color rgb="FF000000"/>
        <rFont val="Calibri"/>
      </rPr>
      <t xml:space="preserve">
</t>
    </r>
    <r>
      <rPr>
        <sz val="11"/>
        <color rgb="FF000000"/>
        <rFont val="Calibri"/>
      </rPr>
      <t>Run the following command to update the console:</t>
    </r>
    <r>
      <rPr>
        <sz val="11"/>
        <color rgb="FF000000"/>
        <rFont val="Calibri"/>
      </rPr>
      <t xml:space="preserve">
</t>
    </r>
    <r>
      <rPr>
        <sz val="11"/>
        <color rgb="FF000000"/>
        <rFont val="Calibri"/>
      </rPr>
      <t>oc patch console.config.openshift.io cluster --type merge -p '{"spec":{"authentication":{"logoutRedirect":"&lt;LOGOUT_URL&gt;"}}}'</t>
    </r>
    <r>
      <rPr>
        <sz val="11"/>
        <color rgb="FF000000"/>
        <rFont val="Calibri"/>
      </rPr>
      <t xml:space="preserve">
</t>
    </r>
    <r>
      <rPr>
        <sz val="11"/>
        <color rgb="FF000000"/>
        <rFont val="Calibri"/>
      </rPr>
      <t>where LOGOUT_URL is set to the logout page.</t>
    </r>
  </si>
  <si>
    <r>
      <rPr>
        <sz val="11"/>
        <color rgb="FF000000"/>
        <rFont val="Calibri"/>
      </rPr>
      <t xml:space="preserve">The OpenShift CLI tool includes an explicit logout option. </t>
    </r>
    <r>
      <rPr>
        <sz val="11"/>
        <color rgb="FF000000"/>
        <rFont val="Calibri"/>
      </rPr>
      <t xml:space="preserve">
</t>
    </r>
    <r>
      <rPr>
        <sz val="11"/>
        <color rgb="FF000000"/>
        <rFont val="Calibri"/>
      </rPr>
      <t>The web console's default logout will invalidate the user's session token and redirect back to the console page, which will redirect the user to the authentication page. There is no explicit logout message. And in addition, if the IdP provider type is OIDC, the session token from the SSO provider will remain valid, which would effectively keep the user logged in. To correct this, the web console needs to be configured to redirect the user to a logout page. If using an OIDC provider, this would be the logout page for that provider.</t>
    </r>
  </si>
  <si>
    <r>
      <rPr>
        <sz val="11"/>
        <color rgb="FF000000"/>
        <rFont val="Calibri"/>
      </rPr>
      <t>Verify the logout redirect setting in web console configuration is set by executing the following:</t>
    </r>
    <r>
      <rPr>
        <sz val="11"/>
        <color rgb="FF000000"/>
        <rFont val="Calibri"/>
      </rPr>
      <t xml:space="preserve">
</t>
    </r>
    <r>
      <rPr>
        <sz val="11"/>
        <color rgb="FF000000"/>
        <rFont val="Calibri"/>
      </rPr>
      <t>oc get console.config.openshift.io cluster -o jsonpath='{.spec.authentication.logoutRedirect}{"\n"}'</t>
    </r>
    <r>
      <rPr>
        <sz val="11"/>
        <color rgb="FF000000"/>
        <rFont val="Calibri"/>
      </rPr>
      <t xml:space="preserve">
</t>
    </r>
    <r>
      <rPr>
        <sz val="11"/>
        <color rgb="FF000000"/>
        <rFont val="Calibri"/>
      </rPr>
      <t>If nothing is returned, this is a finding.</t>
    </r>
  </si>
  <si>
    <t>V-257557</t>
  </si>
  <si>
    <r>
      <rPr>
        <sz val="11"/>
        <rFont val="Calibri"/>
      </rPr>
      <t>Container images instantiated by OpenShift must execute using least privileges.</t>
    </r>
  </si>
  <si>
    <r>
      <rPr>
        <sz val="11"/>
        <color rgb="FF000000"/>
        <rFont val="Calibri"/>
      </rPr>
      <t>For users and groups that are defined in the SCC policy, execute the following to remove the users or groups by editing the corresponding SCC policy.</t>
    </r>
    <r>
      <rPr>
        <sz val="11"/>
        <color rgb="FF000000"/>
        <rFont val="Calibri"/>
      </rPr>
      <t xml:space="preserve">
</t>
    </r>
    <r>
      <rPr>
        <sz val="11"/>
        <color rgb="FF000000"/>
        <rFont val="Calibri"/>
      </rPr>
      <t>oc edit scc &lt;SCC&gt;</t>
    </r>
    <r>
      <rPr>
        <sz val="11"/>
        <color rgb="FF000000"/>
        <rFont val="Calibri"/>
      </rPr>
      <t xml:space="preserve">
</t>
    </r>
    <r>
      <rPr>
        <sz val="11"/>
        <color rgb="FF000000"/>
        <rFont val="Calibri"/>
      </rPr>
      <t>The following instructions will remove the user or group from the cluster role binding for the SCC policy.</t>
    </r>
    <r>
      <rPr>
        <sz val="11"/>
        <color rgb="FF000000"/>
        <rFont val="Calibri"/>
      </rPr>
      <t xml:space="preserve">
</t>
    </r>
    <r>
      <rPr>
        <sz val="11"/>
        <color rgb="FF000000"/>
        <rFont val="Calibri"/>
      </rPr>
      <t>Remove user from the SCC policy binding by executing the following:</t>
    </r>
    <r>
      <rPr>
        <sz val="11"/>
        <color rgb="FF000000"/>
        <rFont val="Calibri"/>
      </rPr>
      <t xml:space="preserve">
</t>
    </r>
    <r>
      <rPr>
        <sz val="11"/>
        <color rgb="FF000000"/>
        <rFont val="Calibri"/>
      </rPr>
      <t>oc adm policy remove-scc-from-user &lt;SCC&gt; &lt;USER&gt;</t>
    </r>
    <r>
      <rPr>
        <sz val="11"/>
        <color rgb="FF000000"/>
        <rFont val="Calibri"/>
      </rPr>
      <t xml:space="preserve">
</t>
    </r>
    <r>
      <rPr>
        <sz val="11"/>
        <color rgb="FF000000"/>
        <rFont val="Calibri"/>
      </rPr>
      <t>Remove a group from the SCC policy binding by executing the following:</t>
    </r>
    <r>
      <rPr>
        <sz val="11"/>
        <color rgb="FF000000"/>
        <rFont val="Calibri"/>
      </rPr>
      <t xml:space="preserve">
</t>
    </r>
    <r>
      <rPr>
        <sz val="11"/>
        <color rgb="FF000000"/>
        <rFont val="Calibri"/>
      </rPr>
      <t>oc adm policy remove-scc-from-group &lt;SCC&gt; &lt;GROUP&gt;</t>
    </r>
    <r>
      <rPr>
        <sz val="11"/>
        <color rgb="FF000000"/>
        <rFont val="Calibri"/>
      </rPr>
      <t xml:space="preserve">
</t>
    </r>
    <r>
      <rPr>
        <sz val="11"/>
        <color rgb="FF000000"/>
        <rFont val="Calibri"/>
      </rPr>
      <t>Remove service account from the SCC policy binding by executing the following:</t>
    </r>
    <r>
      <rPr>
        <sz val="11"/>
        <color rgb="FF000000"/>
        <rFont val="Calibri"/>
      </rPr>
      <t xml:space="preserve">
</t>
    </r>
    <r>
      <rPr>
        <sz val="11"/>
        <color rgb="FF000000"/>
        <rFont val="Calibri"/>
      </rPr>
      <t>oc project &lt;SERVICE_ACC_PROJECT&gt;</t>
    </r>
    <r>
      <rPr>
        <sz val="11"/>
        <color rgb="FF000000"/>
        <rFont val="Calibri"/>
      </rPr>
      <t xml:space="preserve">
</t>
    </r>
    <r>
      <rPr>
        <sz val="11"/>
        <color rgb="FF000000"/>
        <rFont val="Calibri"/>
      </rPr>
      <t>oc adm policy remove-scc-from-user &lt;SCC&gt; -z &lt;SERVICE_ACC&gt;</t>
    </r>
    <r>
      <rPr>
        <sz val="11"/>
        <color rgb="FF000000"/>
        <rFont val="Calibri"/>
      </rPr>
      <t xml:space="preserve">
</t>
    </r>
    <r>
      <rPr>
        <sz val="11"/>
        <color rgb="FF000000"/>
        <rFont val="Calibri"/>
      </rPr>
      <t>Remove any roles that allows use of nonpermitted SCC policies (excluding platform-defined roles) by executing the following:</t>
    </r>
    <r>
      <rPr>
        <sz val="11"/>
        <color rgb="FF000000"/>
        <rFont val="Calibri"/>
      </rPr>
      <t xml:space="preserve">
</t>
    </r>
    <r>
      <rPr>
        <sz val="11"/>
        <color rgb="FF000000"/>
        <rFont val="Calibri"/>
      </rPr>
      <t>oc delete clusterrole.rbac &lt;ROLE&gt;</t>
    </r>
    <r>
      <rPr>
        <sz val="11"/>
        <color rgb="FF000000"/>
        <rFont val="Calibri"/>
      </rPr>
      <t xml:space="preserve">
</t>
    </r>
    <r>
      <rPr>
        <sz val="11"/>
        <color rgb="FF000000"/>
        <rFont val="Calibri"/>
      </rPr>
      <t>or</t>
    </r>
    <r>
      <rPr>
        <sz val="11"/>
        <color rgb="FF000000"/>
        <rFont val="Calibri"/>
      </rPr>
      <t xml:space="preserve">
</t>
    </r>
    <r>
      <rPr>
        <sz val="11"/>
        <color rgb="FF000000"/>
        <rFont val="Calibri"/>
      </rPr>
      <t>oc delete role.rbac &lt;ROLE&gt; -n &lt;NAMESPACE&gt;</t>
    </r>
  </si>
  <si>
    <r>
      <rPr>
        <sz val="11"/>
        <color rgb="FF000000"/>
        <rFont val="Calibri"/>
      </rPr>
      <t>Container images running on OpenShift must support running as any arbitrary UID. OpenShift will then assign a random, nonprivileged UID to the running container instance. This avoids the risk from containers running with specific UIDs that could map to host service accounts, or an even greater risk of running as root level service.</t>
    </r>
    <r>
      <rPr>
        <sz val="11"/>
        <color rgb="FF000000"/>
        <rFont val="Calibri"/>
      </rPr>
      <t xml:space="preserve">
</t>
    </r>
    <r>
      <rPr>
        <sz val="11"/>
        <color rgb="FF000000"/>
        <rFont val="Calibri"/>
      </rPr>
      <t>OpenShift uses the default security context constraints (SCC), restricted, to prevent containers from running as root or other privileged user IDs. Pods must be configured to use an SCC policy that allows the container to run as a specific UID, including root(0) when approved. Only a cluster administrator may grant the change of an SCC policy.</t>
    </r>
    <r>
      <rPr>
        <sz val="11"/>
        <color rgb="FF000000"/>
        <rFont val="Calibri"/>
      </rPr>
      <t xml:space="preserve">
</t>
    </r>
    <r>
      <rPr>
        <sz val="11"/>
        <color rgb="FF000000"/>
        <rFont val="Calibri"/>
      </rPr>
      <t>https://docs.openshift.com/container-platform/4.8/openshift_images/create-images.html#images-create-guide-openshift_create-images</t>
    </r>
    <r>
      <rPr>
        <sz val="11"/>
        <color rgb="FF000000"/>
        <rFont val="Calibri"/>
      </rPr>
      <t xml:space="preserve">
</t>
    </r>
    <r>
      <rPr>
        <sz val="11"/>
        <color rgb="FF000000"/>
        <rFont val="Calibri"/>
      </rPr>
      <t>Satisfies: SRG-APP-000342-CTR-000775, SRG-APP-000142-CTR-000330, SRG-APP-000243-CTR-000595</t>
    </r>
  </si>
  <si>
    <r>
      <rPr>
        <sz val="11"/>
        <color rgb="FF000000"/>
        <rFont val="Calibri"/>
      </rPr>
      <t>Check SCC:</t>
    </r>
    <r>
      <rPr>
        <sz val="11"/>
        <color rgb="FF000000"/>
        <rFont val="Calibri"/>
      </rPr>
      <t xml:space="preserve">
</t>
    </r>
    <r>
      <rPr>
        <sz val="11"/>
        <color rgb="FF000000"/>
        <rFont val="Calibri"/>
      </rPr>
      <t>1. Identify any SCC policy that allows containers to access the host network or filesystem resources, or allows privileged containers or where runAsUser is not MustRunAsRange by executing the following:</t>
    </r>
    <r>
      <rPr>
        <sz val="11"/>
        <color rgb="FF000000"/>
        <rFont val="Calibri"/>
      </rPr>
      <t xml:space="preserve">
</t>
    </r>
    <r>
      <rPr>
        <sz val="11"/>
        <color rgb="FF000000"/>
        <rFont val="Calibri"/>
      </rPr>
      <t>oc get scc -ojson | jq '.items[]|select(.allowHostIPC or .allowHostPID or .allowHostPorts or .allowHostNetwork or .allowHostDirVolumePlugin or .allowPrivilegedContainer or .runAsUser.type != "MustRunAsRange" )|.metadata.name,{"Group:":.groups},{"User":.users}'</t>
    </r>
    <r>
      <rPr>
        <sz val="11"/>
        <color rgb="FF000000"/>
        <rFont val="Calibri"/>
      </rPr>
      <t xml:space="preserve">
</t>
    </r>
    <r>
      <rPr>
        <sz val="11"/>
        <color rgb="FF000000"/>
        <rFont val="Calibri"/>
      </rPr>
      <t>For each SCC listed, if any of those users or groups are anything other than the following, this is a finding:</t>
    </r>
    <r>
      <rPr>
        <sz val="11"/>
        <color rgb="FF000000"/>
        <rFont val="Calibri"/>
      </rPr>
      <t xml:space="preserve">
</t>
    </r>
    <r>
      <rPr>
        <sz val="11"/>
        <color rgb="FF000000"/>
        <rFont val="Calibri"/>
      </rPr>
      <t xml:space="preserve">  * system:cluster-admins</t>
    </r>
    <r>
      <rPr>
        <sz val="11"/>
        <color rgb="FF000000"/>
        <rFont val="Calibri"/>
      </rPr>
      <t xml:space="preserve">
</t>
    </r>
    <r>
      <rPr>
        <sz val="11"/>
        <color rgb="FF000000"/>
        <rFont val="Calibri"/>
      </rPr>
      <t xml:space="preserve">  * system:nodes</t>
    </r>
    <r>
      <rPr>
        <sz val="11"/>
        <color rgb="FF000000"/>
        <rFont val="Calibri"/>
      </rPr>
      <t xml:space="preserve">
</t>
    </r>
    <r>
      <rPr>
        <sz val="11"/>
        <color rgb="FF000000"/>
        <rFont val="Calibri"/>
      </rPr>
      <t xml:space="preserve">  * system:masters</t>
    </r>
    <r>
      <rPr>
        <sz val="11"/>
        <color rgb="FF000000"/>
        <rFont val="Calibri"/>
      </rPr>
      <t xml:space="preserve">
</t>
    </r>
    <r>
      <rPr>
        <sz val="11"/>
        <color rgb="FF000000"/>
        <rFont val="Calibri"/>
      </rPr>
      <t xml:space="preserve">  * system:admin</t>
    </r>
    <r>
      <rPr>
        <sz val="11"/>
        <color rgb="FF000000"/>
        <rFont val="Calibri"/>
      </rPr>
      <t xml:space="preserve">
</t>
    </r>
    <r>
      <rPr>
        <sz val="11"/>
        <color rgb="FF000000"/>
        <rFont val="Calibri"/>
      </rPr>
      <t xml:space="preserve">  * system:serviceaccount:openshift-infra:build-controller</t>
    </r>
    <r>
      <rPr>
        <sz val="11"/>
        <color rgb="FF000000"/>
        <rFont val="Calibri"/>
      </rPr>
      <t xml:space="preserve">
</t>
    </r>
    <r>
      <rPr>
        <sz val="11"/>
        <color rgb="FF000000"/>
        <rFont val="Calibri"/>
      </rPr>
      <t xml:space="preserve">  * system:serviceaccount:openshift-infra:pv-recycler-controller</t>
    </r>
    <r>
      <rPr>
        <sz val="11"/>
        <color rgb="FF000000"/>
        <rFont val="Calibri"/>
      </rPr>
      <t xml:space="preserve">
</t>
    </r>
    <r>
      <rPr>
        <sz val="11"/>
        <color rgb="FF000000"/>
        <rFont val="Calibri"/>
      </rPr>
      <t xml:space="preserve">  * system:serviceaccount:openshift-machine-api:machine-api-termination-handler</t>
    </r>
    <r>
      <rPr>
        <sz val="11"/>
        <color rgb="FF000000"/>
        <rFont val="Calibri"/>
      </rPr>
      <t xml:space="preserve">
</t>
    </r>
    <r>
      <rPr>
        <sz val="11"/>
        <color rgb="FF000000"/>
        <rFont val="Calibri"/>
      </rPr>
      <t>The group "system:authenticated" is the default group for any authenticated user, this group should only be associated with the restricted profile. If this group is listed under any other SCC Policy, or the restricted SCC policy has been altered to allow any of the nonpermitted actions, this is a finding.</t>
    </r>
    <r>
      <rPr>
        <sz val="11"/>
        <color rgb="FF000000"/>
        <rFont val="Calibri"/>
      </rPr>
      <t xml:space="preserve">
</t>
    </r>
    <r>
      <rPr>
        <sz val="11"/>
        <color rgb="FF000000"/>
        <rFont val="Calibri"/>
      </rPr>
      <t>2. Determine if there are any cluster roles or local roles that allow the use of use of nonpermitted SCC policies. The following commands will print the role's name and namespace, followed by a list of resource names and if that resource is an SCC.</t>
    </r>
    <r>
      <rPr>
        <sz val="11"/>
        <color rgb="FF000000"/>
        <rFont val="Calibri"/>
      </rPr>
      <t xml:space="preserve">
</t>
    </r>
    <r>
      <rPr>
        <sz val="11"/>
        <color rgb="FF000000"/>
        <rFont val="Calibri"/>
      </rPr>
      <t>oc get clusterrole.rbac -ojson | jq -r '.items[]|select(.rules[]?|select( (.apiGroups[]? == ("security.openshift.io")) and (.resources[]? == ("securitycontextconstraints")) and (.verbs[]? == ("use"))))|.metadata.name,{"scc":(.rules[]?|select((.resources[]? == ("securitycontextconstraints"))).resourceNames[]?)}'</t>
    </r>
    <r>
      <rPr>
        <sz val="11"/>
        <color rgb="FF000000"/>
        <rFont val="Calibri"/>
      </rPr>
      <t xml:space="preserve">
</t>
    </r>
    <r>
      <rPr>
        <sz val="11"/>
        <color rgb="FF000000"/>
        <rFont val="Calibri"/>
      </rPr>
      <t>oc get role.rbac --all-namespaces -ojson | jq -r '.items[]|select(.rules[]?|select( (.apiGroups[]? == ("security.openshift.io")) and (.resources[]? == ("securitycontextconstraints")) and (.verbs[]? == ("use"))))|.metadata.name,{"scc":(.rules[]?|select((.resources[]? == ("securitycontextconstraints"))).resourceNames[]?)}'</t>
    </r>
    <r>
      <rPr>
        <sz val="11"/>
        <color rgb="FF000000"/>
        <rFont val="Calibri"/>
      </rPr>
      <t xml:space="preserve">
</t>
    </r>
    <r>
      <rPr>
        <sz val="11"/>
        <color rgb="FF000000"/>
        <rFont val="Calibri"/>
      </rPr>
      <t>Excluding platform specific roles, identify any roles that allow use of nonpermitted SCC policies. For example, the follow output shows that the role 'examplePrivilegedRole' allows use of the 'privileged' SCC.</t>
    </r>
    <r>
      <rPr>
        <sz val="11"/>
        <color rgb="FF000000"/>
        <rFont val="Calibri"/>
      </rPr>
      <t xml:space="preserve">
</t>
    </r>
    <r>
      <rPr>
        <sz val="11"/>
        <color rgb="FF000000"/>
        <rFont val="Calibri"/>
      </rPr>
      <t>examplePrivilegedRole</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  "scc": "privileged"</t>
    </r>
    <r>
      <rPr>
        <sz val="11"/>
        <color rgb="FF000000"/>
        <rFont val="Calibri"/>
      </rPr>
      <t xml:space="preserve">
</t>
    </r>
    <r>
      <rPr>
        <sz val="11"/>
        <color rgb="FF000000"/>
        <rFont val="Calibri"/>
      </rPr>
      <t>}</t>
    </r>
    <r>
      <rPr>
        <sz val="11"/>
        <color rgb="FF000000"/>
        <rFont val="Calibri"/>
      </rPr>
      <t xml:space="preserve">
</t>
    </r>
    <r>
      <rPr>
        <sz val="11"/>
        <color rgb="FF000000"/>
        <rFont val="Calibri"/>
      </rPr>
      <t>3. Determine if there are any role bindings to cluster or local roles that allow use of nonpermitted SCCs by executing the following:</t>
    </r>
    <r>
      <rPr>
        <sz val="11"/>
        <color rgb="FF000000"/>
        <rFont val="Calibri"/>
      </rPr>
      <t xml:space="preserve">
</t>
    </r>
    <r>
      <rPr>
        <sz val="11"/>
        <color rgb="FF000000"/>
        <rFont val="Calibri"/>
      </rPr>
      <t>oc get clusterrolebinding.rbac -ojson | jq -r '.items[]|select(.roleRef.kind == ("ClusterRole","Role") and .roleRef.name == (&lt;CLUSTER_ROLE_LIST&gt;))|{ "crb": .metadata.name, "roleRef": .roleRef, "subjects": .subjects}'</t>
    </r>
    <r>
      <rPr>
        <sz val="11"/>
        <color rgb="FF000000"/>
        <rFont val="Calibri"/>
      </rPr>
      <t xml:space="preserve">
</t>
    </r>
    <r>
      <rPr>
        <sz val="11"/>
        <color rgb="FF000000"/>
        <rFont val="Calibri"/>
      </rPr>
      <t>oc get rolebinding.rbac --all-namespaces -ojson | jq -r '.items[]|select(.roleRef.kind == ("ClusterRole","Role") and .roleRef.name == (&lt;LOCAL_ROLE_LIST&gt;))|{ "crb": .metadata.name, "roleRef": .roleRef, "subjects": .subjects}'</t>
    </r>
    <r>
      <rPr>
        <sz val="11"/>
        <color rgb="FF000000"/>
        <rFont val="Calibri"/>
      </rPr>
      <t xml:space="preserve">
</t>
    </r>
    <r>
      <rPr>
        <sz val="11"/>
        <color rgb="FF000000"/>
        <rFont val="Calibri"/>
      </rPr>
      <t>Where &lt;CLUSTER_ROLE_LIST&gt; and &lt;LOCAL_ROLE_LIST&gt; are comma-separated lists of the roles allowing use of nonpermitted SCC policies as identified above. For example:</t>
    </r>
    <r>
      <rPr>
        <sz val="11"/>
        <color rgb="FF000000"/>
        <rFont val="Calibri"/>
      </rPr>
      <t xml:space="preserve">
</t>
    </r>
    <r>
      <rPr>
        <sz val="11"/>
        <color rgb="FF000000"/>
        <rFont val="Calibri"/>
      </rPr>
      <t>... .roleRef.name == ("system:openshift:scc:privileged","system:openshift:scc:hostnetwork","system:openshift:scc:hostaccess") ...</t>
    </r>
    <r>
      <rPr>
        <sz val="11"/>
        <color rgb="FF000000"/>
        <rFont val="Calibri"/>
      </rPr>
      <t xml:space="preserve">
</t>
    </r>
    <r>
      <rPr>
        <sz val="11"/>
        <color rgb="FF000000"/>
        <rFont val="Calibri"/>
      </rPr>
      <t>Excluding any platform namespaces (kube-*,openshift-*), if there are any rolebindings to roles that are not permitted, this is a finding.</t>
    </r>
  </si>
  <si>
    <t>V-257558</t>
  </si>
  <si>
    <r>
      <rPr>
        <sz val="11"/>
        <rFont val="Calibri"/>
      </rPr>
      <t>Red Hat Enterprise Linux CoreOS (RHCOS) must allocate audit record storage capacity to store at least one weeks</t>
    </r>
    <r>
      <rPr>
        <sz val="11"/>
        <color rgb="FF000000"/>
        <rFont val="Calibri"/>
      </rPr>
      <t>'</t>
    </r>
    <r>
      <rPr>
        <sz val="11"/>
        <color rgb="FF000000"/>
        <rFont val="Calibri"/>
      </rPr>
      <t xml:space="preserve"> worth of audit records, when audit records are not immediately sent to a central audit record storage facility.</t>
    </r>
  </si>
  <si>
    <r>
      <rPr>
        <sz val="11"/>
        <color rgb="FF000000"/>
        <rFont val="Calibri"/>
      </rPr>
      <t>Reinstall the cluster, generating custom ignition configs to allocate audit record storage capacity.</t>
    </r>
    <r>
      <rPr>
        <sz val="11"/>
        <color rgb="FF000000"/>
        <rFont val="Calibri"/>
      </rPr>
      <t xml:space="preserve">
</t>
    </r>
    <r>
      <rPr>
        <sz val="11"/>
        <color rgb="FF000000"/>
        <rFont val="Calibri"/>
      </rPr>
      <t>1. Generate manifest files for the cluster by executing the following:</t>
    </r>
    <r>
      <rPr>
        <sz val="11"/>
        <color rgb="FF000000"/>
        <rFont val="Calibri"/>
      </rPr>
      <t xml:space="preserve">
</t>
    </r>
    <r>
      <rPr>
        <sz val="11"/>
        <color rgb="FF000000"/>
        <rFont val="Calibri"/>
      </rPr>
      <t>openshift-install create manifests --dir &lt;install_dir&gt;</t>
    </r>
    <r>
      <rPr>
        <sz val="11"/>
        <color rgb="FF000000"/>
        <rFont val="Calibri"/>
      </rPr>
      <t xml:space="preserve">
</t>
    </r>
    <r>
      <rPr>
        <sz val="11"/>
        <color rgb="FF000000"/>
        <rFont val="Calibri"/>
      </rPr>
      <t>2. Create a Butane config that configures additional partition by executing the following:</t>
    </r>
    <r>
      <rPr>
        <sz val="11"/>
        <color rgb="FF000000"/>
        <rFont val="Calibri"/>
      </rPr>
      <t xml:space="preserve">
</t>
    </r>
    <r>
      <rPr>
        <sz val="11"/>
        <color rgb="FF000000"/>
        <rFont val="Calibri"/>
      </rPr>
      <t>variant: openshift</t>
    </r>
    <r>
      <rPr>
        <sz val="11"/>
        <color rgb="FF000000"/>
        <rFont val="Calibri"/>
      </rPr>
      <t xml:space="preserve">
</t>
    </r>
    <r>
      <rPr>
        <sz val="11"/>
        <color rgb="FF000000"/>
        <rFont val="Calibri"/>
      </rPr>
      <t>version: 4.9.0</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labels:</t>
    </r>
    <r>
      <rPr>
        <sz val="11"/>
        <color rgb="FF000000"/>
        <rFont val="Calibri"/>
      </rPr>
      <t xml:space="preserve">
</t>
    </r>
    <r>
      <rPr>
        <sz val="11"/>
        <color rgb="FF000000"/>
        <rFont val="Calibri"/>
      </rPr>
      <t xml:space="preserve">    machineconfiguration.openshift.io/role: worker</t>
    </r>
    <r>
      <rPr>
        <sz val="11"/>
        <color rgb="FF000000"/>
        <rFont val="Calibri"/>
      </rPr>
      <t xml:space="preserve">
</t>
    </r>
    <r>
      <rPr>
        <sz val="11"/>
        <color rgb="FF000000"/>
        <rFont val="Calibri"/>
      </rPr>
      <t xml:space="preserve">  name: 98-var-partition</t>
    </r>
    <r>
      <rPr>
        <sz val="11"/>
        <color rgb="FF000000"/>
        <rFont val="Calibri"/>
      </rPr>
      <t xml:space="preserve">
</t>
    </r>
    <r>
      <rPr>
        <sz val="11"/>
        <color rgb="FF000000"/>
        <rFont val="Calibri"/>
      </rPr>
      <t>storage:</t>
    </r>
    <r>
      <rPr>
        <sz val="11"/>
        <color rgb="FF000000"/>
        <rFont val="Calibri"/>
      </rPr>
      <t xml:space="preserve">
</t>
    </r>
    <r>
      <rPr>
        <sz val="11"/>
        <color rgb="FF000000"/>
        <rFont val="Calibri"/>
      </rPr>
      <t xml:space="preserve">  disks:</t>
    </r>
    <r>
      <rPr>
        <sz val="11"/>
        <color rgb="FF000000"/>
        <rFont val="Calibri"/>
      </rPr>
      <t xml:space="preserve">
</t>
    </r>
    <r>
      <rPr>
        <sz val="11"/>
        <color rgb="FF000000"/>
        <rFont val="Calibri"/>
      </rPr>
      <t xml:space="preserve">  - device: /dev/&lt;device_name&gt; </t>
    </r>
    <r>
      <rPr>
        <sz val="11"/>
        <color rgb="FF000000"/>
        <rFont val="Calibri"/>
      </rPr>
      <t xml:space="preserve">
</t>
    </r>
    <r>
      <rPr>
        <sz val="11"/>
        <color rgb="FF000000"/>
        <rFont val="Calibri"/>
      </rPr>
      <t xml:space="preserve">    partitions:</t>
    </r>
    <r>
      <rPr>
        <sz val="11"/>
        <color rgb="FF000000"/>
        <rFont val="Calibri"/>
      </rPr>
      <t xml:space="preserve">
</t>
    </r>
    <r>
      <rPr>
        <sz val="11"/>
        <color rgb="FF000000"/>
        <rFont val="Calibri"/>
      </rPr>
      <t xml:space="preserve">    - label: var</t>
    </r>
    <r>
      <rPr>
        <sz val="11"/>
        <color rgb="FF000000"/>
        <rFont val="Calibri"/>
      </rPr>
      <t xml:space="preserve">
</t>
    </r>
    <r>
      <rPr>
        <sz val="11"/>
        <color rgb="FF000000"/>
        <rFont val="Calibri"/>
      </rPr>
      <t xml:space="preserve">      start_mib: &lt;partition_start_offset&gt; </t>
    </r>
    <r>
      <rPr>
        <sz val="11"/>
        <color rgb="FF000000"/>
        <rFont val="Calibri"/>
      </rPr>
      <t xml:space="preserve">
</t>
    </r>
    <r>
      <rPr>
        <sz val="11"/>
        <color rgb="FF000000"/>
        <rFont val="Calibri"/>
      </rPr>
      <t xml:space="preserve">      size_mib: &lt;partition_size&gt; </t>
    </r>
    <r>
      <rPr>
        <sz val="11"/>
        <color rgb="FF000000"/>
        <rFont val="Calibri"/>
      </rPr>
      <t xml:space="preserve">
</t>
    </r>
    <r>
      <rPr>
        <sz val="11"/>
        <color rgb="FF000000"/>
        <rFont val="Calibri"/>
      </rPr>
      <t xml:space="preserve">  filesystems:</t>
    </r>
    <r>
      <rPr>
        <sz val="11"/>
        <color rgb="FF000000"/>
        <rFont val="Calibri"/>
      </rPr>
      <t xml:space="preserve">
</t>
    </r>
    <r>
      <rPr>
        <sz val="11"/>
        <color rgb="FF000000"/>
        <rFont val="Calibri"/>
      </rPr>
      <t xml:space="preserve">    - device: /dev/disk/by-partlabel/var</t>
    </r>
    <r>
      <rPr>
        <sz val="11"/>
        <color rgb="FF000000"/>
        <rFont val="Calibri"/>
      </rPr>
      <t xml:space="preserve">
</t>
    </r>
    <r>
      <rPr>
        <sz val="11"/>
        <color rgb="FF000000"/>
        <rFont val="Calibri"/>
      </rPr>
      <t xml:space="preserve">      path: /var</t>
    </r>
    <r>
      <rPr>
        <sz val="11"/>
        <color rgb="FF000000"/>
        <rFont val="Calibri"/>
      </rPr>
      <t xml:space="preserve">
</t>
    </r>
    <r>
      <rPr>
        <sz val="11"/>
        <color rgb="FF000000"/>
        <rFont val="Calibri"/>
      </rPr>
      <t xml:space="preserve">      format: xfs</t>
    </r>
    <r>
      <rPr>
        <sz val="11"/>
        <color rgb="FF000000"/>
        <rFont val="Calibri"/>
      </rPr>
      <t xml:space="preserve">
</t>
    </r>
    <r>
      <rPr>
        <sz val="11"/>
        <color rgb="FF000000"/>
        <rFont val="Calibri"/>
      </rPr>
      <t xml:space="preserve">      mount_options: [rw, nodev, nosuid, noexec,...] </t>
    </r>
    <r>
      <rPr>
        <sz val="11"/>
        <color rgb="FF000000"/>
        <rFont val="Calibri"/>
      </rPr>
      <t xml:space="preserve">
</t>
    </r>
    <r>
      <rPr>
        <sz val="11"/>
        <color rgb="FF000000"/>
        <rFont val="Calibri"/>
      </rPr>
      <t xml:space="preserve">      with_mount_unit: true</t>
    </r>
    <r>
      <rPr>
        <sz val="11"/>
        <color rgb="FF000000"/>
        <rFont val="Calibri"/>
      </rPr>
      <t xml:space="preserve">
</t>
    </r>
    <r>
      <rPr>
        <sz val="11"/>
        <color rgb="FF000000"/>
        <rFont val="Calibri"/>
      </rPr>
      <t>3. Create a manifest from the Butane config by executing the following:</t>
    </r>
    <r>
      <rPr>
        <sz val="11"/>
        <color rgb="FF000000"/>
        <rFont val="Calibri"/>
      </rPr>
      <t xml:space="preserve">
</t>
    </r>
    <r>
      <rPr>
        <sz val="11"/>
        <color rgb="FF000000"/>
        <rFont val="Calibri"/>
      </rPr>
      <t>butane &lt;install_dir&gt;/98-var-partition.bu -o &lt;install_dir&gt;/openshift/98-var-partition.yaml</t>
    </r>
    <r>
      <rPr>
        <sz val="11"/>
        <color rgb="FF000000"/>
        <rFont val="Calibri"/>
      </rPr>
      <t xml:space="preserve">
</t>
    </r>
    <r>
      <rPr>
        <sz val="11"/>
        <color rgb="FF000000"/>
        <rFont val="Calibri"/>
      </rPr>
      <t>4. Create the ignition config files by executing the following:</t>
    </r>
    <r>
      <rPr>
        <sz val="11"/>
        <color rgb="FF000000"/>
        <rFont val="Calibri"/>
      </rPr>
      <t xml:space="preserve">
</t>
    </r>
    <r>
      <rPr>
        <sz val="11"/>
        <color rgb="FF000000"/>
        <rFont val="Calibri"/>
      </rPr>
      <t>openshift-install create ignition-configs --dir &lt;install_dir&gt;</t>
    </r>
  </si>
  <si>
    <r>
      <rPr>
        <sz val="11"/>
        <color rgb="FF000000"/>
        <rFont val="Calibri"/>
      </rPr>
      <t>To ensure RHCOS has a sufficient storage capacity in which to write the audit logs, operating systems need to be able to allocate audit record storage capacity. The task of allocating audit record storage capacity is performed during initial installation of the operating system.</t>
    </r>
  </si>
  <si>
    <r>
      <rPr>
        <sz val="11"/>
        <color rgb="FF000000"/>
        <rFont val="Calibri"/>
      </rPr>
      <t>Verify RHCOS allocates audit record storage capacity to store at least one week of audit records when audit records are not immediately sent to a central audit record storage facility.</t>
    </r>
    <r>
      <rPr>
        <sz val="11"/>
        <color rgb="FF000000"/>
        <rFont val="Calibri"/>
      </rPr>
      <t xml:space="preserve">
</t>
    </r>
    <r>
      <rPr>
        <sz val="11"/>
        <color rgb="FF000000"/>
        <rFont val="Calibri"/>
      </rPr>
      <t>Check the size of the partition to which audit records are written (with the example being /var/log/audit/) by executing the following:</t>
    </r>
    <r>
      <rPr>
        <sz val="11"/>
        <color rgb="FF000000"/>
        <rFont val="Calibri"/>
      </rPr>
      <t xml:space="preserve">
</t>
    </r>
    <r>
      <rPr>
        <sz val="11"/>
        <color rgb="FF000000"/>
        <rFont val="Calibri"/>
      </rPr>
      <t>for node in $(oc get node -oname); do oc debug $node -- chroot /host /bin/bash -c 'echo -n "$HOSTNAME ";  df -h /var/log/audit/' 2&gt;/dev/null; done</t>
    </r>
    <r>
      <rPr>
        <sz val="11"/>
        <color rgb="FF000000"/>
        <rFont val="Calibri"/>
      </rPr>
      <t xml:space="preserve">
</t>
    </r>
    <r>
      <rPr>
        <sz val="11"/>
        <color rgb="FF000000"/>
        <rFont val="Calibri"/>
      </rPr>
      <t>&lt;node&gt; Filesystem      Size  Used Avail Use% Mounted on</t>
    </r>
    <r>
      <rPr>
        <sz val="11"/>
        <color rgb="FF000000"/>
        <rFont val="Calibri"/>
      </rPr>
      <t xml:space="preserve">
</t>
    </r>
    <r>
      <rPr>
        <sz val="11"/>
        <color rgb="FF000000"/>
        <rFont val="Calibri"/>
      </rPr>
      <t>/dev/sdb4       1.0T   27G  998G   3% /var</t>
    </r>
    <r>
      <rPr>
        <sz val="11"/>
        <color rgb="FF000000"/>
        <rFont val="Calibri"/>
      </rPr>
      <t xml:space="preserve">
</t>
    </r>
    <r>
      <rPr>
        <sz val="11"/>
        <color rgb="FF000000"/>
        <rFont val="Calibri"/>
      </rPr>
      <t>If the audit record partition is not allocated for sufficient storage capacity, this is a finding.</t>
    </r>
    <r>
      <rPr>
        <sz val="11"/>
        <color rgb="FF000000"/>
        <rFont val="Calibri"/>
      </rPr>
      <t xml:space="preserve">
</t>
    </r>
    <r>
      <rPr>
        <sz val="11"/>
        <color rgb="FF000000"/>
        <rFont val="Calibri"/>
      </rPr>
      <t>Note: The partition size needed to capture a week of audit records is based on the activity level of the system and the total storage capacity available. Typically, 10.0 GB of storage space for audit records should be sufficient. If the partition used is not exclusively for audit logs, then determine the amount of additional space needed to support the partition reserving enough space for audit logs.</t>
    </r>
  </si>
  <si>
    <t>V-257559</t>
  </si>
  <si>
    <r>
      <rPr>
        <sz val="11"/>
        <rFont val="Calibri"/>
      </rPr>
      <t>OpenShift must configure Alert Manger Receivers to notify SA and ISSO of all audit failure events requiring real-time alerts.</t>
    </r>
  </si>
  <si>
    <r>
      <rPr>
        <sz val="11"/>
        <color rgb="FF000000"/>
        <rFont val="Calibri"/>
      </rPr>
      <t>Create an alert notification receiver.</t>
    </r>
    <r>
      <rPr>
        <sz val="11"/>
        <color rgb="FF000000"/>
        <rFont val="Calibri"/>
      </rPr>
      <t xml:space="preserve">
</t>
    </r>
    <r>
      <rPr>
        <sz val="11"/>
        <color rgb="FF000000"/>
        <rFont val="Calibri"/>
      </rPr>
      <t>1. From the Administrator perspective on the OpenShift web console, navigate to Administration &gt;&gt; Cluster Settings &gt;&gt; Configuration &gt;&gt; Alertmanager.</t>
    </r>
    <r>
      <rPr>
        <sz val="11"/>
        <color rgb="FF000000"/>
        <rFont val="Calibri"/>
      </rPr>
      <t xml:space="preserve">
</t>
    </r>
    <r>
      <rPr>
        <sz val="11"/>
        <color rgb="FF000000"/>
        <rFont val="Calibri"/>
      </rPr>
      <t>2. Select "Create Receiver".</t>
    </r>
    <r>
      <rPr>
        <sz val="11"/>
        <color rgb="FF000000"/>
        <rFont val="Calibri"/>
      </rPr>
      <t xml:space="preserve">
</t>
    </r>
    <r>
      <rPr>
        <sz val="11"/>
        <color rgb="FF000000"/>
        <rFont val="Calibri"/>
      </rPr>
      <t>3. Set the name and choose a Receiver Type.</t>
    </r>
    <r>
      <rPr>
        <sz val="11"/>
        <color rgb="FF000000"/>
        <rFont val="Calibri"/>
      </rPr>
      <t xml:space="preserve">
</t>
    </r>
    <r>
      <rPr>
        <sz val="11"/>
        <color rgb="FF000000"/>
        <rFont val="Calibri"/>
      </rPr>
      <t>4. Complete the form as per the organizations policy.</t>
    </r>
    <r>
      <rPr>
        <sz val="11"/>
        <color rgb="FF000000"/>
        <rFont val="Calibri"/>
      </rPr>
      <t xml:space="preserve">
</t>
    </r>
    <r>
      <rPr>
        <sz val="11"/>
        <color rgb="FF000000"/>
        <rFont val="Calibri"/>
      </rPr>
      <t>5. Click "Create".</t>
    </r>
    <r>
      <rPr>
        <sz val="11"/>
        <color rgb="FF000000"/>
        <rFont val="Calibri"/>
      </rPr>
      <t xml:space="preserve">
</t>
    </r>
    <r>
      <rPr>
        <sz val="11"/>
        <color rgb="FF000000"/>
        <rFont val="Calibri"/>
      </rPr>
      <t>Refer to the following documentation for more information:</t>
    </r>
    <r>
      <rPr>
        <sz val="11"/>
        <color rgb="FF000000"/>
        <rFont val="Calibri"/>
      </rPr>
      <t xml:space="preserve">
</t>
    </r>
    <r>
      <rPr>
        <sz val="11"/>
        <color rgb="FF000000"/>
        <rFont val="Calibri"/>
      </rPr>
      <t>https://docs.openshift.com/container-platform/4.8/monitoring/managing-alerts.html#sending-notifications-to-external-systems_managing-alerts</t>
    </r>
  </si>
  <si>
    <r>
      <rPr>
        <sz val="11"/>
        <color rgb="FF000000"/>
        <rFont val="Calibri"/>
      </rPr>
      <t>It is critical for the appropriate personnel to be aware if a system is at risk of failing to process audit logs as required. Without a real-time alert, security personnel may be unaware of an impending failure of the audit capability and system operation may be adversely affected.</t>
    </r>
    <r>
      <rPr>
        <sz val="11"/>
        <color rgb="FF000000"/>
        <rFont val="Calibri"/>
      </rPr>
      <t xml:space="preserve">
</t>
    </r>
    <r>
      <rPr>
        <sz val="11"/>
        <color rgb="FF000000"/>
        <rFont val="Calibri"/>
      </rPr>
      <t>Alerts provide organizations with urgent messages. Real-time alerts provide these messages immediately (i.e., the time from event detection to alert occurs in seconds or less).</t>
    </r>
    <r>
      <rPr>
        <sz val="11"/>
        <color rgb="FF000000"/>
        <rFont val="Calibri"/>
      </rPr>
      <t xml:space="preserve">
</t>
    </r>
    <r>
      <rPr>
        <sz val="11"/>
        <color rgb="FF000000"/>
        <rFont val="Calibri"/>
      </rPr>
      <t>Satisfies: SRG-APP-000360-CTR-000815, SRG-APP-000474-CTR-001180</t>
    </r>
  </si>
  <si>
    <r>
      <rPr>
        <sz val="11"/>
        <color rgb="FF000000"/>
        <rFont val="Calibri"/>
      </rPr>
      <t>Verify the AlertManager config includes a configured receiver.</t>
    </r>
    <r>
      <rPr>
        <sz val="11"/>
        <color rgb="FF000000"/>
        <rFont val="Calibri"/>
      </rPr>
      <t xml:space="preserve">
</t>
    </r>
    <r>
      <rPr>
        <sz val="11"/>
        <color rgb="FF000000"/>
        <rFont val="Calibri"/>
      </rPr>
      <t>1. From the Administrator perspective on the OpenShift web console, navigate to Administration &gt;&gt; Cluster Settings &gt;&gt; Configuration &gt;&gt; Alertmanager.</t>
    </r>
    <r>
      <rPr>
        <sz val="11"/>
        <color rgb="FF000000"/>
        <rFont val="Calibri"/>
      </rPr>
      <t xml:space="preserve">
</t>
    </r>
    <r>
      <rPr>
        <sz val="11"/>
        <color rgb="FF000000"/>
        <rFont val="Calibri"/>
      </rPr>
      <t>2. View the list of receivers and inspect the configuration.</t>
    </r>
    <r>
      <rPr>
        <sz val="11"/>
        <color rgb="FF000000"/>
        <rFont val="Calibri"/>
      </rPr>
      <t xml:space="preserve">
</t>
    </r>
    <r>
      <rPr>
        <sz val="11"/>
        <color rgb="FF000000"/>
        <rFont val="Calibri"/>
      </rPr>
      <t>3. Verify that at least one receiver is configured as either PagerDuty, Webhook, Email, or Slack according to the organizations policy.</t>
    </r>
    <r>
      <rPr>
        <sz val="11"/>
        <color rgb="FF000000"/>
        <rFont val="Calibri"/>
      </rPr>
      <t xml:space="preserve">
</t>
    </r>
    <r>
      <rPr>
        <sz val="11"/>
        <color rgb="FF000000"/>
        <rFont val="Calibri"/>
      </rPr>
      <t>If an alert receiver is not configured according to the organizational policy, this is a finding.</t>
    </r>
  </si>
  <si>
    <t>V-257560</t>
  </si>
  <si>
    <r>
      <rPr>
        <sz val="11"/>
        <rFont val="Calibri"/>
      </rPr>
      <t>OpenShift must enforce access restrictions and support auditing of the enforcement actions.</t>
    </r>
  </si>
  <si>
    <r>
      <rPr>
        <sz val="11"/>
        <color rgb="FF000000"/>
        <rFont val="Calibri"/>
      </rPr>
      <t>Apply the machine config to audit the execution of "execve" by executing the following:</t>
    </r>
    <r>
      <rPr>
        <sz val="11"/>
        <color rgb="FF000000"/>
        <rFont val="Calibri"/>
      </rPr>
      <t xml:space="preserve">
</t>
    </r>
    <r>
      <rPr>
        <sz val="11"/>
        <color rgb="FF000000"/>
        <rFont val="Calibri"/>
      </rPr>
      <t>for mcpool in $(oc get mcp -oname | sed "s:.*/::" ); do</t>
    </r>
    <r>
      <rPr>
        <sz val="11"/>
        <color rgb="FF000000"/>
        <rFont val="Calibri"/>
      </rPr>
      <t xml:space="preserve">
</t>
    </r>
    <r>
      <rPr>
        <sz val="11"/>
        <color rgb="FF000000"/>
        <rFont val="Calibri"/>
      </rPr>
      <t>echo "apiVersion: machineconfiguration.openshift.io/v1</t>
    </r>
    <r>
      <rPr>
        <sz val="11"/>
        <color rgb="FF000000"/>
        <rFont val="Calibri"/>
      </rPr>
      <t xml:space="preserve">
</t>
    </r>
    <r>
      <rPr>
        <sz val="11"/>
        <color rgb="FF000000"/>
        <rFont val="Calibri"/>
      </rPr>
      <t>kind: MachineConfig</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75-audit-rules-suid-privilege-$mcpool</t>
    </r>
    <r>
      <rPr>
        <sz val="11"/>
        <color rgb="FF000000"/>
        <rFont val="Calibri"/>
      </rPr>
      <t xml:space="preserve">
</t>
    </r>
    <r>
      <rPr>
        <sz val="11"/>
        <color rgb="FF000000"/>
        <rFont val="Calibri"/>
      </rPr>
      <t xml:space="preserve">  labels:</t>
    </r>
    <r>
      <rPr>
        <sz val="11"/>
        <color rgb="FF000000"/>
        <rFont val="Calibri"/>
      </rPr>
      <t xml:space="preserve">
</t>
    </r>
    <r>
      <rPr>
        <sz val="11"/>
        <color rgb="FF000000"/>
        <rFont val="Calibri"/>
      </rPr>
      <t xml:space="preserve">    machineconfiguration.openshift.io/role: $mcpool</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config:</t>
    </r>
    <r>
      <rPr>
        <sz val="11"/>
        <color rgb="FF000000"/>
        <rFont val="Calibri"/>
      </rPr>
      <t xml:space="preserve">
</t>
    </r>
    <r>
      <rPr>
        <sz val="11"/>
        <color rgb="FF000000"/>
        <rFont val="Calibri"/>
      </rPr>
      <t xml:space="preserve">    ignition:</t>
    </r>
    <r>
      <rPr>
        <sz val="11"/>
        <color rgb="FF000000"/>
        <rFont val="Calibri"/>
      </rPr>
      <t xml:space="preserve">
</t>
    </r>
    <r>
      <rPr>
        <sz val="11"/>
        <color rgb="FF000000"/>
        <rFont val="Calibri"/>
      </rPr>
      <t xml:space="preserve">      version: 3.1.0</t>
    </r>
    <r>
      <rPr>
        <sz val="11"/>
        <color rgb="FF000000"/>
        <rFont val="Calibri"/>
      </rPr>
      <t xml:space="preserve">
</t>
    </r>
    <r>
      <rPr>
        <sz val="11"/>
        <color rgb="FF000000"/>
        <rFont val="Calibri"/>
      </rPr>
      <t xml:space="preserve">    storage:</t>
    </r>
    <r>
      <rPr>
        <sz val="11"/>
        <color rgb="FF000000"/>
        <rFont val="Calibri"/>
      </rPr>
      <t xml:space="preserve">
</t>
    </r>
    <r>
      <rPr>
        <sz val="11"/>
        <color rgb="FF000000"/>
        <rFont val="Calibri"/>
      </rPr>
      <t xml:space="preserve">      files:</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b32%20-S%20execve%20-C%20uid%21=euid%20-F%20euid=0%20-k%20execpriv%0A-a%20always%2Cexit%20-F%20arch=b64%20-S%20execve%20-C%20uid%21=euid%20-F%20euid=0%20-k%20execpriv%0A-a%20always%2Cexit%20-F%20arch=b32%20-S%20execve%20-C%20gid%21=egid%20-F%20egid=0%20-k%20execpriv%0A-a%20always%2Cexit%20-F%20arch=b64%20-S%20execve%20-C%20gid%21=egid%20-F%20egid=0%20-k%20execpriv%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/etc/audit/rules.d/75-audit-suid-privilege-function.rules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 oc apply -f -</t>
    </r>
    <r>
      <rPr>
        <sz val="11"/>
        <color rgb="FF000000"/>
        <rFont val="Calibri"/>
      </rPr>
      <t xml:space="preserve">
</t>
    </r>
    <r>
      <rPr>
        <sz val="11"/>
        <color rgb="FF000000"/>
        <rFont val="Calibri"/>
      </rPr>
      <t>done</t>
    </r>
  </si>
  <si>
    <r>
      <rPr>
        <sz val="11"/>
        <color rgb="FF000000"/>
        <rFont val="Calibri"/>
      </rPr>
      <t>Enforcing access restrictions helps protect the OpenShift environment and its resources from unauthorized access, misuse, or malicious activities. By implementing access controls, OpenShift ensures that only authorized users or processes can access sensitive data, make changes to configurations, or perform privileged actions. This helps prevent unauthorized individuals or entities from compromising the system's security and integrity.</t>
    </r>
    <r>
      <rPr>
        <sz val="11"/>
        <color rgb="FF000000"/>
        <rFont val="Calibri"/>
      </rPr>
      <t xml:space="preserve">
</t>
    </r>
    <r>
      <rPr>
        <sz val="11"/>
        <color rgb="FF000000"/>
        <rFont val="Calibri"/>
      </rPr>
      <t>Enforcing access restrictions and auditing the enforcement actions ensures accountability for actions performed within the OpenShift environment. It helps identify the individuals or processes responsible for specific activities, whether they are legitimate actions or potential security breaches. This accountability discourages unauthorized or malicious behavior and supports incident response and forensic investigations.</t>
    </r>
    <r>
      <rPr>
        <sz val="11"/>
        <color rgb="FF000000"/>
        <rFont val="Calibri"/>
      </rPr>
      <t xml:space="preserve">
</t>
    </r>
    <r>
      <rPr>
        <sz val="11"/>
        <color rgb="FF000000"/>
        <rFont val="Calibri"/>
      </rPr>
      <t>Auditing the enforcement actions provides administrators with visibility into the system's security posture, access patterns, and potential security risks. It helps identify anomalies, detect suspicious activities, and monitor compliance with established security policies. This operational visibility enables timely detection and response to security incidents, ensuring the ongoing security and stability of the OpenShift environment.</t>
    </r>
    <r>
      <rPr>
        <sz val="11"/>
        <color rgb="FF000000"/>
        <rFont val="Calibri"/>
      </rPr>
      <t xml:space="preserve">
</t>
    </r>
    <r>
      <rPr>
        <sz val="11"/>
        <color rgb="FF000000"/>
        <rFont val="Calibri"/>
      </rPr>
      <t>Satisfies: SRG-APP-000381-CTR-000905, SRG-APP-000343-CTR-000780</t>
    </r>
  </si>
  <si>
    <r>
      <rPr>
        <sz val="11"/>
        <color rgb="FF000000"/>
        <rFont val="Calibri"/>
      </rPr>
      <t>Verify OpenShift is configured to audit the execution of the "execve" system call by executing the following:</t>
    </r>
    <r>
      <rPr>
        <sz val="11"/>
        <color rgb="FF000000"/>
        <rFont val="Calibri"/>
      </rPr>
      <t xml:space="preserve">
</t>
    </r>
    <r>
      <rPr>
        <sz val="11"/>
        <color rgb="FF000000"/>
        <rFont val="Calibri"/>
      </rPr>
      <t>for node in $(oc get node -oname); do oc debug $node -- chroot /host /bin/bash -c 'echo -n "$HOSTNAME "; grep -e "execpriv" /etc/audit/audit.rules' 2&gt;/dev/null; done</t>
    </r>
    <r>
      <rPr>
        <sz val="11"/>
        <color rgb="FF000000"/>
        <rFont val="Calibri"/>
      </rPr>
      <t xml:space="preserve">
</t>
    </r>
    <r>
      <rPr>
        <sz val="11"/>
        <color rgb="FF000000"/>
        <rFont val="Calibri"/>
      </rPr>
      <t>Confirm the following rules exist on each node:</t>
    </r>
    <r>
      <rPr>
        <sz val="11"/>
        <color rgb="FF000000"/>
        <rFont val="Calibri"/>
      </rPr>
      <t xml:space="preserve">
</t>
    </r>
    <r>
      <rPr>
        <sz val="11"/>
        <color rgb="FF000000"/>
        <rFont val="Calibri"/>
      </rPr>
      <t>-a always,exit -F arch=b32 -S execve -C uid!=euid -F euid=0 -k execpriv</t>
    </r>
    <r>
      <rPr>
        <sz val="11"/>
        <color rgb="FF000000"/>
        <rFont val="Calibri"/>
      </rPr>
      <t xml:space="preserve">
</t>
    </r>
    <r>
      <rPr>
        <sz val="11"/>
        <color rgb="FF000000"/>
        <rFont val="Calibri"/>
      </rPr>
      <t>-a always,exit -F arch=b64 -S execve -C uid!=euid -F euid=0 -k execpriv</t>
    </r>
    <r>
      <rPr>
        <sz val="11"/>
        <color rgb="FF000000"/>
        <rFont val="Calibri"/>
      </rPr>
      <t xml:space="preserve">
</t>
    </r>
    <r>
      <rPr>
        <sz val="11"/>
        <color rgb="FF000000"/>
        <rFont val="Calibri"/>
      </rPr>
      <t>-a always,exit -F arch=b32 -S execve -C gid!=egid -F egid=0 -k execpriv</t>
    </r>
    <r>
      <rPr>
        <sz val="11"/>
        <color rgb="FF000000"/>
        <rFont val="Calibri"/>
      </rPr>
      <t xml:space="preserve">
</t>
    </r>
    <r>
      <rPr>
        <sz val="11"/>
        <color rgb="FF000000"/>
        <rFont val="Calibri"/>
      </rPr>
      <t>-a always,exit -F arch=b64 -S execve -C gid!=egid -F egid=0 -k execpriv</t>
    </r>
    <r>
      <rPr>
        <sz val="11"/>
        <color rgb="FF000000"/>
        <rFont val="Calibri"/>
      </rPr>
      <t xml:space="preserve">
</t>
    </r>
    <r>
      <rPr>
        <sz val="11"/>
        <color rgb="FF000000"/>
        <rFont val="Calibri"/>
      </rPr>
      <t>If the above rules are not listed on each node, this is a finding.</t>
    </r>
  </si>
  <si>
    <t>V-257561</t>
  </si>
  <si>
    <r>
      <rPr>
        <sz val="11"/>
        <rFont val="Calibri"/>
      </rPr>
      <t>OpenShift must prevent the installation of patches, service packs, device drivers, or operating system components without verification they have been digitally signed using a certificate that is recognized and approved by the organization.</t>
    </r>
  </si>
  <si>
    <r>
      <rPr>
        <sz val="11"/>
        <color rgb="FF000000"/>
        <rFont val="Calibri"/>
      </rPr>
      <t>By default, the integrity of RH CoreOS is checked by cluster version operator on OpenShift platform. If the integrity is not verified, reinstall of the cluster is necessary.</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Refer to instructions:</t>
    </r>
    <r>
      <rPr>
        <sz val="11"/>
        <color rgb="FF000000"/>
        <rFont val="Calibri"/>
      </rPr>
      <t xml:space="preserve">
</t>
    </r>
    <r>
      <rPr>
        <sz val="11"/>
        <color rgb="FF000000"/>
        <rFont val="Calibri"/>
      </rPr>
      <t>https://docs.openshift.com/container-platform/4.10/installing/index.html</t>
    </r>
    <r>
      <rPr>
        <sz val="11"/>
        <color rgb="FF000000"/>
        <rFont val="Calibri"/>
      </rPr>
      <t xml:space="preserve">
</t>
    </r>
    <r>
      <rPr>
        <sz val="11"/>
        <color rgb="FF000000"/>
        <rFont val="Calibri"/>
      </rPr>
      <t>Where OpenShift Virtualization is enabled:</t>
    </r>
    <r>
      <rPr>
        <sz val="11"/>
        <color rgb="FF000000"/>
        <rFont val="Calibri"/>
      </rPr>
      <t xml:space="preserve">
</t>
    </r>
    <r>
      <rPr>
        <sz val="11"/>
        <color rgb="FF000000"/>
        <rFont val="Calibri"/>
      </rPr>
      <t>Annotations must be removed from the Hyperconverged by directly editing the object with oc edit hyperconverged kubevirt-hyperconverged -n openshift-cnv or by removing the annotation with the annotate command.</t>
    </r>
    <r>
      <rPr>
        <sz val="11"/>
        <color rgb="FF000000"/>
        <rFont val="Calibri"/>
      </rPr>
      <t xml:space="preserve">
</t>
    </r>
    <r>
      <rPr>
        <sz val="11"/>
        <color rgb="FF000000"/>
        <rFont val="Calibri"/>
      </rPr>
      <t>Example:</t>
    </r>
    <r>
      <rPr>
        <sz val="11"/>
        <color rgb="FF000000"/>
        <rFont val="Calibri"/>
      </rPr>
      <t xml:space="preserve">
</t>
    </r>
    <r>
      <rPr>
        <sz val="11"/>
        <color rgb="FF000000"/>
        <rFont val="Calibri"/>
      </rPr>
      <t>$ oc annotate --overwrite -n openshift-cnv hco</t>
    </r>
    <r>
      <rPr>
        <sz val="11"/>
        <color rgb="FF000000"/>
        <rFont val="Calibri"/>
      </rPr>
      <t xml:space="preserve">
</t>
    </r>
    <r>
      <rPr>
        <sz val="11"/>
        <color rgb="FF000000"/>
        <rFont val="Calibri"/>
      </rPr>
      <t>kubevirt-hyperconverged</t>
    </r>
    <r>
      <rPr>
        <sz val="11"/>
        <color rgb="FF000000"/>
        <rFont val="Calibri"/>
      </rPr>
      <t xml:space="preserve">
</t>
    </r>
    <r>
      <rPr>
        <sz val="11"/>
        <color rgb="FF000000"/>
        <rFont val="Calibri"/>
      </rPr>
      <t>'containerizeddataimporter.kubevirt.io/jsonpatch-'</t>
    </r>
  </si>
  <si>
    <r>
      <rPr>
        <sz val="11"/>
        <color rgb="FF000000"/>
        <rFont val="Calibri"/>
      </rPr>
      <t>Integrity of the OpenShift platform is handled by the cluster version operator. The cluster version operator will by default GPG verify the integrity of the release image before applying it. The release image contains a sha256 digest of machine-os-content which is used by the machine config operators for updates. On the host, the container runtime (podman) verifies the integrity of that sha256 when pulling the image before the machine config operator reads its content. Hence, there is end-to-end GPG-verified integrity for the operating system updates (as well as the rest of the cluster components, which run as regular containers).</t>
    </r>
  </si>
  <si>
    <r>
      <rPr>
        <sz val="11"/>
        <color rgb="FF000000"/>
        <rFont val="Calibri"/>
      </rPr>
      <t>To verify integrity of the cluster version, execute the following:</t>
    </r>
    <r>
      <rPr>
        <sz val="11"/>
        <color rgb="FF000000"/>
        <rFont val="Calibri"/>
      </rPr>
      <t xml:space="preserve">
</t>
    </r>
    <r>
      <rPr>
        <sz val="11"/>
        <color rgb="FF000000"/>
        <rFont val="Calibri"/>
      </rPr>
      <t xml:space="preserve">oc get clusterversion version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Cluster Version Operator is not installed or the AVAILABLE is not set to "True",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Run the following command to retrieve the Cluster Version objects in the system: </t>
    </r>
    <r>
      <rPr>
        <sz val="11"/>
        <color rgb="FF000000"/>
        <rFont val="Calibri"/>
      </rPr>
      <t xml:space="preserve">
</t>
    </r>
    <r>
      <rPr>
        <sz val="11"/>
        <color rgb="FF000000"/>
        <rFont val="Calibri"/>
      </rPr>
      <t>oc get clusterversion version -o yaml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&amp;#039;verified: true&amp;#039;, under status history for each item is not present, this is a finding.</t>
    </r>
    <r>
      <rPr>
        <sz val="11"/>
        <color rgb="FF000000"/>
        <rFont val="Calibri"/>
      </rPr>
      <t xml:space="preserve">
</t>
    </r>
    <r>
      <rPr>
        <sz val="11"/>
        <color rgb="FF000000"/>
        <rFont val="Calibri"/>
      </rPr>
      <t>Where OpenShift Virtualization is enabled:</t>
    </r>
    <r>
      <rPr>
        <sz val="11"/>
        <color rgb="FF000000"/>
        <rFont val="Calibri"/>
      </rPr>
      <t xml:space="preserve">
</t>
    </r>
    <r>
      <rPr>
        <sz val="11"/>
        <color rgb="FF000000"/>
        <rFont val="Calibri"/>
      </rPr>
      <t>$ oc get hyperconverged kubevirt-hyperconverged -n openshift-cnv -o</t>
    </r>
    <r>
      <rPr>
        <sz val="11"/>
        <color rgb="FF000000"/>
        <rFont val="Calibri"/>
      </rPr>
      <t xml:space="preserve">
</t>
    </r>
    <r>
      <rPr>
        <sz val="11"/>
        <color rgb="FF000000"/>
        <rFont val="Calibri"/>
      </rPr>
      <t>jsonpath='{.metadata.annotations}'| jq</t>
    </r>
    <r>
      <rPr>
        <sz val="11"/>
        <color rgb="FF000000"/>
        <rFont val="Calibri"/>
      </rPr>
      <t xml:space="preserve">
</t>
    </r>
    <r>
      <rPr>
        <sz val="11"/>
        <color rgb="FF000000"/>
        <rFont val="Calibri"/>
      </rPr>
      <t>'.|has("kubevirt.kubevirt.io/jsonpatch")'</t>
    </r>
    <r>
      <rPr>
        <sz val="11"/>
        <color rgb="FF000000"/>
        <rFont val="Calibri"/>
      </rPr>
      <t xml:space="preserve">
</t>
    </r>
    <r>
      <rPr>
        <sz val="11"/>
        <color rgb="FF000000"/>
        <rFont val="Calibri"/>
      </rPr>
      <t>$ oc get hyperconverged kubevirt-hyperconverged -n openshift-cnv -o</t>
    </r>
    <r>
      <rPr>
        <sz val="11"/>
        <color rgb="FF000000"/>
        <rFont val="Calibri"/>
      </rPr>
      <t xml:space="preserve">
</t>
    </r>
    <r>
      <rPr>
        <sz val="11"/>
        <color rgb="FF000000"/>
        <rFont val="Calibri"/>
      </rPr>
      <t>jsonpath='{.metadata.annotations}'| jq</t>
    </r>
    <r>
      <rPr>
        <sz val="11"/>
        <color rgb="FF000000"/>
        <rFont val="Calibri"/>
      </rPr>
      <t xml:space="preserve">
</t>
    </r>
    <r>
      <rPr>
        <sz val="11"/>
        <color rgb="FF000000"/>
        <rFont val="Calibri"/>
      </rPr>
      <t>'.|has("containerizeddataimporter.kubevirt.io/jsonpatch")'</t>
    </r>
    <r>
      <rPr>
        <sz val="11"/>
        <color rgb="FF000000"/>
        <rFont val="Calibri"/>
      </rPr>
      <t xml:space="preserve">
</t>
    </r>
    <r>
      <rPr>
        <sz val="11"/>
        <color rgb="FF000000"/>
        <rFont val="Calibri"/>
      </rPr>
      <t>$ oc get hyperconverged kubevirt-hyperconverged -n openshift-cnv -o</t>
    </r>
    <r>
      <rPr>
        <sz val="11"/>
        <color rgb="FF000000"/>
        <rFont val="Calibri"/>
      </rPr>
      <t xml:space="preserve">
</t>
    </r>
    <r>
      <rPr>
        <sz val="11"/>
        <color rgb="FF000000"/>
        <rFont val="Calibri"/>
      </rPr>
      <t>jsonpath='{.metadata.annotations}'| jq</t>
    </r>
    <r>
      <rPr>
        <sz val="11"/>
        <color rgb="FF000000"/>
        <rFont val="Calibri"/>
      </rPr>
      <t xml:space="preserve">
</t>
    </r>
    <r>
      <rPr>
        <sz val="11"/>
        <color rgb="FF000000"/>
        <rFont val="Calibri"/>
      </rPr>
      <t>'.|has("networkaddonsconfigs.kubevirt.io/jsonpatch")'</t>
    </r>
    <r>
      <rPr>
        <sz val="11"/>
        <color rgb="FF000000"/>
        <rFont val="Calibri"/>
      </rPr>
      <t xml:space="preserve">
</t>
    </r>
    <r>
      <rPr>
        <sz val="11"/>
        <color rgb="FF000000"/>
        <rFont val="Calibri"/>
      </rPr>
      <t>$ oc get hyperconverged kubevirt-hyperconverged -n openshift-cnv -o</t>
    </r>
    <r>
      <rPr>
        <sz val="11"/>
        <color rgb="FF000000"/>
        <rFont val="Calibri"/>
      </rPr>
      <t xml:space="preserve">
</t>
    </r>
    <r>
      <rPr>
        <sz val="11"/>
        <color rgb="FF000000"/>
        <rFont val="Calibri"/>
      </rPr>
      <t>jsonpath='{.metadata.annotations}'| jq</t>
    </r>
    <r>
      <rPr>
        <sz val="11"/>
        <color rgb="FF000000"/>
        <rFont val="Calibri"/>
      </rPr>
      <t xml:space="preserve">
</t>
    </r>
    <r>
      <rPr>
        <sz val="11"/>
        <color rgb="FF000000"/>
        <rFont val="Calibri"/>
      </rPr>
      <t>'.|has("ssp.kubevirt.io/jsonpatch")'</t>
    </r>
    <r>
      <rPr>
        <sz val="11"/>
        <color rgb="FF000000"/>
        <rFont val="Calibri"/>
      </rPr>
      <t xml:space="preserve">
</t>
    </r>
    <r>
      <rPr>
        <sz val="11"/>
        <color rgb="FF000000"/>
        <rFont val="Calibri"/>
      </rPr>
      <t>If any results are returned aside from empty strings, this is a finding.</t>
    </r>
  </si>
  <si>
    <t>V-257562</t>
  </si>
  <si>
    <r>
      <rPr>
        <sz val="11"/>
        <rFont val="Calibri"/>
      </rPr>
      <t>OpenShift must set server token max age no greater than eight hours.</t>
    </r>
  </si>
  <si>
    <r>
      <rPr>
        <sz val="11"/>
        <color rgb="FF000000"/>
        <rFont val="Calibri"/>
      </rPr>
      <t>To set the OAuth server token max age, edit the OAuth server object by executing the following:</t>
    </r>
    <r>
      <rPr>
        <sz val="11"/>
        <color rgb="FF000000"/>
        <rFont val="Calibri"/>
      </rPr>
      <t xml:space="preserve">
</t>
    </r>
    <r>
      <rPr>
        <sz val="11"/>
        <color rgb="FF000000"/>
        <rFont val="Calibri"/>
      </rPr>
      <t>oc patch oauth cluster --type merge -p '{"spec":{"tokenConfig":{"accessTokenMaxAgeSeconds": 28800}}}'</t>
    </r>
    <r>
      <rPr>
        <sz val="11"/>
        <color rgb="FF000000"/>
        <rFont val="Calibri"/>
      </rPr>
      <t xml:space="preserve">
</t>
    </r>
    <r>
      <rPr>
        <sz val="11"/>
        <color rgb="FF000000"/>
        <rFont val="Calibri"/>
      </rPr>
      <t>To set the OAuth client token max age, edit the OAuth client object by executing the following:</t>
    </r>
    <r>
      <rPr>
        <sz val="11"/>
        <color rgb="FF000000"/>
        <rFont val="Calibri"/>
      </rPr>
      <t xml:space="preserve">
</t>
    </r>
    <r>
      <rPr>
        <sz val="11"/>
        <color rgb="FF000000"/>
        <rFont val="Calibri"/>
      </rPr>
      <t>cli in $(oc get oauthclient -oname); do oc patch oauthclient $cli --type=merge -p '{"accessTokenMaxAgeSeconds": 28800}'; done</t>
    </r>
  </si>
  <si>
    <r>
      <rPr>
        <sz val="11"/>
        <color rgb="FF000000"/>
        <rFont val="Calibri"/>
      </rPr>
      <t>The setting for OAuth server token max age is used to control the maximum duration for which an issued OAuth access token remains valid. Access tokens serve as a form of authentication and authorization in OAuth-based systems. By setting a maximum age for these tokens, OpenShift helps mitigate security risks associated with long-lived tokens. If a token is compromised, its impact is limited to the maximum age duration, as the token will expire and become invalid after that period. It reduces the window of opportunity for unauthorized access and enhances the security of the system.</t>
    </r>
    <r>
      <rPr>
        <sz val="11"/>
        <color rgb="FF000000"/>
        <rFont val="Calibri"/>
      </rPr>
      <t xml:space="preserve">
</t>
    </r>
    <r>
      <rPr>
        <sz val="11"/>
        <color rgb="FF000000"/>
        <rFont val="Calibri"/>
      </rPr>
      <t>By setting a maximum age for access tokens, OpenShift encourages the use of token refresh rather than relying on the same token for an extended period. Regular token refresh helps maintain a higher level of security by ensuring that tokens are periodically revalidated and rotated.</t>
    </r>
  </si>
  <si>
    <r>
      <rPr>
        <sz val="11"/>
        <color rgb="FF000000"/>
        <rFont val="Calibri"/>
      </rPr>
      <t>To check if the OAuth server token max age is configured, execute the following:</t>
    </r>
    <r>
      <rPr>
        <sz val="11"/>
        <color rgb="FF000000"/>
        <rFont val="Calibri"/>
      </rPr>
      <t xml:space="preserve">
</t>
    </r>
    <r>
      <rPr>
        <sz val="11"/>
        <color rgb="FF000000"/>
        <rFont val="Calibri"/>
      </rPr>
      <t>oc get oauth cluster -ojsonpath='{.spec.tokenConfig.accessTokenMaxAgeSeconds}'</t>
    </r>
    <r>
      <rPr>
        <sz val="11"/>
        <color rgb="FF000000"/>
        <rFont val="Calibri"/>
      </rPr>
      <t xml:space="preserve">
</t>
    </r>
    <r>
      <rPr>
        <sz val="11"/>
        <color rgb="FF000000"/>
        <rFont val="Calibri"/>
      </rPr>
      <t>If the output timeout value on the OAuth server is &gt;"28800" or missing, this is a finding.</t>
    </r>
    <r>
      <rPr>
        <sz val="11"/>
        <color rgb="FF000000"/>
        <rFont val="Calibri"/>
      </rPr>
      <t xml:space="preserve">
</t>
    </r>
    <r>
      <rPr>
        <sz val="11"/>
        <color rgb="FF000000"/>
        <rFont val="Calibri"/>
      </rPr>
      <t>Check the OAuth client token value (this can be set on each client also).</t>
    </r>
    <r>
      <rPr>
        <sz val="11"/>
        <color rgb="FF000000"/>
        <rFont val="Calibri"/>
      </rPr>
      <t xml:space="preserve">
</t>
    </r>
    <r>
      <rPr>
        <sz val="11"/>
        <color rgb="FF000000"/>
        <rFont val="Calibri"/>
      </rPr>
      <t>Check all clients OAuth client token max age configuration by execute the following:</t>
    </r>
    <r>
      <rPr>
        <sz val="11"/>
        <color rgb="FF000000"/>
        <rFont val="Calibri"/>
      </rPr>
      <t xml:space="preserve">
</t>
    </r>
    <r>
      <rPr>
        <sz val="11"/>
        <color rgb="FF000000"/>
        <rFont val="Calibri"/>
      </rPr>
      <t>oc get oauthclients -ojson | jq -r '.items[] | { accessTokenMaxAgeSeconds: .accessTokenMaxAgeSeconds}'</t>
    </r>
    <r>
      <rPr>
        <sz val="11"/>
        <color rgb="FF000000"/>
        <rFont val="Calibri"/>
      </rPr>
      <t xml:space="preserve">
</t>
    </r>
    <r>
      <rPr>
        <sz val="11"/>
        <color rgb="FF000000"/>
        <rFont val="Calibri"/>
      </rPr>
      <t>If the output returns a timeout value of &gt;"28800" for any client, this is a finding.</t>
    </r>
  </si>
  <si>
    <t>V-257563</t>
  </si>
  <si>
    <r>
      <rPr>
        <sz val="11"/>
        <rFont val="Calibri"/>
      </rPr>
      <t>Vulnerability scanning applications must implement privileged access authorization to all OpenShift components, containers, and container images for selected organization-defined vulnerability scanning activities.</t>
    </r>
  </si>
  <si>
    <r>
      <rPr>
        <sz val="11"/>
        <color rgb="FF000000"/>
        <rFont val="Calibri"/>
      </rPr>
      <t>If no vulnerability scanning tool is used, this requirement is Not Applicable.</t>
    </r>
    <r>
      <rPr>
        <sz val="11"/>
        <color rgb="FF000000"/>
        <rFont val="Calibri"/>
      </rPr>
      <t xml:space="preserve">
</t>
    </r>
    <r>
      <rPr>
        <sz val="11"/>
        <color rgb="FF000000"/>
        <rFont val="Calibri"/>
      </rPr>
      <t>Create a service if one does not already exist.</t>
    </r>
    <r>
      <rPr>
        <sz val="11"/>
        <color rgb="FF000000"/>
        <rFont val="Calibri"/>
      </rPr>
      <t xml:space="preserve">
</t>
    </r>
    <r>
      <rPr>
        <sz val="11"/>
        <color rgb="FF000000"/>
        <rFont val="Calibri"/>
      </rPr>
      <t>Change to the appropriate namespace by executing the following:</t>
    </r>
    <r>
      <rPr>
        <sz val="11"/>
        <color rgb="FF000000"/>
        <rFont val="Calibri"/>
      </rPr>
      <t xml:space="preserve">
</t>
    </r>
    <r>
      <rPr>
        <sz val="11"/>
        <color rgb="FF000000"/>
        <rFont val="Calibri"/>
      </rPr>
      <t>oc project &lt;namespace&gt;</t>
    </r>
    <r>
      <rPr>
        <sz val="11"/>
        <color rgb="FF000000"/>
        <rFont val="Calibri"/>
      </rPr>
      <t xml:space="preserve">
</t>
    </r>
    <r>
      <rPr>
        <sz val="11"/>
        <color rgb="FF000000"/>
        <rFont val="Calibri"/>
      </rPr>
      <t>Create Service Account in the Project by executing the following:</t>
    </r>
    <r>
      <rPr>
        <sz val="11"/>
        <color rgb="FF000000"/>
        <rFont val="Calibri"/>
      </rPr>
      <t xml:space="preserve">
</t>
    </r>
    <r>
      <rPr>
        <sz val="11"/>
        <color rgb="FF000000"/>
        <rFont val="Calibri"/>
      </rPr>
      <t>oc create sa &lt;service_account_name&gt;</t>
    </r>
    <r>
      <rPr>
        <sz val="11"/>
        <color rgb="FF000000"/>
        <rFont val="Calibri"/>
      </rPr>
      <t xml:space="preserve">
</t>
    </r>
    <r>
      <rPr>
        <sz val="11"/>
        <color rgb="FF000000"/>
        <rFont val="Calibri"/>
      </rPr>
      <t>Verify creation of the Service Account by executing the following:</t>
    </r>
    <r>
      <rPr>
        <sz val="11"/>
        <color rgb="FF000000"/>
        <rFont val="Calibri"/>
      </rPr>
      <t xml:space="preserve">
</t>
    </r>
    <r>
      <rPr>
        <sz val="11"/>
        <color rgb="FF000000"/>
        <rFont val="Calibri"/>
      </rPr>
      <t>oc get sa | grep  &lt;service_account_name&gt;</t>
    </r>
    <r>
      <rPr>
        <sz val="11"/>
        <color rgb="FF000000"/>
        <rFont val="Calibri"/>
      </rPr>
      <t xml:space="preserve">
</t>
    </r>
    <r>
      <rPr>
        <sz val="11"/>
        <color rgb="FF000000"/>
        <rFont val="Calibri"/>
      </rPr>
      <t>Bind to the appropriate cluster RBAC role by executing the following:</t>
    </r>
    <r>
      <rPr>
        <sz val="11"/>
        <color rgb="FF000000"/>
        <rFont val="Calibri"/>
      </rPr>
      <t xml:space="preserve">
</t>
    </r>
    <r>
      <rPr>
        <sz val="11"/>
        <color rgb="FF000000"/>
        <rFont val="Calibri"/>
      </rPr>
      <t>oc adm policy add-cluster-role-to-user &lt;role_name&gt; -z &lt;service_account_name&gt;</t>
    </r>
    <r>
      <rPr>
        <sz val="11"/>
        <color rgb="FF000000"/>
        <rFont val="Calibri"/>
      </rPr>
      <t xml:space="preserve">
</t>
    </r>
    <r>
      <rPr>
        <sz val="11"/>
        <color rgb="FF000000"/>
        <rFont val="Calibri"/>
      </rPr>
      <t>For more information, refer to the following guides:</t>
    </r>
    <r>
      <rPr>
        <sz val="11"/>
        <color rgb="FF000000"/>
        <rFont val="Calibri"/>
      </rPr>
      <t xml:space="preserve">
</t>
    </r>
    <r>
      <rPr>
        <sz val="11"/>
        <color rgb="FF000000"/>
        <rFont val="Calibri"/>
      </rPr>
      <t>https://docs.openshift.com/container-platform/4.8/authentication/using-rbac.html</t>
    </r>
    <r>
      <rPr>
        <sz val="11"/>
        <color rgb="FF000000"/>
        <rFont val="Calibri"/>
      </rPr>
      <t xml:space="preserve">
</t>
    </r>
    <r>
      <rPr>
        <sz val="11"/>
        <color rgb="FF000000"/>
        <rFont val="Calibri"/>
      </rPr>
      <t>https://docs.openshift.com/container-platform/4.8/authentication/understanding-and-creating-service-accounts.html</t>
    </r>
    <r>
      <rPr>
        <sz val="11"/>
        <color rgb="FF000000"/>
        <rFont val="Calibri"/>
      </rPr>
      <t xml:space="preserve">
</t>
    </r>
    <r>
      <rPr>
        <sz val="11"/>
        <color rgb="FF000000"/>
        <rFont val="Calibri"/>
      </rPr>
      <t>https://docs.openshift.com/container-platform/4.8/authentication/using-service-accounts-in-applications.html</t>
    </r>
  </si>
  <si>
    <r>
      <rPr>
        <sz val="11"/>
        <color rgb="FF000000"/>
        <rFont val="Calibri"/>
      </rPr>
      <t>OpenShift uses service accounts to provide applications running on or off the platform access to the API service using the enforced RBAC policies. Vulnerability scanning applications that need access to the container platform may use a service account to grant that access. That service account can then be bound to the appropriate role required. The highest level of access granted is the cluster-admin role. Any account bound to that role can access and modify anything on the platform. It is strongly recommended to limit the number of accounts bound to that role. Instead, there are other predefined cluster level roles that may support the scanning to, such as the view or edit cluster roles. Additionally, custom roles may be defined to tailor fit access as needed by the scanning tools.</t>
    </r>
  </si>
  <si>
    <r>
      <rPr>
        <sz val="11"/>
        <color rgb="FF000000"/>
        <rFont val="Calibri"/>
      </rPr>
      <t>If no vulnerability scanning tool is used, this requirement is Not Applicable.</t>
    </r>
    <r>
      <rPr>
        <sz val="11"/>
        <color rgb="FF000000"/>
        <rFont val="Calibri"/>
      </rPr>
      <t xml:space="preserve">
</t>
    </r>
    <r>
      <rPr>
        <sz val="11"/>
        <color rgb="FF000000"/>
        <rFont val="Calibri"/>
      </rPr>
      <t>Identify the service accounts used by the vulnerability scanning tools. If the tool runs as a container on the platform, then service account information can be found in the pod details by executing the following:</t>
    </r>
    <r>
      <rPr>
        <sz val="11"/>
        <color rgb="FF000000"/>
        <rFont val="Calibri"/>
      </rPr>
      <t xml:space="preserve">
</t>
    </r>
    <r>
      <rPr>
        <sz val="11"/>
        <color rgb="FF000000"/>
        <rFont val="Calibri"/>
      </rPr>
      <t>(oc get pods to list pods)</t>
    </r>
    <r>
      <rPr>
        <sz val="11"/>
        <color rgb="FF000000"/>
        <rFont val="Calibri"/>
      </rPr>
      <t xml:space="preserve">
</t>
    </r>
    <r>
      <rPr>
        <sz val="11"/>
        <color rgb="FF000000"/>
        <rFont val="Calibri"/>
      </rPr>
      <t>oc get pod &lt;POD_ID&gt; -o jsonpath='{.spec.serviceAccount}{"\n"}'</t>
    </r>
    <r>
      <rPr>
        <sz val="11"/>
        <color rgb="FF000000"/>
        <rFont val="Calibri"/>
      </rPr>
      <t xml:space="preserve">
</t>
    </r>
    <r>
      <rPr>
        <sz val="11"/>
        <color rgb="FF000000"/>
        <rFont val="Calibri"/>
      </rPr>
      <t>If no service account exists for the vulnerability scanning tool, this is a finding.</t>
    </r>
    <r>
      <rPr>
        <sz val="11"/>
        <color rgb="FF000000"/>
        <rFont val="Calibri"/>
      </rPr>
      <t xml:space="preserve">
</t>
    </r>
    <r>
      <rPr>
        <sz val="11"/>
        <color rgb="FF000000"/>
        <rFont val="Calibri"/>
      </rPr>
      <t>View cluster role bindings to determine which role the service account is bound to by executing the following:</t>
    </r>
    <r>
      <rPr>
        <sz val="11"/>
        <color rgb="FF000000"/>
        <rFont val="Calibri"/>
      </rPr>
      <t xml:space="preserve">
</t>
    </r>
    <r>
      <rPr>
        <sz val="11"/>
        <color rgb="FF000000"/>
        <rFont val="Calibri"/>
      </rPr>
      <t>oc get clusterrolebinding -ojson | jq '.items[]|select(.subjects[]?|select(.kind == "ServiceAccount" and .name == "ingress-to-route-controller"))|{ "crb": .metadata.name, "roleRef": .roleRef, "subjects": .subjects}'</t>
    </r>
    <r>
      <rPr>
        <sz val="11"/>
        <color rgb="FF000000"/>
        <rFont val="Calibri"/>
      </rPr>
      <t xml:space="preserve">
</t>
    </r>
    <r>
      <rPr>
        <sz val="11"/>
        <color rgb="FF000000"/>
        <rFont val="Calibri"/>
      </rPr>
      <t>Find the role to which the service account is bound, if the service account is not bound to a cluster role, or the role does not provide sufficient access, this is a finding.</t>
    </r>
  </si>
  <si>
    <t>V-257564</t>
  </si>
  <si>
    <r>
      <rPr>
        <sz val="11"/>
        <rFont val="Calibri"/>
      </rPr>
      <t>OpenShift keystore must implement encryption to prevent unauthorized disclosure of information at rest within the container platform.</t>
    </r>
  </si>
  <si>
    <r>
      <rPr>
        <sz val="11"/>
        <color rgb="FF000000"/>
        <rFont val="Calibri"/>
      </rPr>
      <t>Set API encryption type by executing the following:</t>
    </r>
    <r>
      <rPr>
        <sz val="11"/>
        <color rgb="FF000000"/>
        <rFont val="Calibri"/>
      </rPr>
      <t xml:space="preserve">
</t>
    </r>
    <r>
      <rPr>
        <sz val="11"/>
        <color rgb="FF000000"/>
        <rFont val="Calibri"/>
      </rPr>
      <t>oc edit apiserver</t>
    </r>
    <r>
      <rPr>
        <sz val="11"/>
        <color rgb="FF000000"/>
        <rFont val="Calibri"/>
      </rPr>
      <t xml:space="preserve">
</t>
    </r>
    <r>
      <rPr>
        <sz val="11"/>
        <color rgb="FF000000"/>
        <rFont val="Calibri"/>
      </rPr>
      <t>Set the encryption field type to aescbc:</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encryption:</t>
    </r>
    <r>
      <rPr>
        <sz val="11"/>
        <color rgb="FF000000"/>
        <rFont val="Calibri"/>
      </rPr>
      <t xml:space="preserve">
</t>
    </r>
    <r>
      <rPr>
        <sz val="11"/>
        <color rgb="FF000000"/>
        <rFont val="Calibri"/>
      </rPr>
      <t xml:space="preserve">    type: aescbc </t>
    </r>
    <r>
      <rPr>
        <sz val="11"/>
        <color rgb="FF000000"/>
        <rFont val="Calibri"/>
      </rPr>
      <t xml:space="preserve">
</t>
    </r>
    <r>
      <rPr>
        <sz val="11"/>
        <color rgb="FF000000"/>
        <rFont val="Calibri"/>
      </rPr>
      <t>Additional details about the configuration can be found in the documentation:</t>
    </r>
    <r>
      <rPr>
        <sz val="11"/>
        <color rgb="FF000000"/>
        <rFont val="Calibri"/>
      </rPr>
      <t xml:space="preserve">
</t>
    </r>
    <r>
      <rPr>
        <sz val="11"/>
        <color rgb="FF000000"/>
        <rFont val="Calibri"/>
      </rPr>
      <t>https://docs.openshift.com/container-platform/4.8/security/encrypting-etcd.html</t>
    </r>
  </si>
  <si>
    <r>
      <rPr>
        <sz val="11"/>
        <color rgb="FF000000"/>
        <rFont val="Calibri"/>
      </rPr>
      <t>By default, etcd data is not encrypted in OpenShift Container Platform. Enable etcd encryption for the cluster to provide an additional layer of data security. For example, it can help protect the loss of sensitive data if an etcd backup is exposed to the incorrect parties. When users enable etcd encryption, the following OpenShift API server and Kubernetes API server resources are encrypted:</t>
    </r>
    <r>
      <rPr>
        <sz val="11"/>
        <color rgb="FF000000"/>
        <rFont val="Calibri"/>
      </rPr>
      <t xml:space="preserve">
</t>
    </r>
    <r>
      <rPr>
        <sz val="11"/>
        <color rgb="FF000000"/>
        <rFont val="Calibri"/>
      </rPr>
      <t>Secrets</t>
    </r>
    <r>
      <rPr>
        <sz val="11"/>
        <color rgb="FF000000"/>
        <rFont val="Calibri"/>
      </rPr>
      <t xml:space="preserve">
</t>
    </r>
    <r>
      <rPr>
        <sz val="11"/>
        <color rgb="FF000000"/>
        <rFont val="Calibri"/>
      </rPr>
      <t>Config maps</t>
    </r>
    <r>
      <rPr>
        <sz val="11"/>
        <color rgb="FF000000"/>
        <rFont val="Calibri"/>
      </rPr>
      <t xml:space="preserve">
</t>
    </r>
    <r>
      <rPr>
        <sz val="11"/>
        <color rgb="FF000000"/>
        <rFont val="Calibri"/>
      </rPr>
      <t>Routes</t>
    </r>
    <r>
      <rPr>
        <sz val="11"/>
        <color rgb="FF000000"/>
        <rFont val="Calibri"/>
      </rPr>
      <t xml:space="preserve">
</t>
    </r>
    <r>
      <rPr>
        <sz val="11"/>
        <color rgb="FF000000"/>
        <rFont val="Calibri"/>
      </rPr>
      <t>OAuth access tokens</t>
    </r>
    <r>
      <rPr>
        <sz val="11"/>
        <color rgb="FF000000"/>
        <rFont val="Calibri"/>
      </rPr>
      <t xml:space="preserve">
</t>
    </r>
    <r>
      <rPr>
        <sz val="11"/>
        <color rgb="FF000000"/>
        <rFont val="Calibri"/>
      </rPr>
      <t>OAuth authorize tokens</t>
    </r>
    <r>
      <rPr>
        <sz val="11"/>
        <color rgb="FF000000"/>
        <rFont val="Calibri"/>
      </rPr>
      <t xml:space="preserve">
</t>
    </r>
    <r>
      <rPr>
        <sz val="11"/>
        <color rgb="FF000000"/>
        <rFont val="Calibri"/>
      </rPr>
      <t>When users enable etcd encryption, encryption keys are created. These keys are rotated on a weekly basis. Users must have these keys to restore from an etcd backup.</t>
    </r>
  </si>
  <si>
    <r>
      <rPr>
        <sz val="11"/>
        <color rgb="FF000000"/>
        <rFont val="Calibri"/>
      </rPr>
      <t>Review the API server encryption by running by executing the following:</t>
    </r>
    <r>
      <rPr>
        <sz val="11"/>
        <color rgb="FF000000"/>
        <rFont val="Calibri"/>
      </rPr>
      <t xml:space="preserve">
</t>
    </r>
    <r>
      <rPr>
        <sz val="11"/>
        <color rgb="FF000000"/>
        <rFont val="Calibri"/>
      </rPr>
      <t>oc edit apiserver</t>
    </r>
    <r>
      <rPr>
        <sz val="11"/>
        <color rgb="FF000000"/>
        <rFont val="Calibri"/>
      </rPr>
      <t xml:space="preserve">
</t>
    </r>
    <r>
      <rPr>
        <sz val="11"/>
        <color rgb="FF000000"/>
        <rFont val="Calibri"/>
      </rPr>
      <t>EXAMPLE OUTPUT</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encryption:</t>
    </r>
    <r>
      <rPr>
        <sz val="11"/>
        <color rgb="FF000000"/>
        <rFont val="Calibri"/>
      </rPr>
      <t xml:space="preserve">
</t>
    </r>
    <r>
      <rPr>
        <sz val="11"/>
        <color rgb="FF000000"/>
        <rFont val="Calibri"/>
      </rPr>
      <t xml:space="preserve">    type: aescbc </t>
    </r>
    <r>
      <rPr>
        <sz val="11"/>
        <color rgb="FF000000"/>
        <rFont val="Calibri"/>
      </rPr>
      <t xml:space="preserve">
</t>
    </r>
    <r>
      <rPr>
        <sz val="11"/>
        <color rgb="FF000000"/>
        <rFont val="Calibri"/>
      </rPr>
      <t>If the encryption type is not "aescbc", this is a finding.</t>
    </r>
  </si>
  <si>
    <t>V-257565</t>
  </si>
  <si>
    <r>
      <rPr>
        <sz val="11"/>
        <rFont val="Calibri"/>
      </rPr>
      <t>OpenShift must protect against or limit the effects of all types of Denial-of-Service (DoS) attacks by employing organization-defined security safeguards by including a default resource quota.</t>
    </r>
  </si>
  <si>
    <r>
      <rPr>
        <sz val="11"/>
        <color rgb="FF000000"/>
        <rFont val="Calibri"/>
      </rPr>
      <t>Configure a default resource quota as necessary to protect resource over utilization.</t>
    </r>
    <r>
      <rPr>
        <sz val="11"/>
        <color rgb="FF000000"/>
        <rFont val="Calibri"/>
      </rPr>
      <t xml:space="preserve">
</t>
    </r>
    <r>
      <rPr>
        <sz val="11"/>
        <color rgb="FF000000"/>
        <rFont val="Calibri"/>
      </rPr>
      <t>1. Create a bootstrap project template by executing the following:</t>
    </r>
    <r>
      <rPr>
        <sz val="11"/>
        <color rgb="FF000000"/>
        <rFont val="Calibri"/>
      </rPr>
      <t xml:space="preserve">
</t>
    </r>
    <r>
      <rPr>
        <sz val="11"/>
        <color rgb="FF000000"/>
        <rFont val="Calibri"/>
      </rPr>
      <t>oc adm create-bootstrap-project-template -o yaml &gt; template.yaml</t>
    </r>
    <r>
      <rPr>
        <sz val="11"/>
        <color rgb="FF000000"/>
        <rFont val="Calibri"/>
      </rPr>
      <t xml:space="preserve">
</t>
    </r>
    <r>
      <rPr>
        <sz val="11"/>
        <color rgb="FF000000"/>
        <rFont val="Calibri"/>
      </rPr>
      <t>2. Edit the template and add a ResourceQuota object definition before the parameters section.</t>
    </r>
    <r>
      <rPr>
        <sz val="11"/>
        <color rgb="FF000000"/>
        <rFont val="Calibri"/>
      </rPr>
      <t xml:space="preserve">
</t>
    </r>
    <r>
      <rPr>
        <sz val="11"/>
        <color rgb="FF000000"/>
        <rFont val="Calibri"/>
      </rPr>
      <t>- apiVersion: v1</t>
    </r>
    <r>
      <rPr>
        <sz val="11"/>
        <color rgb="FF000000"/>
        <rFont val="Calibri"/>
      </rPr>
      <t xml:space="preserve">
</t>
    </r>
    <r>
      <rPr>
        <sz val="11"/>
        <color rgb="FF000000"/>
        <rFont val="Calibri"/>
      </rPr>
      <t xml:space="preserve">  kind: ResourceQuota</t>
    </r>
    <r>
      <rPr>
        <sz val="11"/>
        <color rgb="FF000000"/>
        <rFont val="Calibri"/>
      </rPr>
      <t xml:space="preserve">
</t>
    </r>
    <r>
      <rPr>
        <sz val="11"/>
        <color rgb="FF000000"/>
        <rFont val="Calibri"/>
      </rPr>
      <t xml:space="preserve">  metadata:</t>
    </r>
    <r>
      <rPr>
        <sz val="11"/>
        <color rgb="FF000000"/>
        <rFont val="Calibri"/>
      </rPr>
      <t xml:space="preserve">
</t>
    </r>
    <r>
      <rPr>
        <sz val="11"/>
        <color rgb="FF000000"/>
        <rFont val="Calibri"/>
      </rPr>
      <t xml:space="preserve">    name: example</t>
    </r>
    <r>
      <rPr>
        <sz val="11"/>
        <color rgb="FF000000"/>
        <rFont val="Calibri"/>
      </rPr>
      <t xml:space="preserve">
</t>
    </r>
    <r>
      <rPr>
        <sz val="11"/>
        <color rgb="FF000000"/>
        <rFont val="Calibri"/>
      </rPr>
      <t xml:space="preserve">  spec:</t>
    </r>
    <r>
      <rPr>
        <sz val="11"/>
        <color rgb="FF000000"/>
        <rFont val="Calibri"/>
      </rPr>
      <t xml:space="preserve">
</t>
    </r>
    <r>
      <rPr>
        <sz val="11"/>
        <color rgb="FF000000"/>
        <rFont val="Calibri"/>
      </rPr>
      <t xml:space="preserve">    hard:</t>
    </r>
    <r>
      <rPr>
        <sz val="11"/>
        <color rgb="FF000000"/>
        <rFont val="Calibri"/>
      </rPr>
      <t xml:space="preserve">
</t>
    </r>
    <r>
      <rPr>
        <sz val="11"/>
        <color rgb="FF000000"/>
        <rFont val="Calibri"/>
      </rPr>
      <t xml:space="preserve">      persistentvolumeclaims: "10"</t>
    </r>
    <r>
      <rPr>
        <sz val="11"/>
        <color rgb="FF000000"/>
        <rFont val="Calibri"/>
      </rPr>
      <t xml:space="preserve">
</t>
    </r>
    <r>
      <rPr>
        <sz val="11"/>
        <color rgb="FF000000"/>
        <rFont val="Calibri"/>
      </rPr>
      <t xml:space="preserve">      requests.storage: "50Gi"</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parameters:</t>
    </r>
    <r>
      <rPr>
        <sz val="11"/>
        <color rgb="FF000000"/>
        <rFont val="Calibri"/>
      </rPr>
      <t xml:space="preserve">
</t>
    </r>
    <r>
      <rPr>
        <sz val="11"/>
        <color rgb="FF000000"/>
        <rFont val="Calibri"/>
      </rPr>
      <t>3. Apply the project template to the cluster by executing the following:</t>
    </r>
    <r>
      <rPr>
        <sz val="11"/>
        <color rgb="FF000000"/>
        <rFont val="Calibri"/>
      </rPr>
      <t xml:space="preserve">
</t>
    </r>
    <r>
      <rPr>
        <sz val="11"/>
        <color rgb="FF000000"/>
        <rFont val="Calibri"/>
      </rPr>
      <t>oc create -f template.yaml -n openshift-config</t>
    </r>
    <r>
      <rPr>
        <sz val="11"/>
        <color rgb="FF000000"/>
        <rFont val="Calibri"/>
      </rPr>
      <t xml:space="preserve">
</t>
    </r>
    <r>
      <rPr>
        <sz val="11"/>
        <color rgb="FF000000"/>
        <rFont val="Calibri"/>
      </rPr>
      <t>Details regarding the configuration of resource quotas can be reviewed at https://docs.openshift.com/container-platform/4.8/applications/quotas/quotas-setting-per-project.html.</t>
    </r>
  </si>
  <si>
    <r>
      <rPr>
        <sz val="11"/>
        <color rgb="FF000000"/>
        <rFont val="Calibri"/>
      </rPr>
      <t>DNS attacks that are internal to the container platform (exploited or otherwise malicious applications) can have a limited blast radius by adhering to least privilege RBAC and Network access:</t>
    </r>
    <r>
      <rPr>
        <sz val="11"/>
        <color rgb="FF000000"/>
        <rFont val="Calibri"/>
      </rPr>
      <t xml:space="preserve">
</t>
    </r>
    <r>
      <rPr>
        <sz val="11"/>
        <color rgb="FF000000"/>
        <rFont val="Calibri"/>
      </rPr>
      <t>https://docs.openshift.com/container-platform/4.8/post_installation_configuration/network-configuration.html#post-install-configuring-network-policy</t>
    </r>
    <r>
      <rPr>
        <sz val="11"/>
        <color rgb="FF000000"/>
        <rFont val="Calibri"/>
      </rPr>
      <t xml:space="preserve">
</t>
    </r>
    <r>
      <rPr>
        <sz val="11"/>
        <color rgb="FF000000"/>
        <rFont val="Calibri"/>
      </rPr>
      <t>Additionally, applications can even be limited using OpenShift Service Mesh Operator.</t>
    </r>
    <r>
      <rPr>
        <sz val="11"/>
        <color rgb="FF000000"/>
        <rFont val="Calibri"/>
      </rPr>
      <t xml:space="preserve">
</t>
    </r>
    <r>
      <rPr>
        <sz val="11"/>
        <color rgb="FF000000"/>
        <rFont val="Calibri"/>
      </rPr>
      <t>DoS attacks coming from outside the cluster (ingress) can also be limited using an external cloud load balancer or by using 3scale API Gateway:</t>
    </r>
    <r>
      <rPr>
        <sz val="11"/>
        <color rgb="FF000000"/>
        <rFont val="Calibri"/>
      </rPr>
      <t xml:space="preserve">
</t>
    </r>
    <r>
      <rPr>
        <sz val="11"/>
        <color rgb="FF000000"/>
        <rFont val="Calibri"/>
      </rPr>
      <t>https://docs.openshift.com/container-platform/4.8/security/container_security/security-platform.html</t>
    </r>
    <r>
      <rPr>
        <sz val="11"/>
        <color rgb="FF000000"/>
        <rFont val="Calibri"/>
      </rPr>
      <t xml:space="preserve">
</t>
    </r>
    <r>
      <rPr>
        <sz val="11"/>
        <color rgb="FF000000"/>
        <rFont val="Calibri"/>
      </rPr>
      <t>Resource quotas must be set on a given namespace or across multiple namespaces. Using resource quotas will help to mitigate a DoS attack by limiting how much CPU, memory, and pods may be consumed in a project. This helps protect other projects (namespaces) from being denied resources to process.</t>
    </r>
    <r>
      <rPr>
        <sz val="11"/>
        <color rgb="FF000000"/>
        <rFont val="Calibri"/>
      </rPr>
      <t xml:space="preserve">
</t>
    </r>
    <r>
      <rPr>
        <sz val="11"/>
        <color rgb="FF000000"/>
        <rFont val="Calibri"/>
      </rPr>
      <t>https://docs.openshift.com/container-platform/4.8/applications/quotas/quotas-setting-per-project.html</t>
    </r>
  </si>
  <si>
    <r>
      <rPr>
        <sz val="11"/>
        <color rgb="FF000000"/>
        <rFont val="Calibri"/>
      </rPr>
      <t>Verify the new project template includes a default resource quota by executing the following:</t>
    </r>
    <r>
      <rPr>
        <sz val="11"/>
        <color rgb="FF000000"/>
        <rFont val="Calibri"/>
      </rPr>
      <t xml:space="preserve">
</t>
    </r>
    <r>
      <rPr>
        <sz val="11"/>
        <color rgb="FF000000"/>
        <rFont val="Calibri"/>
      </rPr>
      <t>oc get templates/project-request -n openshift-config -o jsonpath="{.objects[?(.kind=='ResourceQuota')]}{'\n'}"</t>
    </r>
    <r>
      <rPr>
        <sz val="11"/>
        <color rgb="FF000000"/>
        <rFont val="Calibri"/>
      </rPr>
      <t xml:space="preserve">
</t>
    </r>
    <r>
      <rPr>
        <sz val="11"/>
        <color rgb="FF000000"/>
        <rFont val="Calibri"/>
      </rPr>
      <t>Review the ResourceQuota definition. If nothing is return, this is a finding.</t>
    </r>
  </si>
  <si>
    <t>V-257566</t>
  </si>
  <si>
    <r>
      <rPr>
        <sz val="11"/>
        <rFont val="Calibri"/>
      </rPr>
      <t>OpenShift must protect against or limit the effects of all types of Denial-of-Service (DoS) attacks by defining resource quotas on a namespace.</t>
    </r>
  </si>
  <si>
    <r>
      <rPr>
        <sz val="11"/>
        <color rgb="FF000000"/>
        <rFont val="Calibri"/>
      </rPr>
      <t>Add a resource quota to an existing project namespace by performing the following steps:</t>
    </r>
    <r>
      <rPr>
        <sz val="11"/>
        <color rgb="FF000000"/>
        <rFont val="Calibri"/>
      </rPr>
      <t xml:space="preserve">
</t>
    </r>
    <r>
      <rPr>
        <sz val="11"/>
        <color rgb="FF000000"/>
        <rFont val="Calibri"/>
      </rPr>
      <t>1. Create &lt;YOURFILE&gt;.yaml and insert the desired resource quota content. The following is an example resource quota definition.</t>
    </r>
    <r>
      <rPr>
        <sz val="11"/>
        <color rgb="FF000000"/>
        <rFont val="Calibri"/>
      </rPr>
      <t xml:space="preserve">
</t>
    </r>
    <r>
      <rPr>
        <sz val="11"/>
        <color rgb="FF000000"/>
        <rFont val="Calibri"/>
      </rPr>
      <t>apiVersion: v1</t>
    </r>
    <r>
      <rPr>
        <sz val="11"/>
        <color rgb="FF000000"/>
        <rFont val="Calibri"/>
      </rPr>
      <t xml:space="preserve">
</t>
    </r>
    <r>
      <rPr>
        <sz val="11"/>
        <color rgb="FF000000"/>
        <rFont val="Calibri"/>
      </rPr>
      <t>kind: ResourceQuota</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compute-resources</t>
    </r>
    <r>
      <rPr>
        <sz val="11"/>
        <color rgb="FF000000"/>
        <rFont val="Calibri"/>
      </rPr>
      <t xml:space="preserve">
</t>
    </r>
    <r>
      <rPr>
        <sz val="11"/>
        <color rgb="FF000000"/>
        <rFont val="Calibri"/>
      </rPr>
      <t xml:space="preserve">  namespace: &lt;NAMESPACE&gt;</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hard:</t>
    </r>
    <r>
      <rPr>
        <sz val="11"/>
        <color rgb="FF000000"/>
        <rFont val="Calibri"/>
      </rPr>
      <t xml:space="preserve">
</t>
    </r>
    <r>
      <rPr>
        <sz val="11"/>
        <color rgb="FF000000"/>
        <rFont val="Calibri"/>
      </rPr>
      <t xml:space="preserve">    pods: "4" </t>
    </r>
    <r>
      <rPr>
        <sz val="11"/>
        <color rgb="FF000000"/>
        <rFont val="Calibri"/>
      </rPr>
      <t xml:space="preserve">
</t>
    </r>
    <r>
      <rPr>
        <sz val="11"/>
        <color rgb="FF000000"/>
        <rFont val="Calibri"/>
      </rPr>
      <t xml:space="preserve">    requests.cpu: "1" </t>
    </r>
    <r>
      <rPr>
        <sz val="11"/>
        <color rgb="FF000000"/>
        <rFont val="Calibri"/>
      </rPr>
      <t xml:space="preserve">
</t>
    </r>
    <r>
      <rPr>
        <sz val="11"/>
        <color rgb="FF000000"/>
        <rFont val="Calibri"/>
      </rPr>
      <t xml:space="preserve">    requests.memory: 1Gi </t>
    </r>
    <r>
      <rPr>
        <sz val="11"/>
        <color rgb="FF000000"/>
        <rFont val="Calibri"/>
      </rPr>
      <t xml:space="preserve">
</t>
    </r>
    <r>
      <rPr>
        <sz val="11"/>
        <color rgb="FF000000"/>
        <rFont val="Calibri"/>
      </rPr>
      <t xml:space="preserve">    requests.ephemeral-storage: 2Gi </t>
    </r>
    <r>
      <rPr>
        <sz val="11"/>
        <color rgb="FF000000"/>
        <rFont val="Calibri"/>
      </rPr>
      <t xml:space="preserve">
</t>
    </r>
    <r>
      <rPr>
        <sz val="11"/>
        <color rgb="FF000000"/>
        <rFont val="Calibri"/>
      </rPr>
      <t xml:space="preserve">    limits.cpu: "2" </t>
    </r>
    <r>
      <rPr>
        <sz val="11"/>
        <color rgb="FF000000"/>
        <rFont val="Calibri"/>
      </rPr>
      <t xml:space="preserve">
</t>
    </r>
    <r>
      <rPr>
        <sz val="11"/>
        <color rgb="FF000000"/>
        <rFont val="Calibri"/>
      </rPr>
      <t xml:space="preserve">    limits.memory: 2Gi </t>
    </r>
    <r>
      <rPr>
        <sz val="11"/>
        <color rgb="FF000000"/>
        <rFont val="Calibri"/>
      </rPr>
      <t xml:space="preserve">
</t>
    </r>
    <r>
      <rPr>
        <sz val="11"/>
        <color rgb="FF000000"/>
        <rFont val="Calibri"/>
      </rPr>
      <t xml:space="preserve">    limits.ephemeral-storage: 4Gi </t>
    </r>
    <r>
      <rPr>
        <sz val="11"/>
        <color rgb="FF000000"/>
        <rFont val="Calibri"/>
      </rPr>
      <t xml:space="preserve">
</t>
    </r>
    <r>
      <rPr>
        <sz val="11"/>
        <color rgb="FF000000"/>
        <rFont val="Calibri"/>
      </rPr>
      <t>2. Apply the ResourceQuota definition to the project namespace by executing the following:</t>
    </r>
    <r>
      <rPr>
        <sz val="11"/>
        <color rgb="FF000000"/>
        <rFont val="Calibri"/>
      </rPr>
      <t xml:space="preserve">
</t>
    </r>
    <r>
      <rPr>
        <sz val="11"/>
        <color rgb="FF000000"/>
        <rFont val="Calibri"/>
      </rPr>
      <t>oc apply -f &lt;YOURFILE&gt;.yaml -n &lt;NAMESPACE&gt;</t>
    </r>
    <r>
      <rPr>
        <sz val="11"/>
        <color rgb="FF000000"/>
        <rFont val="Calibri"/>
      </rPr>
      <t xml:space="preserve">
</t>
    </r>
    <r>
      <rPr>
        <sz val="11"/>
        <color rgb="FF000000"/>
        <rFont val="Calibri"/>
      </rPr>
      <t>Details regarding the configuration of resource quotas can be reviewed at https://docs.openshift.com/container-platform/4.8/applications/quotas/quotas-setting-per-project.html.</t>
    </r>
  </si>
  <si>
    <r>
      <rPr>
        <sz val="11"/>
        <color rgb="FF000000"/>
        <rFont val="Calibri"/>
      </rPr>
      <t>OpenShift allows administrators to define resource quotas on a namespace basis. This allows tailoring of the shared resources based on a project needs. However, when a new project is created, unless a default project resource quota is configured, that project will not have any limits or quotas defined. This could allow someone to create a new project and then deploy services that exhaust or overuse the shared cluster resources.</t>
    </r>
    <r>
      <rPr>
        <sz val="11"/>
        <color rgb="FF000000"/>
        <rFont val="Calibri"/>
      </rPr>
      <t xml:space="preserve">
</t>
    </r>
    <r>
      <rPr>
        <sz val="11"/>
        <color rgb="FF000000"/>
        <rFont val="Calibri"/>
      </rPr>
      <t>It is necessary to ensure that all existing namespaces with user-defined workloads have an applied resource quota configured.</t>
    </r>
    <r>
      <rPr>
        <sz val="11"/>
        <color rgb="FF000000"/>
        <rFont val="Calibri"/>
      </rPr>
      <t xml:space="preserve">
</t>
    </r>
    <r>
      <rPr>
        <sz val="11"/>
        <color rgb="FF000000"/>
        <rFont val="Calibri"/>
      </rPr>
      <t>Using resource quotas will help to mitigate a DoS attack by limiting how much CPU, memory, and pods may be consumed in a project. This helps protect other projects (namespaces) from being denied resources to process.</t>
    </r>
    <r>
      <rPr>
        <sz val="11"/>
        <color rgb="FF000000"/>
        <rFont val="Calibri"/>
      </rPr>
      <t xml:space="preserve">
</t>
    </r>
    <r>
      <rPr>
        <sz val="11"/>
        <color rgb="FF000000"/>
        <rFont val="Calibri"/>
      </rPr>
      <t>https://docs.openshift.com/container-platform/4.8/applications/quotas/quotas-setting-per-project.html</t>
    </r>
    <r>
      <rPr>
        <sz val="11"/>
        <color rgb="FF000000"/>
        <rFont val="Calibri"/>
      </rPr>
      <t xml:space="preserve">
</t>
    </r>
    <r>
      <rPr>
        <sz val="11"/>
        <color rgb="FF000000"/>
        <rFont val="Calibri"/>
      </rPr>
      <t>Satisfies: SRG-APP-000435-CTR-001070, SRG-APP-000246-CTR-000605, SRG-APP-000450-CTR-001105</t>
    </r>
  </si>
  <si>
    <r>
      <rPr>
        <sz val="11"/>
        <color rgb="FF000000"/>
        <rFont val="Calibri"/>
      </rPr>
      <t>Note: CNTR-OS-000140 is a prerequisite to this control. A Network Policy must exist to run this check.</t>
    </r>
    <r>
      <rPr>
        <sz val="11"/>
        <color rgb="FF000000"/>
        <rFont val="Calibri"/>
      </rPr>
      <t xml:space="preserve">
</t>
    </r>
    <r>
      <rPr>
        <sz val="11"/>
        <color rgb="FF000000"/>
        <rFont val="Calibri"/>
      </rPr>
      <t>Verify that each user namespace has a ResourceQuota defined by executing the following:</t>
    </r>
    <r>
      <rPr>
        <sz val="11"/>
        <color rgb="FF000000"/>
        <rFont val="Calibri"/>
      </rPr>
      <t xml:space="preserve">
</t>
    </r>
    <r>
      <rPr>
        <sz val="11"/>
        <color rgb="FF000000"/>
        <rFont val="Calibri"/>
      </rPr>
      <t>for ns in $(oc get namespaces -ojson | jq -r '.items[] | select((.metadata.name | startswith("openshift") | not) and (.metadata.name | startswith("kube-") | not) and .metadata.name != "default") | .metadata.name '); do oc get resourcequota -n$ns; done</t>
    </r>
    <r>
      <rPr>
        <sz val="11"/>
        <color rgb="FF000000"/>
        <rFont val="Calibri"/>
      </rPr>
      <t xml:space="preserve">
</t>
    </r>
    <r>
      <rPr>
        <sz val="11"/>
        <color rgb="FF000000"/>
        <rFont val="Calibri"/>
      </rPr>
      <t>If the above returns any lines saying "No resources found in &lt;PROJECT&gt; namespace.", this is a finding. Empty output is not a finding.</t>
    </r>
  </si>
  <si>
    <t>V-257567</t>
  </si>
  <si>
    <r>
      <rPr>
        <sz val="11"/>
        <rFont val="Calibri"/>
      </rPr>
      <t>OpenShift must protect the confidentiality and integrity of transmitted information.</t>
    </r>
  </si>
  <si>
    <r>
      <rPr>
        <sz val="11"/>
        <color rgb="FF000000"/>
        <rFont val="Calibri"/>
      </rPr>
      <t>Delete any Route or Ingress that does not use a secure transport.</t>
    </r>
    <r>
      <rPr>
        <sz val="11"/>
        <color rgb="FF000000"/>
        <rFont val="Calibri"/>
      </rPr>
      <t xml:space="preserve">
</t>
    </r>
    <r>
      <rPr>
        <sz val="11"/>
        <color rgb="FF000000"/>
        <rFont val="Calibri"/>
      </rPr>
      <t>oc delete route &lt;NAME&gt; -n &lt;NAMESPACE&gt;</t>
    </r>
    <r>
      <rPr>
        <sz val="11"/>
        <color rgb="FF000000"/>
        <rFont val="Calibri"/>
      </rPr>
      <t xml:space="preserve">
</t>
    </r>
    <r>
      <rPr>
        <sz val="11"/>
        <color rgb="FF000000"/>
        <rFont val="Calibri"/>
      </rPr>
      <t>or</t>
    </r>
    <r>
      <rPr>
        <sz val="11"/>
        <color rgb="FF000000"/>
        <rFont val="Calibri"/>
      </rPr>
      <t xml:space="preserve">
</t>
    </r>
    <r>
      <rPr>
        <sz val="11"/>
        <color rgb="FF000000"/>
        <rFont val="Calibri"/>
      </rPr>
      <t>oc delete ingress &lt;NAME&gt; -n &lt;NAMESPACE&gt;</t>
    </r>
  </si>
  <si>
    <r>
      <rPr>
        <sz val="11"/>
        <color rgb="FF000000"/>
        <rFont val="Calibri"/>
      </rPr>
      <t>OpenShift provides for two types of application level ingress types, Routes, and Ingresses. Routes have been a part of OpenShift since version 3. Ingresses were promoted out of beta in Aug 2020 (kubernetes v1.19). Routes provides for three type of TLS configuration options; Edge, Passthrough, and Re-encrypt. Each of those options provide TLS encryption over HTTP for inbound transmissions originating outside the cluster. Ingresses will have an IngressController associated that manages the routing and proxying of inbound transmissions.</t>
    </r>
  </si>
  <si>
    <r>
      <rPr>
        <sz val="11"/>
        <color rgb="FF000000"/>
        <rFont val="Calibri"/>
      </rPr>
      <t>Verify that routes and ingress are using secured transmission ports and protocols by executing the following:</t>
    </r>
    <r>
      <rPr>
        <sz val="11"/>
        <color rgb="FF000000"/>
        <rFont val="Calibri"/>
      </rPr>
      <t xml:space="preserve">
</t>
    </r>
    <r>
      <rPr>
        <sz val="11"/>
        <color rgb="FF000000"/>
        <rFont val="Calibri"/>
      </rPr>
      <t>oc get routes --all-namespaces</t>
    </r>
    <r>
      <rPr>
        <sz val="11"/>
        <color rgb="FF000000"/>
        <rFont val="Calibri"/>
      </rPr>
      <t xml:space="preserve">
</t>
    </r>
    <r>
      <rPr>
        <sz val="11"/>
        <color rgb="FF000000"/>
        <rFont val="Calibri"/>
      </rPr>
      <t>Review the ingress ports, if the Ingress is not using a secure TLS transport, this is a finding.</t>
    </r>
  </si>
  <si>
    <t>V-257568</t>
  </si>
  <si>
    <r>
      <rPr>
        <sz val="11"/>
        <rFont val="Calibri"/>
      </rPr>
      <t>Red Hat Enterprise Linux CoreOS (RHCOS) must implement nonexecutable data to protect its memory from unauthorized code execution.</t>
    </r>
  </si>
  <si>
    <r>
      <rPr>
        <sz val="11"/>
        <color rgb="FF000000"/>
        <rFont val="Calibri"/>
      </rPr>
      <t>The NX bit execute protection must be enabled in the system BIOS. The nodes must be reinstalled. Follow the steps found here for more information:</t>
    </r>
    <r>
      <rPr>
        <sz val="11"/>
        <color rgb="FF000000"/>
        <rFont val="Calibri"/>
      </rPr>
      <t xml:space="preserve">
</t>
    </r>
    <r>
      <rPr>
        <sz val="11"/>
        <color rgb="FF000000"/>
        <rFont val="Calibri"/>
      </rPr>
      <t>https://access.redhat.com/solutions/2936741</t>
    </r>
  </si>
  <si>
    <r>
      <rPr>
        <sz val="11"/>
        <color rgb="FF000000"/>
        <rFont val="Calibri"/>
      </rPr>
      <t>The NX bit is a hardware feature that prevents the execution of code from data memory regions. By enabling NX bit execute protection, OpenShift ensures that malicious code or exploits cannot execute from areas of memory that are intended for data storage. This helps protect against various types of buffer overflow attacks, where an attacker attempts to inject and execute malicious code in data memory.</t>
    </r>
  </si>
  <si>
    <r>
      <rPr>
        <sz val="11"/>
        <color rgb="FF000000"/>
        <rFont val="Calibri"/>
      </rPr>
      <t>Verify the NX (no-execution) bit flag is set on the system by executing the following:</t>
    </r>
    <r>
      <rPr>
        <sz val="11"/>
        <color rgb="FF000000"/>
        <rFont val="Calibri"/>
      </rPr>
      <t xml:space="preserve">
</t>
    </r>
    <r>
      <rPr>
        <sz val="11"/>
        <color rgb="FF000000"/>
        <rFont val="Calibri"/>
      </rPr>
      <t>for node in $(oc get node -oname); do oc debug $node -- chroot /host /bin/bash -c 'echo -n "$HOSTNAME "; dmesg | grep Execute ' 2&gt;/dev/null; done</t>
    </r>
    <r>
      <rPr>
        <sz val="11"/>
        <color rgb="FF000000"/>
        <rFont val="Calibri"/>
      </rPr>
      <t xml:space="preserve">
</t>
    </r>
    <r>
      <rPr>
        <sz val="11"/>
        <color rgb="FF000000"/>
        <rFont val="Calibri"/>
      </rPr>
      <t>Example Output:([ 0.000000] NX (Execute Disable) protection: active)</t>
    </r>
    <r>
      <rPr>
        <sz val="11"/>
        <color rgb="FF000000"/>
        <rFont val="Calibri"/>
      </rPr>
      <t xml:space="preserve">
</t>
    </r>
    <r>
      <rPr>
        <sz val="11"/>
        <color rgb="FF000000"/>
        <rFont val="Calibri"/>
      </rPr>
      <t xml:space="preserve">If "dmesg" does not show "NX (Execute Disable) protection active", check the cpuinfo settings by executing the following command: </t>
    </r>
    <r>
      <rPr>
        <sz val="11"/>
        <color rgb="FF000000"/>
        <rFont val="Calibri"/>
      </rPr>
      <t xml:space="preserve">
</t>
    </r>
    <r>
      <rPr>
        <sz val="11"/>
        <color rgb="FF000000"/>
        <rFont val="Calibri"/>
      </rPr>
      <t>for node in $(oc get node -oname); do oc debug $node -- chroot /host /bin/bash -c 'echo -n "$HOSTNAME "; less /proc/cpuinfo | grep 'nx' /proc/cpuinfo | uniq' 2&gt;/dev/null; done</t>
    </r>
    <r>
      <rPr>
        <sz val="11"/>
        <color rgb="FF000000"/>
        <rFont val="Calibri"/>
      </rPr>
      <t xml:space="preserve">
</t>
    </r>
    <r>
      <rPr>
        <sz val="11"/>
        <color rgb="FF000000"/>
        <rFont val="Calibri"/>
      </rPr>
      <t>(Example Output: flags : fpu vme de pse tsc ms nx rdtscp lm constant_tsc...)</t>
    </r>
    <r>
      <rPr>
        <sz val="11"/>
        <color rgb="FF000000"/>
        <rFont val="Calibri"/>
      </rPr>
      <t xml:space="preserve">
</t>
    </r>
    <r>
      <rPr>
        <sz val="11"/>
        <color rgb="FF000000"/>
        <rFont val="Calibri"/>
      </rPr>
      <t>If "flags" does not contain the "nx" flag, this is a finding.</t>
    </r>
  </si>
  <si>
    <t>V-257569</t>
  </si>
  <si>
    <r>
      <rPr>
        <sz val="11"/>
        <rFont val="Calibri"/>
      </rPr>
      <t>Red Hat Enterprise Linux CoreOS (RHCOS) must implement ASLR (Address Space Layout Randomization) from unauthorized code execution.</t>
    </r>
  </si>
  <si>
    <r>
      <rPr>
        <sz val="11"/>
        <color rgb="FF000000"/>
        <rFont val="Calibri"/>
      </rPr>
      <t>Apply the machine config to implement ASLR by executing the following:</t>
    </r>
    <r>
      <rPr>
        <sz val="11"/>
        <color rgb="FF000000"/>
        <rFont val="Calibri"/>
      </rPr>
      <t xml:space="preserve">
</t>
    </r>
    <r>
      <rPr>
        <sz val="11"/>
        <color rgb="FF000000"/>
        <rFont val="Calibri"/>
      </rPr>
      <t>for mcpool in $(oc get mcp -oname | sed "s:.*/::" ); do</t>
    </r>
    <r>
      <rPr>
        <sz val="11"/>
        <color rgb="FF000000"/>
        <rFont val="Calibri"/>
      </rPr>
      <t xml:space="preserve">
</t>
    </r>
    <r>
      <rPr>
        <sz val="11"/>
        <color rgb="FF000000"/>
        <rFont val="Calibri"/>
      </rPr>
      <t>echo "apiVersion: machineconfiguration.openshift.io/v1</t>
    </r>
    <r>
      <rPr>
        <sz val="11"/>
        <color rgb="FF000000"/>
        <rFont val="Calibri"/>
      </rPr>
      <t xml:space="preserve">
</t>
    </r>
    <r>
      <rPr>
        <sz val="11"/>
        <color rgb="FF000000"/>
        <rFont val="Calibri"/>
      </rPr>
      <t>kind: MachineConfig</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75-sysctl-kernel-randomize-va-space-$mcpool</t>
    </r>
    <r>
      <rPr>
        <sz val="11"/>
        <color rgb="FF000000"/>
        <rFont val="Calibri"/>
      </rPr>
      <t xml:space="preserve">
</t>
    </r>
    <r>
      <rPr>
        <sz val="11"/>
        <color rgb="FF000000"/>
        <rFont val="Calibri"/>
      </rPr>
      <t xml:space="preserve">  labels:</t>
    </r>
    <r>
      <rPr>
        <sz val="11"/>
        <color rgb="FF000000"/>
        <rFont val="Calibri"/>
      </rPr>
      <t xml:space="preserve">
</t>
    </r>
    <r>
      <rPr>
        <sz val="11"/>
        <color rgb="FF000000"/>
        <rFont val="Calibri"/>
      </rPr>
      <t xml:space="preserve">    machineconfiguration.openshift.io/role: $mcpool</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config:</t>
    </r>
    <r>
      <rPr>
        <sz val="11"/>
        <color rgb="FF000000"/>
        <rFont val="Calibri"/>
      </rPr>
      <t xml:space="preserve">
</t>
    </r>
    <r>
      <rPr>
        <sz val="11"/>
        <color rgb="FF000000"/>
        <rFont val="Calibri"/>
      </rPr>
      <t xml:space="preserve">    ignition:</t>
    </r>
    <r>
      <rPr>
        <sz val="11"/>
        <color rgb="FF000000"/>
        <rFont val="Calibri"/>
      </rPr>
      <t xml:space="preserve">
</t>
    </r>
    <r>
      <rPr>
        <sz val="11"/>
        <color rgb="FF000000"/>
        <rFont val="Calibri"/>
      </rPr>
      <t xml:space="preserve">      version: 3.1.0</t>
    </r>
    <r>
      <rPr>
        <sz val="11"/>
        <color rgb="FF000000"/>
        <rFont val="Calibri"/>
      </rPr>
      <t xml:space="preserve">
</t>
    </r>
    <r>
      <rPr>
        <sz val="11"/>
        <color rgb="FF000000"/>
        <rFont val="Calibri"/>
      </rPr>
      <t xml:space="preserve">    storage:</t>
    </r>
    <r>
      <rPr>
        <sz val="11"/>
        <color rgb="FF000000"/>
        <rFont val="Calibri"/>
      </rPr>
      <t xml:space="preserve">
</t>
    </r>
    <r>
      <rPr>
        <sz val="11"/>
        <color rgb="FF000000"/>
        <rFont val="Calibri"/>
      </rPr>
      <t xml:space="preserve">      files:</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data:,kernel.randomize_va_space%3D2%0A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/etc/sysctl.d/75-sysctl_kernel_randomize_va_space.conf</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 oc apply -f -</t>
    </r>
    <r>
      <rPr>
        <sz val="11"/>
        <color rgb="FF000000"/>
        <rFont val="Calibri"/>
      </rPr>
      <t xml:space="preserve">
</t>
    </r>
    <r>
      <rPr>
        <sz val="11"/>
        <color rgb="FF000000"/>
        <rFont val="Calibri"/>
      </rPr>
      <t>done</t>
    </r>
  </si>
  <si>
    <r>
      <rPr>
        <sz val="11"/>
        <color rgb="FF000000"/>
        <rFont val="Calibri"/>
      </rPr>
      <t>ASLR is a security technique that randomizes the memory layout of processes, making it more difficult for attackers to predict the location of system components and exploit memory-based vulnerabilities. By implementing ASLR, OpenShift reduces the effectiveness of common attacks such as buffer overflow, return-oriented programming (ROP), and other memory corruption exploits.</t>
    </r>
    <r>
      <rPr>
        <sz val="11"/>
        <color rgb="FF000000"/>
        <rFont val="Calibri"/>
      </rPr>
      <t xml:space="preserve">
</t>
    </r>
    <r>
      <rPr>
        <sz val="11"/>
        <color rgb="FF000000"/>
        <rFont val="Calibri"/>
      </rPr>
      <t>ASLR enhances the resilience of the OpenShift platform by introducing randomness into the memory layout. This randomization makes it harder for attackers to exploit vulnerabilities and launch successful attacks. Even if a vulnerability exists in the system, the randomized memory layout introduced by ASLR reduces the chances of the attacker being able to reliably exploit it, increasing the overall security of the platform.</t>
    </r>
    <r>
      <rPr>
        <sz val="11"/>
        <color rgb="FF000000"/>
        <rFont val="Calibri"/>
      </rPr>
      <t xml:space="preserve">
</t>
    </r>
    <r>
      <rPr>
        <sz val="11"/>
        <color rgb="FF000000"/>
        <rFont val="Calibri"/>
      </rPr>
      <t>ASLR is particularly effective in mitigating remote code execution attacks. By randomizing the memory layout, ASLR prevents attackers from precisely predicting the memory addresses needed to execute malicious code. This makes it significantly more challenging for attackers to successfully exploit vulnerabilities and execute arbitrary code on the system.</t>
    </r>
    <r>
      <rPr>
        <sz val="11"/>
        <color rgb="FF000000"/>
        <rFont val="Calibri"/>
      </rPr>
      <t xml:space="preserve">
</t>
    </r>
    <r>
      <rPr>
        <sz val="11"/>
        <color rgb="FF000000"/>
        <rFont val="Calibri"/>
      </rPr>
      <t>Protection of Shared Libraries: ASLR also protects shared libraries used by applications running on OpenShift. By randomizing the base addresses of shared libraries, ASLR makes it harder for attackers to leverage vulnerabilities in shared libraries to compromise applications or gain unauthorized access to the system. It adds an extra layer of protection to prevent attacks targeting shared library vulnerabilities.</t>
    </r>
  </si>
  <si>
    <r>
      <rPr>
        <sz val="11"/>
        <color rgb="FF000000"/>
        <rFont val="Calibri"/>
      </rPr>
      <t>Verify Red Hat Enterprise Linux CoreOS (RHCOS) implements ASLR by executing the following:</t>
    </r>
    <r>
      <rPr>
        <sz val="11"/>
        <color rgb="FF000000"/>
        <rFont val="Calibri"/>
      </rPr>
      <t xml:space="preserve">
</t>
    </r>
    <r>
      <rPr>
        <sz val="11"/>
        <color rgb="FF000000"/>
        <rFont val="Calibri"/>
      </rPr>
      <t>for node in $(oc get node -oname); do oc debug $node -- chroot /host /bin/bash -c 'echo -n "$HOSTNAME "; sysctl kernel.randomize_va_space</t>
    </r>
    <r>
      <rPr>
        <sz val="11"/>
        <color rgb="FF000000"/>
        <rFont val="Calibri"/>
      </rPr>
      <t xml:space="preserve">
</t>
    </r>
    <r>
      <rPr>
        <sz val="11"/>
        <color rgb="FF000000"/>
        <rFont val="Calibri"/>
      </rPr>
      <t>' 2&gt;/dev/null; done</t>
    </r>
    <r>
      <rPr>
        <sz val="11"/>
        <color rgb="FF000000"/>
        <rFont val="Calibri"/>
      </rPr>
      <t xml:space="preserve">
</t>
    </r>
    <r>
      <rPr>
        <sz val="11"/>
        <color rgb="FF000000"/>
        <rFont val="Calibri"/>
      </rPr>
      <t>If "kernel.randomize_va_space" is not set to "2", this is a finding.</t>
    </r>
  </si>
  <si>
    <t>V-257570</t>
  </si>
  <si>
    <r>
      <rPr>
        <sz val="11"/>
        <rFont val="Calibri"/>
      </rPr>
      <t>OpenShift must remove old components after updated versions have been installed.</t>
    </r>
  </si>
  <si>
    <r>
      <rPr>
        <sz val="11"/>
        <color rgb="FF000000"/>
        <rFont val="Calibri"/>
      </rPr>
      <t>Enable the image pruner to automate the pruning of images from the cluster by executing the following:</t>
    </r>
    <r>
      <rPr>
        <sz val="11"/>
        <color rgb="FF000000"/>
        <rFont val="Calibri"/>
      </rPr>
      <t xml:space="preserve">
</t>
    </r>
    <r>
      <rPr>
        <sz val="11"/>
        <color rgb="FF000000"/>
        <rFont val="Calibri"/>
      </rPr>
      <t>oc patch imagepruners.imageregistry.operator.openshift.io/cluster --type=merge -p '{"spec":{"suspend":false}}'</t>
    </r>
    <r>
      <rPr>
        <sz val="11"/>
        <color rgb="FF000000"/>
        <rFont val="Calibri"/>
      </rPr>
      <t xml:space="preserve">
</t>
    </r>
    <r>
      <rPr>
        <sz val="11"/>
        <color rgb="FF000000"/>
        <rFont val="Calibri"/>
      </rPr>
      <t>For additional details on configuring the image pruner operator, refer to the following document:</t>
    </r>
    <r>
      <rPr>
        <sz val="11"/>
        <color rgb="FF000000"/>
        <rFont val="Calibri"/>
      </rPr>
      <t xml:space="preserve">
</t>
    </r>
    <r>
      <rPr>
        <sz val="11"/>
        <color rgb="FF000000"/>
        <rFont val="Calibri"/>
      </rPr>
      <t>https://docs.openshift.com/container-platform/4.8/applications/pruning-objects.html#pruning-images_pruning-objects</t>
    </r>
  </si>
  <si>
    <r>
      <rPr>
        <sz val="11"/>
        <color rgb="FF000000"/>
        <rFont val="Calibri"/>
      </rPr>
      <t>Previous versions of OpenShift components that are not removed from the container platform after updates have been installed may be exploited by adversaries by causing older components to execute which contain vulnerabilities. When these components are deleted, the likelihood of this happening is removed.</t>
    </r>
    <r>
      <rPr>
        <sz val="11"/>
        <color rgb="FF000000"/>
        <rFont val="Calibri"/>
      </rPr>
      <t xml:space="preserve">
</t>
    </r>
    <r>
      <rPr>
        <sz val="11"/>
        <color rgb="FF000000"/>
        <rFont val="Calibri"/>
      </rPr>
      <t>Satisfies: SRG-APP-000454-CTR-001110, SRG-APP-000454-CTR-001115</t>
    </r>
  </si>
  <si>
    <r>
      <rPr>
        <sz val="11"/>
        <color rgb="FF000000"/>
        <rFont val="Calibri"/>
      </rPr>
      <t>Ensure the imagepruner is configured and is not in a suspended state by executing the following:</t>
    </r>
    <r>
      <rPr>
        <sz val="11"/>
        <color rgb="FF000000"/>
        <rFont val="Calibri"/>
      </rPr>
      <t xml:space="preserve">
</t>
    </r>
    <r>
      <rPr>
        <sz val="11"/>
        <color rgb="FF000000"/>
        <rFont val="Calibri"/>
      </rPr>
      <t>oc get imagepruners.imageregistry.operator.openshift.io/cluster -o jsonpath='{.spec}{"\n"}'</t>
    </r>
    <r>
      <rPr>
        <sz val="11"/>
        <color rgb="FF000000"/>
        <rFont val="Calibri"/>
      </rPr>
      <t xml:space="preserve">
</t>
    </r>
    <r>
      <rPr>
        <sz val="11"/>
        <color rgb="FF000000"/>
        <rFont val="Calibri"/>
      </rPr>
      <t>Review the settings. If "suspend" is set to "true", this is a finding.</t>
    </r>
  </si>
  <si>
    <t>V-257571</t>
  </si>
  <si>
    <r>
      <rPr>
        <sz val="11"/>
        <rFont val="Calibri"/>
      </rPr>
      <t>OpenShift must contain the latest images with most recent updates and execute within the container platform runtime as authorized by IAVM, CTOs, DTMs, and STIGs.</t>
    </r>
  </si>
  <si>
    <r>
      <rPr>
        <sz val="11"/>
        <color rgb="FF000000"/>
        <rFont val="Calibri"/>
      </rPr>
      <t>Edit the cluster image config resource to define the allowed registries by executing the following:</t>
    </r>
    <r>
      <rPr>
        <sz val="11"/>
        <color rgb="FF000000"/>
        <rFont val="Calibri"/>
      </rPr>
      <t xml:space="preserve">
</t>
    </r>
    <r>
      <rPr>
        <sz val="11"/>
        <color rgb="FF000000"/>
        <rFont val="Calibri"/>
      </rPr>
      <t>oc edit image.config.openshift.io/cluster</t>
    </r>
    <r>
      <rPr>
        <sz val="11"/>
        <color rgb="FF000000"/>
        <rFont val="Calibri"/>
      </rPr>
      <t xml:space="preserve">
</t>
    </r>
    <r>
      <rPr>
        <sz val="11"/>
        <color rgb="FF000000"/>
        <rFont val="Calibri"/>
      </rPr>
      <t>The following is an example configuration. For a detailed explanation of the configuration properties, refer to https://docs.openshift.com/container-platform/4.8/openshift_images/image-configuration.html.</t>
    </r>
    <r>
      <rPr>
        <sz val="11"/>
        <color rgb="FF000000"/>
        <rFont val="Calibri"/>
      </rPr>
      <t xml:space="preserve">
</t>
    </r>
    <r>
      <rPr>
        <sz val="11"/>
        <color rgb="FF000000"/>
        <rFont val="Calibri"/>
      </rPr>
      <t>----------------------------------------------------------------------</t>
    </r>
    <r>
      <rPr>
        <sz val="11"/>
        <color rgb="FF000000"/>
        <rFont val="Calibri"/>
      </rPr>
      <t xml:space="preserve">
</t>
    </r>
    <r>
      <rPr>
        <sz val="11"/>
        <color rgb="FF000000"/>
        <rFont val="Calibri"/>
      </rPr>
      <t>apiVersion: config.openshift.io/v1</t>
    </r>
    <r>
      <rPr>
        <sz val="11"/>
        <color rgb="FF000000"/>
        <rFont val="Calibri"/>
      </rPr>
      <t xml:space="preserve">
</t>
    </r>
    <r>
      <rPr>
        <sz val="11"/>
        <color rgb="FF000000"/>
        <rFont val="Calibri"/>
      </rPr>
      <t xml:space="preserve">kind: Image </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annotations:</t>
    </r>
    <r>
      <rPr>
        <sz val="11"/>
        <color rgb="FF000000"/>
        <rFont val="Calibri"/>
      </rPr>
      <t xml:space="preserve">
</t>
    </r>
    <r>
      <rPr>
        <sz val="11"/>
        <color rgb="FF000000"/>
        <rFont val="Calibri"/>
      </rPr>
      <t xml:space="preserve">    release.openshift.io/create-only: "true"</t>
    </r>
    <r>
      <rPr>
        <sz val="11"/>
        <color rgb="FF000000"/>
        <rFont val="Calibri"/>
      </rPr>
      <t xml:space="preserve">
</t>
    </r>
    <r>
      <rPr>
        <sz val="11"/>
        <color rgb="FF000000"/>
        <rFont val="Calibri"/>
      </rPr>
      <t xml:space="preserve">  creationTimestamp: "2019-05-17T13:44:26Z"</t>
    </r>
    <r>
      <rPr>
        <sz val="11"/>
        <color rgb="FF000000"/>
        <rFont val="Calibri"/>
      </rPr>
      <t xml:space="preserve">
</t>
    </r>
    <r>
      <rPr>
        <sz val="11"/>
        <color rgb="FF000000"/>
        <rFont val="Calibri"/>
      </rPr>
      <t xml:space="preserve">  generation: 1</t>
    </r>
    <r>
      <rPr>
        <sz val="11"/>
        <color rgb="FF000000"/>
        <rFont val="Calibri"/>
      </rPr>
      <t xml:space="preserve">
</t>
    </r>
    <r>
      <rPr>
        <sz val="11"/>
        <color rgb="FF000000"/>
        <rFont val="Calibri"/>
      </rPr>
      <t xml:space="preserve">  name: cluster</t>
    </r>
    <r>
      <rPr>
        <sz val="11"/>
        <color rgb="FF000000"/>
        <rFont val="Calibri"/>
      </rPr>
      <t xml:space="preserve">
</t>
    </r>
    <r>
      <rPr>
        <sz val="11"/>
        <color rgb="FF000000"/>
        <rFont val="Calibri"/>
      </rPr>
      <t xml:space="preserve">  resourceVersion: "8302"</t>
    </r>
    <r>
      <rPr>
        <sz val="11"/>
        <color rgb="FF000000"/>
        <rFont val="Calibri"/>
      </rPr>
      <t xml:space="preserve">
</t>
    </r>
    <r>
      <rPr>
        <sz val="11"/>
        <color rgb="FF000000"/>
        <rFont val="Calibri"/>
      </rPr>
      <t xml:space="preserve">  selfLink: /apis/config.openshift.io/v1/images/cluster</t>
    </r>
    <r>
      <rPr>
        <sz val="11"/>
        <color rgb="FF000000"/>
        <rFont val="Calibri"/>
      </rPr>
      <t xml:space="preserve">
</t>
    </r>
    <r>
      <rPr>
        <sz val="11"/>
        <color rgb="FF000000"/>
        <rFont val="Calibri"/>
      </rPr>
      <t xml:space="preserve">  uid: e34555da-78a9-11e9-b92b-06d6c7da38dc</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allowedRegistriesForImport: </t>
    </r>
    <r>
      <rPr>
        <sz val="11"/>
        <color rgb="FF000000"/>
        <rFont val="Calibri"/>
      </rPr>
      <t xml:space="preserve">
</t>
    </r>
    <r>
      <rPr>
        <sz val="11"/>
        <color rgb="FF000000"/>
        <rFont val="Calibri"/>
      </rPr>
      <t xml:space="preserve">    - domainName: quay.io</t>
    </r>
    <r>
      <rPr>
        <sz val="11"/>
        <color rgb="FF000000"/>
        <rFont val="Calibri"/>
      </rPr>
      <t xml:space="preserve">
</t>
    </r>
    <r>
      <rPr>
        <sz val="11"/>
        <color rgb="FF000000"/>
        <rFont val="Calibri"/>
      </rPr>
      <t xml:space="preserve">      insecure: false</t>
    </r>
    <r>
      <rPr>
        <sz val="11"/>
        <color rgb="FF000000"/>
        <rFont val="Calibri"/>
      </rPr>
      <t xml:space="preserve">
</t>
    </r>
    <r>
      <rPr>
        <sz val="11"/>
        <color rgb="FF000000"/>
        <rFont val="Calibri"/>
      </rPr>
      <t xml:space="preserve">  additionalTrustedCA: </t>
    </r>
    <r>
      <rPr>
        <sz val="11"/>
        <color rgb="FF000000"/>
        <rFont val="Calibri"/>
      </rPr>
      <t xml:space="preserve">
</t>
    </r>
    <r>
      <rPr>
        <sz val="11"/>
        <color rgb="FF000000"/>
        <rFont val="Calibri"/>
      </rPr>
      <t xml:space="preserve">    name: myconfigmap</t>
    </r>
    <r>
      <rPr>
        <sz val="11"/>
        <color rgb="FF000000"/>
        <rFont val="Calibri"/>
      </rPr>
      <t xml:space="preserve">
</t>
    </r>
    <r>
      <rPr>
        <sz val="11"/>
        <color rgb="FF000000"/>
        <rFont val="Calibri"/>
      </rPr>
      <t xml:space="preserve">  registrySources: </t>
    </r>
    <r>
      <rPr>
        <sz val="11"/>
        <color rgb="FF000000"/>
        <rFont val="Calibri"/>
      </rPr>
      <t xml:space="preserve">
</t>
    </r>
    <r>
      <rPr>
        <sz val="11"/>
        <color rgb="FF000000"/>
        <rFont val="Calibri"/>
      </rPr>
      <t xml:space="preserve">    allowedRegistries:</t>
    </r>
    <r>
      <rPr>
        <sz val="11"/>
        <color rgb="FF000000"/>
        <rFont val="Calibri"/>
      </rPr>
      <t xml:space="preserve">
</t>
    </r>
    <r>
      <rPr>
        <sz val="11"/>
        <color rgb="FF000000"/>
        <rFont val="Calibri"/>
      </rPr>
      <t xml:space="preserve">    - example.com</t>
    </r>
    <r>
      <rPr>
        <sz val="11"/>
        <color rgb="FF000000"/>
        <rFont val="Calibri"/>
      </rPr>
      <t xml:space="preserve">
</t>
    </r>
    <r>
      <rPr>
        <sz val="11"/>
        <color rgb="FF000000"/>
        <rFont val="Calibri"/>
      </rPr>
      <t xml:space="preserve">    - quay.io</t>
    </r>
    <r>
      <rPr>
        <sz val="11"/>
        <color rgb="FF000000"/>
        <rFont val="Calibri"/>
      </rPr>
      <t xml:space="preserve">
</t>
    </r>
    <r>
      <rPr>
        <sz val="11"/>
        <color rgb="FF000000"/>
        <rFont val="Calibri"/>
      </rPr>
      <t xml:space="preserve">    - registry.redhat.io</t>
    </r>
    <r>
      <rPr>
        <sz val="11"/>
        <color rgb="FF000000"/>
        <rFont val="Calibri"/>
      </rPr>
      <t xml:space="preserve">
</t>
    </r>
    <r>
      <rPr>
        <sz val="11"/>
        <color rgb="FF000000"/>
        <rFont val="Calibri"/>
      </rPr>
      <t xml:space="preserve">    - image-registry.openshift-image-registry.svc:5000</t>
    </r>
    <r>
      <rPr>
        <sz val="11"/>
        <color rgb="FF000000"/>
        <rFont val="Calibri"/>
      </rPr>
      <t xml:space="preserve">
</t>
    </r>
    <r>
      <rPr>
        <sz val="11"/>
        <color rgb="FF000000"/>
        <rFont val="Calibri"/>
      </rPr>
      <t xml:space="preserve">    - reg1.io/myrepo/myapp:latest</t>
    </r>
    <r>
      <rPr>
        <sz val="11"/>
        <color rgb="FF000000"/>
        <rFont val="Calibri"/>
      </rPr>
      <t xml:space="preserve">
</t>
    </r>
    <r>
      <rPr>
        <sz val="11"/>
        <color rgb="FF000000"/>
        <rFont val="Calibri"/>
      </rPr>
      <t xml:space="preserve">    insecureRegistries:</t>
    </r>
    <r>
      <rPr>
        <sz val="11"/>
        <color rgb="FF000000"/>
        <rFont val="Calibri"/>
      </rPr>
      <t xml:space="preserve">
</t>
    </r>
    <r>
      <rPr>
        <sz val="11"/>
        <color rgb="FF000000"/>
        <rFont val="Calibri"/>
      </rPr>
      <t xml:space="preserve">    - insecure.com</t>
    </r>
    <r>
      <rPr>
        <sz val="11"/>
        <color rgb="FF000000"/>
        <rFont val="Calibri"/>
      </rPr>
      <t xml:space="preserve">
</t>
    </r>
    <r>
      <rPr>
        <sz val="11"/>
        <color rgb="FF000000"/>
        <rFont val="Calibri"/>
      </rPr>
      <t>status:</t>
    </r>
    <r>
      <rPr>
        <sz val="11"/>
        <color rgb="FF000000"/>
        <rFont val="Calibri"/>
      </rPr>
      <t xml:space="preserve">
</t>
    </r>
    <r>
      <rPr>
        <sz val="11"/>
        <color rgb="FF000000"/>
        <rFont val="Calibri"/>
      </rPr>
      <t xml:space="preserve">  internalRegistryHostname: image-registry.openshift-image-registry.svc:5000</t>
    </r>
    <r>
      <rPr>
        <sz val="11"/>
        <color rgb="FF000000"/>
        <rFont val="Calibri"/>
      </rPr>
      <t xml:space="preserve">
</t>
    </r>
    <r>
      <rPr>
        <sz val="11"/>
        <color rgb="FF000000"/>
        <rFont val="Calibri"/>
      </rPr>
      <t>----------------------------------------------------------------------</t>
    </r>
  </si>
  <si>
    <r>
      <rPr>
        <sz val="11"/>
        <color rgb="FF000000"/>
        <rFont val="Calibri"/>
      </rPr>
      <t>It is critical to the security and stability of the container platform and the software services running on the platform to ensure that images are deployed through a trusted software supply chain. The OpenShift platform can be configured to limit and control which image source repositories may be used by the platform and the users of the platform. By configuring this to only allow users to deploy images from trusted sources, lowers the risk for a user to deploy unsafe or untested images that would be detrimental to the security and stability of the platform.</t>
    </r>
    <r>
      <rPr>
        <sz val="11"/>
        <color rgb="FF000000"/>
        <rFont val="Calibri"/>
      </rPr>
      <t xml:space="preserve">
</t>
    </r>
    <r>
      <rPr>
        <sz val="11"/>
        <color rgb="FF000000"/>
        <rFont val="Calibri"/>
      </rPr>
      <t>In order to help users manage images, OpenShift uses image streams to provide a level of obstruction for the users. In this way the users can trigger automatic redeployments as images are updated. It is also possible to configure the image stream to periodically check the image source repository for any updates and automatically pull in the latest updates.</t>
    </r>
  </si>
  <si>
    <r>
      <rPr>
        <sz val="11"/>
        <color rgb="FF000000"/>
        <rFont val="Calibri"/>
      </rPr>
      <t>Verify the image source policy is configured by executing the following:</t>
    </r>
    <r>
      <rPr>
        <sz val="11"/>
        <color rgb="FF000000"/>
        <rFont val="Calibri"/>
      </rPr>
      <t xml:space="preserve">
</t>
    </r>
    <r>
      <rPr>
        <sz val="11"/>
        <color rgb="FF000000"/>
        <rFont val="Calibri"/>
      </rPr>
      <t xml:space="preserve"> oc get image.config.openshift.io/cluster -o jsonpath='{.spec.registrySources}{"\nAllowedRegistriesForImport: "}{.spec.allowedRegistriesForImport}{"\n"}'</t>
    </r>
    <r>
      <rPr>
        <sz val="11"/>
        <color rgb="FF000000"/>
        <rFont val="Calibri"/>
      </rPr>
      <t xml:space="preserve">
</t>
    </r>
    <r>
      <rPr>
        <sz val="11"/>
        <color rgb="FF000000"/>
        <rFont val="Calibri"/>
      </rPr>
      <t xml:space="preserve">If nothing is returned, this is a finding. </t>
    </r>
    <r>
      <rPr>
        <sz val="11"/>
        <color rgb="FF000000"/>
        <rFont val="Calibri"/>
      </rPr>
      <t xml:space="preserve">
</t>
    </r>
    <r>
      <rPr>
        <sz val="11"/>
        <color rgb="FF000000"/>
        <rFont val="Calibri"/>
      </rPr>
      <t>If the registries listed under allowedRegistries, insecureRegistries, or AllowedRegistriesForImport are not from trusted sources as defined by the organization, this is a finding.</t>
    </r>
  </si>
  <si>
    <t>V-257572</t>
  </si>
  <si>
    <r>
      <rPr>
        <sz val="11"/>
        <rFont val="Calibri"/>
      </rPr>
      <t>OpenShift runtime must have updates installed within the period directed by an authoritative source (e.g., IAVM, CTOs, DTMs, and STIGs).</t>
    </r>
  </si>
  <si>
    <r>
      <rPr>
        <sz val="11"/>
        <color rgb="FF000000"/>
        <rFont val="Calibri"/>
      </rPr>
      <t>For container images that are not scheduled to check for updates that otherwise should, update the imagestream to schedule updates for each tag by executing the following:</t>
    </r>
    <r>
      <rPr>
        <sz val="11"/>
        <color rgb="FF000000"/>
        <rFont val="Calibri"/>
      </rPr>
      <t xml:space="preserve">
</t>
    </r>
    <r>
      <rPr>
        <sz val="11"/>
        <color rgb="FF000000"/>
        <rFont val="Calibri"/>
      </rPr>
      <t xml:space="preserve">oc patch imagestream &lt;NAME&gt; -n NAMESPACE --type merge -p '{"spec":{"tags":[{"name":"&lt;TAG_NAME&gt;","importPolicy":{"scheduled":true}}]}}' </t>
    </r>
    <r>
      <rPr>
        <sz val="11"/>
        <color rgb="FF000000"/>
        <rFont val="Calibri"/>
      </rPr>
      <t xml:space="preserve">
</t>
    </r>
    <r>
      <rPr>
        <sz val="11"/>
        <color rgb="FF000000"/>
        <rFont val="Calibri"/>
      </rPr>
      <t>where,</t>
    </r>
    <r>
      <rPr>
        <sz val="11"/>
        <color rgb="FF000000"/>
        <rFont val="Calibri"/>
      </rPr>
      <t xml:space="preserve">
</t>
    </r>
    <r>
      <rPr>
        <sz val="11"/>
        <color rgb="FF000000"/>
        <rFont val="Calibri"/>
      </rPr>
      <t xml:space="preserve">  NAME: The imagestream name to update</t>
    </r>
    <r>
      <rPr>
        <sz val="11"/>
        <color rgb="FF000000"/>
        <rFont val="Calibri"/>
      </rPr>
      <t xml:space="preserve">
</t>
    </r>
    <r>
      <rPr>
        <sz val="11"/>
        <color rgb="FF000000"/>
        <rFont val="Calibri"/>
      </rPr>
      <t xml:space="preserve">  NAMESPACE: The namespace the imagestream is in. This will most often be 'openshift'.</t>
    </r>
    <r>
      <rPr>
        <sz val="11"/>
        <color rgb="FF000000"/>
        <rFont val="Calibri"/>
      </rPr>
      <t xml:space="preserve">
</t>
    </r>
    <r>
      <rPr>
        <sz val="11"/>
        <color rgb="FF000000"/>
        <rFont val="Calibri"/>
      </rPr>
      <t xml:space="preserve">  TAG_NAME: The imagestream tag to update</t>
    </r>
  </si>
  <si>
    <r>
      <rPr>
        <sz val="11"/>
        <color rgb="FF000000"/>
        <rFont val="Calibri"/>
      </rPr>
      <t>OpenShift runtime must be carefully monitored for vulnerabilities, and when problems are detected, they must be remediated quickly. A vulnerable runtime exposes all containers it supports, as well as the host itself, to potentially significant risk. Organizations must use tools to look for Common Vulnerabilities and Exposures (CVEs) in the runtimes deployed, to upgrade any instances at risk, and to ensure that orchestrators only allow deployments to properly maintained runtimes.</t>
    </r>
    <r>
      <rPr>
        <sz val="11"/>
        <color rgb="FF000000"/>
        <rFont val="Calibri"/>
      </rPr>
      <t xml:space="preserve">
</t>
    </r>
    <r>
      <rPr>
        <sz val="11"/>
        <color rgb="FF000000"/>
        <rFont val="Calibri"/>
      </rPr>
      <t>Satisfies: SRG-APP-000456-CTR-001130, SRG-APP-000456-CTR-001125</t>
    </r>
  </si>
  <si>
    <r>
      <rPr>
        <sz val="11"/>
        <color rgb="FF000000"/>
        <rFont val="Calibri"/>
      </rPr>
      <t>To list all the imagestreams and identify which imagestream tags are configured to periodically check for updates (imagePolicy = { scheduled: true }), execute the following:</t>
    </r>
    <r>
      <rPr>
        <sz val="11"/>
        <color rgb="FF000000"/>
        <rFont val="Calibri"/>
      </rPr>
      <t xml:space="preserve">
</t>
    </r>
    <r>
      <rPr>
        <sz val="11"/>
        <color rgb="FF000000"/>
        <rFont val="Calibri"/>
      </rPr>
      <t>oc get imagestream  --all-namespaces -o jsonpath='{range .items[*]}{.metadata.name}{"\n"}{range .spec.tags[*]}{"\t"}{.name}{": "}{.importPolicy}{"\n"}'</t>
    </r>
    <r>
      <rPr>
        <sz val="11"/>
        <color rgb="FF000000"/>
        <rFont val="Calibri"/>
      </rPr>
      <t xml:space="preserve">
</t>
    </r>
    <r>
      <rPr>
        <sz val="11"/>
        <color rgb="FF000000"/>
        <rFont val="Calibri"/>
      </rPr>
      <t>The output will be similar to:</t>
    </r>
    <r>
      <rPr>
        <sz val="11"/>
        <color rgb="FF000000"/>
        <rFont val="Calibri"/>
      </rPr>
      <t xml:space="preserve">
</t>
    </r>
    <r>
      <rPr>
        <sz val="11"/>
        <color rgb="FF000000"/>
        <rFont val="Calibri"/>
      </rPr>
      <t>httpd</t>
    </r>
    <r>
      <rPr>
        <sz val="11"/>
        <color rgb="FF000000"/>
        <rFont val="Calibri"/>
      </rPr>
      <t xml:space="preserve">
</t>
    </r>
    <r>
      <rPr>
        <sz val="11"/>
        <color rgb="FF000000"/>
        <rFont val="Calibri"/>
      </rPr>
      <t xml:space="preserve">        2.4: {}</t>
    </r>
    <r>
      <rPr>
        <sz val="11"/>
        <color rgb="FF000000"/>
        <rFont val="Calibri"/>
      </rPr>
      <t xml:space="preserve">
</t>
    </r>
    <r>
      <rPr>
        <sz val="11"/>
        <color rgb="FF000000"/>
        <rFont val="Calibri"/>
      </rPr>
      <t xml:space="preserve">        2.4-el7: {}</t>
    </r>
    <r>
      <rPr>
        <sz val="11"/>
        <color rgb="FF000000"/>
        <rFont val="Calibri"/>
      </rPr>
      <t xml:space="preserve">
</t>
    </r>
    <r>
      <rPr>
        <sz val="11"/>
        <color rgb="FF000000"/>
        <rFont val="Calibri"/>
      </rPr>
      <t xml:space="preserve">        2.4-el8: {}</t>
    </r>
    <r>
      <rPr>
        <sz val="11"/>
        <color rgb="FF000000"/>
        <rFont val="Calibri"/>
      </rPr>
      <t xml:space="preserve">
</t>
    </r>
    <r>
      <rPr>
        <sz val="11"/>
        <color rgb="FF000000"/>
        <rFont val="Calibri"/>
      </rPr>
      <t xml:space="preserve">        latest: {}</t>
    </r>
    <r>
      <rPr>
        <sz val="11"/>
        <color rgb="FF000000"/>
        <rFont val="Calibri"/>
      </rPr>
      <t xml:space="preserve">
</t>
    </r>
    <r>
      <rPr>
        <sz val="11"/>
        <color rgb="FF000000"/>
        <rFont val="Calibri"/>
      </rPr>
      <t xml:space="preserve">        : </t>
    </r>
    <r>
      <rPr>
        <sz val="11"/>
        <color rgb="FF000000"/>
        <rFont val="Calibri"/>
      </rPr>
      <t xml:space="preserve">
</t>
    </r>
    <r>
      <rPr>
        <sz val="11"/>
        <color rgb="FF000000"/>
        <rFont val="Calibri"/>
      </rPr>
      <t>installer</t>
    </r>
    <r>
      <rPr>
        <sz val="11"/>
        <color rgb="FF000000"/>
        <rFont val="Calibri"/>
      </rPr>
      <t xml:space="preserve">
</t>
    </r>
    <r>
      <rPr>
        <sz val="11"/>
        <color rgb="FF000000"/>
        <rFont val="Calibri"/>
      </rPr>
      <t xml:space="preserve">        latest: {"scheduled":true}</t>
    </r>
    <r>
      <rPr>
        <sz val="11"/>
        <color rgb="FF000000"/>
        <rFont val="Calibri"/>
      </rPr>
      <t xml:space="preserve">
</t>
    </r>
    <r>
      <rPr>
        <sz val="11"/>
        <color rgb="FF000000"/>
        <rFont val="Calibri"/>
      </rPr>
      <t xml:space="preserve">        : </t>
    </r>
    <r>
      <rPr>
        <sz val="11"/>
        <color rgb="FF000000"/>
        <rFont val="Calibri"/>
      </rPr>
      <t xml:space="preserve">
</t>
    </r>
    <r>
      <rPr>
        <sz val="11"/>
        <color rgb="FF000000"/>
        <rFont val="Calibri"/>
      </rPr>
      <t>installer-artifacts</t>
    </r>
    <r>
      <rPr>
        <sz val="11"/>
        <color rgb="FF000000"/>
        <rFont val="Calibri"/>
      </rPr>
      <t xml:space="preserve">
</t>
    </r>
    <r>
      <rPr>
        <sz val="11"/>
        <color rgb="FF000000"/>
        <rFont val="Calibri"/>
      </rPr>
      <t xml:space="preserve">        latest: {"scheduled":true}</t>
    </r>
    <r>
      <rPr>
        <sz val="11"/>
        <color rgb="FF000000"/>
        <rFont val="Calibri"/>
      </rPr>
      <t xml:space="preserve">
</t>
    </r>
    <r>
      <rPr>
        <sz val="11"/>
        <color rgb="FF000000"/>
        <rFont val="Calibri"/>
      </rPr>
      <t xml:space="preserve">        : </t>
    </r>
    <r>
      <rPr>
        <sz val="11"/>
        <color rgb="FF000000"/>
        <rFont val="Calibri"/>
      </rPr>
      <t xml:space="preserve">
</t>
    </r>
    <r>
      <rPr>
        <sz val="11"/>
        <color rgb="FF000000"/>
        <rFont val="Calibri"/>
      </rPr>
      <t>Review the listing, and for each imagestream tag version that does not have the value '{"scheduled":true}' that should otherwise check for updates, this is a finding.</t>
    </r>
  </si>
  <si>
    <t>V-257573</t>
  </si>
  <si>
    <r>
      <rPr>
        <sz val="11"/>
        <rFont val="Calibri"/>
      </rPr>
      <t>The Compliance Operator must be configured.</t>
    </r>
  </si>
  <si>
    <r>
      <rPr>
        <sz val="11"/>
        <color rgb="FF000000"/>
        <rFont val="Calibri"/>
      </rPr>
      <t>If Red Hat OpenShift Compliance Operator is not used,, this check is Not Applicable.</t>
    </r>
    <r>
      <rPr>
        <sz val="11"/>
        <color rgb="FF000000"/>
        <rFont val="Calibri"/>
      </rPr>
      <t xml:space="preserve">
</t>
    </r>
    <r>
      <rPr>
        <sz val="11"/>
        <color rgb="FF000000"/>
        <rFont val="Calibri"/>
      </rPr>
      <t>The compliance operator must be leveraged to ensure that components are configured in alignment with the SSP. Install the Compliance Operator by executing the following:</t>
    </r>
    <r>
      <rPr>
        <sz val="11"/>
        <color rgb="FF000000"/>
        <rFont val="Calibri"/>
      </rPr>
      <t xml:space="preserve">
</t>
    </r>
    <r>
      <rPr>
        <sz val="11"/>
        <color rgb="FF000000"/>
        <rFont val="Calibri"/>
      </rPr>
      <t>oc apply -f - &lt;&lt; 'EOF'</t>
    </r>
    <r>
      <rPr>
        <sz val="11"/>
        <color rgb="FF000000"/>
        <rFont val="Calibri"/>
      </rPr>
      <t xml:space="preserve">
</t>
    </r>
    <r>
      <rPr>
        <sz val="11"/>
        <color rgb="FF000000"/>
        <rFont val="Calibri"/>
      </rPr>
      <t>---</t>
    </r>
    <r>
      <rPr>
        <sz val="11"/>
        <color rgb="FF000000"/>
        <rFont val="Calibri"/>
      </rPr>
      <t xml:space="preserve">
</t>
    </r>
    <r>
      <rPr>
        <sz val="11"/>
        <color rgb="FF000000"/>
        <rFont val="Calibri"/>
      </rPr>
      <t>apiVersion: project.openshift.io/v1</t>
    </r>
    <r>
      <rPr>
        <sz val="11"/>
        <color rgb="FF000000"/>
        <rFont val="Calibri"/>
      </rPr>
      <t xml:space="preserve">
</t>
    </r>
    <r>
      <rPr>
        <sz val="11"/>
        <color rgb="FF000000"/>
        <rFont val="Calibri"/>
      </rPr>
      <t>kind: Project</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labels:</t>
    </r>
    <r>
      <rPr>
        <sz val="11"/>
        <color rgb="FF000000"/>
        <rFont val="Calibri"/>
      </rPr>
      <t xml:space="preserve">
</t>
    </r>
    <r>
      <rPr>
        <sz val="11"/>
        <color rgb="FF000000"/>
        <rFont val="Calibri"/>
      </rPr>
      <t xml:space="preserve">    kubernetes.io/metadata.name: openshift-compliance</t>
    </r>
    <r>
      <rPr>
        <sz val="11"/>
        <color rgb="FF000000"/>
        <rFont val="Calibri"/>
      </rPr>
      <t xml:space="preserve">
</t>
    </r>
    <r>
      <rPr>
        <sz val="11"/>
        <color rgb="FF000000"/>
        <rFont val="Calibri"/>
      </rPr>
      <t xml:space="preserve">    openshift.io/cluster-monitoring: "true"</t>
    </r>
    <r>
      <rPr>
        <sz val="11"/>
        <color rgb="FF000000"/>
        <rFont val="Calibri"/>
      </rPr>
      <t xml:space="preserve">
</t>
    </r>
    <r>
      <rPr>
        <sz val="11"/>
        <color rgb="FF000000"/>
        <rFont val="Calibri"/>
      </rPr>
      <t xml:space="preserve">  name: openshift-compliance</t>
    </r>
    <r>
      <rPr>
        <sz val="11"/>
        <color rgb="FF000000"/>
        <rFont val="Calibri"/>
      </rPr>
      <t xml:space="preserve">
</t>
    </r>
    <r>
      <rPr>
        <sz val="11"/>
        <color rgb="FF000000"/>
        <rFont val="Calibri"/>
      </rPr>
      <t>spec: {}</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apiVersion: operators.coreos.com/v1</t>
    </r>
    <r>
      <rPr>
        <sz val="11"/>
        <color rgb="FF000000"/>
        <rFont val="Calibri"/>
      </rPr>
      <t xml:space="preserve">
</t>
    </r>
    <r>
      <rPr>
        <sz val="11"/>
        <color rgb="FF000000"/>
        <rFont val="Calibri"/>
      </rPr>
      <t>kind: OperatorGroup</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compliance-operator</t>
    </r>
    <r>
      <rPr>
        <sz val="11"/>
        <color rgb="FF000000"/>
        <rFont val="Calibri"/>
      </rPr>
      <t xml:space="preserve">
</t>
    </r>
    <r>
      <rPr>
        <sz val="11"/>
        <color rgb="FF000000"/>
        <rFont val="Calibri"/>
      </rPr>
      <t xml:space="preserve">  namespace: openshift-compliance</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targetNamespaces:</t>
    </r>
    <r>
      <rPr>
        <sz val="11"/>
        <color rgb="FF000000"/>
        <rFont val="Calibri"/>
      </rPr>
      <t xml:space="preserve">
</t>
    </r>
    <r>
      <rPr>
        <sz val="11"/>
        <color rgb="FF000000"/>
        <rFont val="Calibri"/>
      </rPr>
      <t xml:space="preserve">  - openshift-compliance</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apiVersion: operators.coreos.com/v1alpha1</t>
    </r>
    <r>
      <rPr>
        <sz val="11"/>
        <color rgb="FF000000"/>
        <rFont val="Calibri"/>
      </rPr>
      <t xml:space="preserve">
</t>
    </r>
    <r>
      <rPr>
        <sz val="11"/>
        <color rgb="FF000000"/>
        <rFont val="Calibri"/>
      </rPr>
      <t>kind: Subscription</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compliance-operator</t>
    </r>
    <r>
      <rPr>
        <sz val="11"/>
        <color rgb="FF000000"/>
        <rFont val="Calibri"/>
      </rPr>
      <t xml:space="preserve">
</t>
    </r>
    <r>
      <rPr>
        <sz val="11"/>
        <color rgb="FF000000"/>
        <rFont val="Calibri"/>
      </rPr>
      <t xml:space="preserve">  namespace: openshift-compliance</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channel: release-0.1</t>
    </r>
    <r>
      <rPr>
        <sz val="11"/>
        <color rgb="FF000000"/>
        <rFont val="Calibri"/>
      </rPr>
      <t xml:space="preserve">
</t>
    </r>
    <r>
      <rPr>
        <sz val="11"/>
        <color rgb="FF000000"/>
        <rFont val="Calibri"/>
      </rPr>
      <t xml:space="preserve">  installPlanApproval: Automatic</t>
    </r>
    <r>
      <rPr>
        <sz val="11"/>
        <color rgb="FF000000"/>
        <rFont val="Calibri"/>
      </rPr>
      <t xml:space="preserve">
</t>
    </r>
    <r>
      <rPr>
        <sz val="11"/>
        <color rgb="FF000000"/>
        <rFont val="Calibri"/>
      </rPr>
      <t xml:space="preserve">  name: compliance-operator</t>
    </r>
    <r>
      <rPr>
        <sz val="11"/>
        <color rgb="FF000000"/>
        <rFont val="Calibri"/>
      </rPr>
      <t xml:space="preserve">
</t>
    </r>
    <r>
      <rPr>
        <sz val="11"/>
        <color rgb="FF000000"/>
        <rFont val="Calibri"/>
      </rPr>
      <t xml:space="preserve">  source: redhat-operators</t>
    </r>
    <r>
      <rPr>
        <sz val="11"/>
        <color rgb="FF000000"/>
        <rFont val="Calibri"/>
      </rPr>
      <t xml:space="preserve">
</t>
    </r>
    <r>
      <rPr>
        <sz val="11"/>
        <color rgb="FF000000"/>
        <rFont val="Calibri"/>
      </rPr>
      <t xml:space="preserve">  sourceNamespace: openshift-marketplace</t>
    </r>
    <r>
      <rPr>
        <sz val="11"/>
        <color rgb="FF000000"/>
        <rFont val="Calibri"/>
      </rPr>
      <t xml:space="preserve">
</t>
    </r>
    <r>
      <rPr>
        <sz val="11"/>
        <color rgb="FF000000"/>
        <rFont val="Calibri"/>
      </rPr>
      <t>...</t>
    </r>
    <r>
      <rPr>
        <sz val="11"/>
        <color rgb="FF000000"/>
        <rFont val="Calibri"/>
      </rPr>
      <t xml:space="preserve">
</t>
    </r>
    <r>
      <rPr>
        <sz val="11"/>
        <color rgb="FF000000"/>
        <rFont val="Calibri"/>
      </rPr>
      <t>EOF</t>
    </r>
    <r>
      <rPr>
        <sz val="11"/>
        <color rgb="FF000000"/>
        <rFont val="Calibri"/>
      </rPr>
      <t xml:space="preserve">
</t>
    </r>
    <r>
      <rPr>
        <sz val="11"/>
        <color rgb="FF000000"/>
        <rFont val="Calibri"/>
      </rPr>
      <t>Following installation of the Compliance Operator, a ScanSettingBinding object that configures the Compliance Operator to use the desired profile sets must be created. TailoredProfiles enable customization of controls to meet specific organizational controls defined in the SSP and can be based on existing profiles or written from scratch in standard SCAP format. If users have the definition for ScanSettingBinding that aligns profiles with ScanSettings in a YAML file named my-scansettingbinding.yml, users would apply that ScanSettingBinding by executing the following:</t>
    </r>
    <r>
      <rPr>
        <sz val="11"/>
        <color rgb="FF000000"/>
        <rFont val="Calibri"/>
      </rPr>
      <t xml:space="preserve">
</t>
    </r>
    <r>
      <rPr>
        <sz val="11"/>
        <color rgb="FF000000"/>
        <rFont val="Calibri"/>
      </rPr>
      <t>oc apply -f my-scansettingbinding.yml -n openshift-compliance</t>
    </r>
    <r>
      <rPr>
        <sz val="11"/>
        <color rgb="FF000000"/>
        <rFont val="Calibri"/>
      </rPr>
      <t xml:space="preserve">
</t>
    </r>
    <r>
      <rPr>
        <sz val="11"/>
        <color rgb="FF000000"/>
        <rFont val="Calibri"/>
      </rPr>
      <t>For more information about the compliance operator and its use, including the creation of TailoredProfiles and the ScanSettings available to meet specific security functions or organizational goals defined in the SSP, refer to https://docs.openshift.com/container-platform/4.8/security/compliance_operator/compliance-operator-understanding.html.</t>
    </r>
  </si>
  <si>
    <r>
      <rPr>
        <sz val="11"/>
        <color rgb="FF000000"/>
        <rFont val="Calibri"/>
      </rPr>
      <t>The Compliance Operator enables continuous compliance monitoring within OpenShift. It regularly assesses the environment against defined compliance policies and automatically detects and reports any deviations. This helps organizations maintain a proactive stance towards compliance, identify potential issues in real-time, and take corrective actions promptly.</t>
    </r>
    <r>
      <rPr>
        <sz val="11"/>
        <color rgb="FF000000"/>
        <rFont val="Calibri"/>
      </rPr>
      <t xml:space="preserve">
</t>
    </r>
    <r>
      <rPr>
        <sz val="11"/>
        <color rgb="FF000000"/>
        <rFont val="Calibri"/>
      </rPr>
      <t xml:space="preserve">The Compliance Operator assesses compliance of both the Kubernetes API resources of OpenShift Container Platform, as well as the nodes running the cluster. </t>
    </r>
    <r>
      <rPr>
        <sz val="11"/>
        <color rgb="FF000000"/>
        <rFont val="Calibri"/>
      </rPr>
      <t xml:space="preserve">
</t>
    </r>
    <r>
      <rPr>
        <sz val="11"/>
        <color rgb="FF000000"/>
        <rFont val="Calibri"/>
      </rPr>
      <t>The Compliance Operator uses OpenSCAP, a NIST-certified tool, to scan and enforce security policies provided by the content. This allows an organization to define organizational policy to align with the SSP, combine it with standardized vendor-provided content, and periodically scan the platform in accordance with organization-defined policy.</t>
    </r>
  </si>
  <si>
    <r>
      <rPr>
        <sz val="11"/>
        <color rgb="FF000000"/>
        <rFont val="Calibri"/>
      </rPr>
      <t>If Red Hat OpenShift Compliance Operator is not used, this check is Not Applicable.</t>
    </r>
    <r>
      <rPr>
        <sz val="11"/>
        <color rgb="FF000000"/>
        <rFont val="Calibri"/>
      </rPr>
      <t xml:space="preserve">
</t>
    </r>
    <r>
      <rPr>
        <sz val="11"/>
        <color rgb="FF000000"/>
        <rFont val="Calibri"/>
      </rPr>
      <t>Note: If Red Hat OpenShift Compliance Operator is not used, run the checks manually.</t>
    </r>
    <r>
      <rPr>
        <sz val="11"/>
        <color rgb="FF000000"/>
        <rFont val="Calibri"/>
      </rPr>
      <t xml:space="preserve">
</t>
    </r>
    <r>
      <rPr>
        <sz val="11"/>
        <color rgb="FF000000"/>
        <rFont val="Calibri"/>
      </rPr>
      <t>Review the cluster configuration to validate that all required security functions are being validated with the Compliance Operator.</t>
    </r>
    <r>
      <rPr>
        <sz val="11"/>
        <color rgb="FF000000"/>
        <rFont val="Calibri"/>
      </rPr>
      <t xml:space="preserve">
</t>
    </r>
    <r>
      <rPr>
        <sz val="11"/>
        <color rgb="FF000000"/>
        <rFont val="Calibri"/>
      </rPr>
      <t>To determine if any scans have been applied to the cluster and the status of the scans, execute the following:</t>
    </r>
    <r>
      <rPr>
        <sz val="11"/>
        <color rgb="FF000000"/>
        <rFont val="Calibri"/>
      </rPr>
      <t xml:space="preserve">
</t>
    </r>
    <r>
      <rPr>
        <sz val="11"/>
        <color rgb="FF000000"/>
        <rFont val="Calibri"/>
      </rPr>
      <t>oc get compliancescan -n openshift-compliance</t>
    </r>
    <r>
      <rPr>
        <sz val="11"/>
        <color rgb="FF000000"/>
        <rFont val="Calibri"/>
      </rPr>
      <t xml:space="preserve">
</t>
    </r>
    <r>
      <rPr>
        <sz val="11"/>
        <color rgb="FF000000"/>
        <rFont val="Calibri"/>
      </rPr>
      <t>Example output:</t>
    </r>
    <r>
      <rPr>
        <sz val="11"/>
        <color rgb="FF000000"/>
        <rFont val="Calibri"/>
      </rPr>
      <t xml:space="preserve">
</t>
    </r>
    <r>
      <rPr>
        <sz val="11"/>
        <color rgb="FF000000"/>
        <rFont val="Calibri"/>
      </rPr>
      <t>NAME PHASE RESULT</t>
    </r>
    <r>
      <rPr>
        <sz val="11"/>
        <color rgb="FF000000"/>
        <rFont val="Calibri"/>
      </rPr>
      <t xml:space="preserve">
</t>
    </r>
    <r>
      <rPr>
        <sz val="11"/>
        <color rgb="FF000000"/>
        <rFont val="Calibri"/>
      </rPr>
      <t>ocp4-cis DONE NON-COMPLIANT</t>
    </r>
    <r>
      <rPr>
        <sz val="11"/>
        <color rgb="FF000000"/>
        <rFont val="Calibri"/>
      </rPr>
      <t xml:space="preserve">
</t>
    </r>
    <r>
      <rPr>
        <sz val="11"/>
        <color rgb="FF000000"/>
        <rFont val="Calibri"/>
      </rPr>
      <t>ocp4-cis-manual DONE NON-COMPLIANT</t>
    </r>
    <r>
      <rPr>
        <sz val="11"/>
        <color rgb="FF000000"/>
        <rFont val="Calibri"/>
      </rPr>
      <t xml:space="preserve">
</t>
    </r>
    <r>
      <rPr>
        <sz val="11"/>
        <color rgb="FF000000"/>
        <rFont val="Calibri"/>
      </rPr>
      <t>ocp4-cis-node-master DONE NON-COMPLIANT</t>
    </r>
    <r>
      <rPr>
        <sz val="11"/>
        <color rgb="FF000000"/>
        <rFont val="Calibri"/>
      </rPr>
      <t xml:space="preserve">
</t>
    </r>
    <r>
      <rPr>
        <sz val="11"/>
        <color rgb="FF000000"/>
        <rFont val="Calibri"/>
      </rPr>
      <t>ocp4-cis-node-master-manual DONE NON-COMPLIANT</t>
    </r>
    <r>
      <rPr>
        <sz val="11"/>
        <color rgb="FF000000"/>
        <rFont val="Calibri"/>
      </rPr>
      <t xml:space="preserve">
</t>
    </r>
    <r>
      <rPr>
        <sz val="11"/>
        <color rgb="FF000000"/>
        <rFont val="Calibri"/>
      </rPr>
      <t>ocp4-cis-node-worker DONE NON-COMPLIANT</t>
    </r>
    <r>
      <rPr>
        <sz val="11"/>
        <color rgb="FF000000"/>
        <rFont val="Calibri"/>
      </rPr>
      <t xml:space="preserve">
</t>
    </r>
    <r>
      <rPr>
        <sz val="11"/>
        <color rgb="FF000000"/>
        <rFont val="Calibri"/>
      </rPr>
      <t>ocp4-cis-node-worker-manual DONE NON-COMPLIANT</t>
    </r>
    <r>
      <rPr>
        <sz val="11"/>
        <color rgb="FF000000"/>
        <rFont val="Calibri"/>
      </rPr>
      <t xml:space="preserve">
</t>
    </r>
    <r>
      <rPr>
        <sz val="11"/>
        <color rgb="FF000000"/>
        <rFont val="Calibri"/>
      </rPr>
      <t>ocp4-moderate DONE NON-COMPLIANT</t>
    </r>
    <r>
      <rPr>
        <sz val="11"/>
        <color rgb="FF000000"/>
        <rFont val="Calibri"/>
      </rPr>
      <t xml:space="preserve">
</t>
    </r>
    <r>
      <rPr>
        <sz val="11"/>
        <color rgb="FF000000"/>
        <rFont val="Calibri"/>
      </rPr>
      <t>ocp4-moderate-manual DONE NON-COMPLIANT</t>
    </r>
    <r>
      <rPr>
        <sz val="11"/>
        <color rgb="FF000000"/>
        <rFont val="Calibri"/>
      </rPr>
      <t xml:space="preserve">
</t>
    </r>
    <r>
      <rPr>
        <sz val="11"/>
        <color rgb="FF000000"/>
        <rFont val="Calibri"/>
      </rPr>
      <t>rhcos4-moderate-master DONE NON-COMPLIANT</t>
    </r>
    <r>
      <rPr>
        <sz val="11"/>
        <color rgb="FF000000"/>
        <rFont val="Calibri"/>
      </rPr>
      <t xml:space="preserve">
</t>
    </r>
    <r>
      <rPr>
        <sz val="11"/>
        <color rgb="FF000000"/>
        <rFont val="Calibri"/>
      </rPr>
      <t>rhcos4-moderate-master-manual DONE NON-COMPLIANT</t>
    </r>
    <r>
      <rPr>
        <sz val="11"/>
        <color rgb="FF000000"/>
        <rFont val="Calibri"/>
      </rPr>
      <t xml:space="preserve">
</t>
    </r>
    <r>
      <rPr>
        <sz val="11"/>
        <color rgb="FF000000"/>
        <rFont val="Calibri"/>
      </rPr>
      <t>rhcos4-moderate-worker DONE NON-COMPLIANT</t>
    </r>
    <r>
      <rPr>
        <sz val="11"/>
        <color rgb="FF000000"/>
        <rFont val="Calibri"/>
      </rPr>
      <t xml:space="preserve">
</t>
    </r>
    <r>
      <rPr>
        <sz val="11"/>
        <color rgb="FF000000"/>
        <rFont val="Calibri"/>
      </rPr>
      <t>rhcos4-moderate-worker-manual DONE NON-COMPLIANT</t>
    </r>
    <r>
      <rPr>
        <sz val="11"/>
        <color rgb="FF000000"/>
        <rFont val="Calibri"/>
      </rPr>
      <t xml:space="preserve">
</t>
    </r>
    <r>
      <rPr>
        <sz val="11"/>
        <color rgb="FF000000"/>
        <rFont val="Calibri"/>
      </rPr>
      <t>If no ComplianceScan names return, the scans do not align to the organizationally-defined appropriate security functions, the command returns with an error, or any of the results show "NON-COMPLIANT" as their result, then this is a finding.</t>
    </r>
  </si>
  <si>
    <t>V-257574</t>
  </si>
  <si>
    <r>
      <rPr>
        <sz val="11"/>
        <rFont val="Calibri"/>
      </rPr>
      <t>OpenShift must perform verification of the correct operation of security functions: upon startup and/or restart; upon command by a user with privileged access; and/or every 30 days.</t>
    </r>
  </si>
  <si>
    <r>
      <rPr>
        <sz val="11"/>
        <color rgb="FF000000"/>
        <rFont val="Calibri"/>
      </rPr>
      <t>If Red Hat OpenShift Compliance Operator is not used, this check is Not Applicable.</t>
    </r>
    <r>
      <rPr>
        <sz val="11"/>
        <color rgb="FF000000"/>
        <rFont val="Calibri"/>
      </rPr>
      <t xml:space="preserve">
</t>
    </r>
    <r>
      <rPr>
        <sz val="11"/>
        <color rgb="FF000000"/>
        <rFont val="Calibri"/>
      </rPr>
      <t>The compliance operator must be leveraged to ensure that components are configured in alignment with the SSP at a desired schedule. Install the Compliance Operator by executing the following:</t>
    </r>
    <r>
      <rPr>
        <sz val="11"/>
        <color rgb="FF000000"/>
        <rFont val="Calibri"/>
      </rPr>
      <t xml:space="preserve">
</t>
    </r>
    <r>
      <rPr>
        <sz val="11"/>
        <color rgb="FF000000"/>
        <rFont val="Calibri"/>
      </rPr>
      <t>oc apply -f - &lt;&lt; 'EOF'</t>
    </r>
    <r>
      <rPr>
        <sz val="11"/>
        <color rgb="FF000000"/>
        <rFont val="Calibri"/>
      </rPr>
      <t xml:space="preserve">
</t>
    </r>
    <r>
      <rPr>
        <sz val="11"/>
        <color rgb="FF000000"/>
        <rFont val="Calibri"/>
      </rPr>
      <t>---</t>
    </r>
    <r>
      <rPr>
        <sz val="11"/>
        <color rgb="FF000000"/>
        <rFont val="Calibri"/>
      </rPr>
      <t xml:space="preserve">
</t>
    </r>
    <r>
      <rPr>
        <sz val="11"/>
        <color rgb="FF000000"/>
        <rFont val="Calibri"/>
      </rPr>
      <t>apiVersion: project.openshift.io/v1</t>
    </r>
    <r>
      <rPr>
        <sz val="11"/>
        <color rgb="FF000000"/>
        <rFont val="Calibri"/>
      </rPr>
      <t xml:space="preserve">
</t>
    </r>
    <r>
      <rPr>
        <sz val="11"/>
        <color rgb="FF000000"/>
        <rFont val="Calibri"/>
      </rPr>
      <t>kind: Project</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labels:</t>
    </r>
    <r>
      <rPr>
        <sz val="11"/>
        <color rgb="FF000000"/>
        <rFont val="Calibri"/>
      </rPr>
      <t xml:space="preserve">
</t>
    </r>
    <r>
      <rPr>
        <sz val="11"/>
        <color rgb="FF000000"/>
        <rFont val="Calibri"/>
      </rPr>
      <t xml:space="preserve">    kubernetes.io/metadata.name: openshift-compliance</t>
    </r>
    <r>
      <rPr>
        <sz val="11"/>
        <color rgb="FF000000"/>
        <rFont val="Calibri"/>
      </rPr>
      <t xml:space="preserve">
</t>
    </r>
    <r>
      <rPr>
        <sz val="11"/>
        <color rgb="FF000000"/>
        <rFont val="Calibri"/>
      </rPr>
      <t xml:space="preserve">    openshift.io/cluster-monitoring: "true"</t>
    </r>
    <r>
      <rPr>
        <sz val="11"/>
        <color rgb="FF000000"/>
        <rFont val="Calibri"/>
      </rPr>
      <t xml:space="preserve">
</t>
    </r>
    <r>
      <rPr>
        <sz val="11"/>
        <color rgb="FF000000"/>
        <rFont val="Calibri"/>
      </rPr>
      <t xml:space="preserve">  name: openshift-compliance</t>
    </r>
    <r>
      <rPr>
        <sz val="11"/>
        <color rgb="FF000000"/>
        <rFont val="Calibri"/>
      </rPr>
      <t xml:space="preserve">
</t>
    </r>
    <r>
      <rPr>
        <sz val="11"/>
        <color rgb="FF000000"/>
        <rFont val="Calibri"/>
      </rPr>
      <t>spec: {}</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apiVersion: operators.coreos.com/v1</t>
    </r>
    <r>
      <rPr>
        <sz val="11"/>
        <color rgb="FF000000"/>
        <rFont val="Calibri"/>
      </rPr>
      <t xml:space="preserve">
</t>
    </r>
    <r>
      <rPr>
        <sz val="11"/>
        <color rgb="FF000000"/>
        <rFont val="Calibri"/>
      </rPr>
      <t>kind: OperatorGroup</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compliance-operator</t>
    </r>
    <r>
      <rPr>
        <sz val="11"/>
        <color rgb="FF000000"/>
        <rFont val="Calibri"/>
      </rPr>
      <t xml:space="preserve">
</t>
    </r>
    <r>
      <rPr>
        <sz val="11"/>
        <color rgb="FF000000"/>
        <rFont val="Calibri"/>
      </rPr>
      <t xml:space="preserve">  namespace: openshift-compliance</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targetNamespaces:</t>
    </r>
    <r>
      <rPr>
        <sz val="11"/>
        <color rgb="FF000000"/>
        <rFont val="Calibri"/>
      </rPr>
      <t xml:space="preserve">
</t>
    </r>
    <r>
      <rPr>
        <sz val="11"/>
        <color rgb="FF000000"/>
        <rFont val="Calibri"/>
      </rPr>
      <t xml:space="preserve">  - openshift-compliance</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apiVersion: operators.coreos.com/v1alpha1</t>
    </r>
    <r>
      <rPr>
        <sz val="11"/>
        <color rgb="FF000000"/>
        <rFont val="Calibri"/>
      </rPr>
      <t xml:space="preserve">
</t>
    </r>
    <r>
      <rPr>
        <sz val="11"/>
        <color rgb="FF000000"/>
        <rFont val="Calibri"/>
      </rPr>
      <t>kind: Subscription</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compliance-operator</t>
    </r>
    <r>
      <rPr>
        <sz val="11"/>
        <color rgb="FF000000"/>
        <rFont val="Calibri"/>
      </rPr>
      <t xml:space="preserve">
</t>
    </r>
    <r>
      <rPr>
        <sz val="11"/>
        <color rgb="FF000000"/>
        <rFont val="Calibri"/>
      </rPr>
      <t xml:space="preserve">  namespace: openshift-compliance</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channel: release-0.1</t>
    </r>
    <r>
      <rPr>
        <sz val="11"/>
        <color rgb="FF000000"/>
        <rFont val="Calibri"/>
      </rPr>
      <t xml:space="preserve">
</t>
    </r>
    <r>
      <rPr>
        <sz val="11"/>
        <color rgb="FF000000"/>
        <rFont val="Calibri"/>
      </rPr>
      <t xml:space="preserve">  installPlanApproval: Automatic</t>
    </r>
    <r>
      <rPr>
        <sz val="11"/>
        <color rgb="FF000000"/>
        <rFont val="Calibri"/>
      </rPr>
      <t xml:space="preserve">
</t>
    </r>
    <r>
      <rPr>
        <sz val="11"/>
        <color rgb="FF000000"/>
        <rFont val="Calibri"/>
      </rPr>
      <t xml:space="preserve">  name: compliance-operator</t>
    </r>
    <r>
      <rPr>
        <sz val="11"/>
        <color rgb="FF000000"/>
        <rFont val="Calibri"/>
      </rPr>
      <t xml:space="preserve">
</t>
    </r>
    <r>
      <rPr>
        <sz val="11"/>
        <color rgb="FF000000"/>
        <rFont val="Calibri"/>
      </rPr>
      <t xml:space="preserve">  source: redhat-operators</t>
    </r>
    <r>
      <rPr>
        <sz val="11"/>
        <color rgb="FF000000"/>
        <rFont val="Calibri"/>
      </rPr>
      <t xml:space="preserve">
</t>
    </r>
    <r>
      <rPr>
        <sz val="11"/>
        <color rgb="FF000000"/>
        <rFont val="Calibri"/>
      </rPr>
      <t xml:space="preserve">  sourceNamespace: openshift-marketplace</t>
    </r>
    <r>
      <rPr>
        <sz val="11"/>
        <color rgb="FF000000"/>
        <rFont val="Calibri"/>
      </rPr>
      <t xml:space="preserve">
</t>
    </r>
    <r>
      <rPr>
        <sz val="11"/>
        <color rgb="FF000000"/>
        <rFont val="Calibri"/>
      </rPr>
      <t>...</t>
    </r>
    <r>
      <rPr>
        <sz val="11"/>
        <color rgb="FF000000"/>
        <rFont val="Calibri"/>
      </rPr>
      <t xml:space="preserve">
</t>
    </r>
    <r>
      <rPr>
        <sz val="11"/>
        <color rgb="FF000000"/>
        <rFont val="Calibri"/>
      </rPr>
      <t>EOF</t>
    </r>
    <r>
      <rPr>
        <sz val="11"/>
        <color rgb="FF000000"/>
        <rFont val="Calibri"/>
      </rPr>
      <t xml:space="preserve">
</t>
    </r>
    <r>
      <rPr>
        <sz val="11"/>
        <color rgb="FF000000"/>
        <rFont val="Calibri"/>
      </rPr>
      <t>Following installation of the Compliance Operator, a ScanSettingBinding object that configures the Compliance Operator to use the desired scan cadence must be created. If users have the definition for ScanSettingBinding in a YAML file named my-scansettingbinding.yml, users would apply that ScanSettingBinding by executing the following:</t>
    </r>
    <r>
      <rPr>
        <sz val="11"/>
        <color rgb="FF000000"/>
        <rFont val="Calibri"/>
      </rPr>
      <t xml:space="preserve">
</t>
    </r>
    <r>
      <rPr>
        <sz val="11"/>
        <color rgb="FF000000"/>
        <rFont val="Calibri"/>
      </rPr>
      <t>oc apply -f my-scansettingbinding.yml -n openshift-compliance</t>
    </r>
    <r>
      <rPr>
        <sz val="11"/>
        <color rgb="FF000000"/>
        <rFont val="Calibri"/>
      </rPr>
      <t xml:space="preserve">
</t>
    </r>
    <r>
      <rPr>
        <sz val="11"/>
        <color rgb="FF000000"/>
        <rFont val="Calibri"/>
      </rPr>
      <t>For more information about the compliance operator and its use, including the configurability of scheduling of scan cadence in ScanSetting resources and the role-based access control requirements for manually triggered scans, refer to https://docs.openshift.com/container-platform/4.8/security/compliance_operator/compliance-operator-understanding.html.</t>
    </r>
  </si>
  <si>
    <r>
      <rPr>
        <sz val="11"/>
        <color rgb="FF000000"/>
        <rFont val="Calibri"/>
      </rPr>
      <t>Security functionality includes, but is not limited to, establishing system accounts, configuring access authorization (i.e., permissions, privileges), setting events to be audited, and setting intrusion detection parameters.</t>
    </r>
    <r>
      <rPr>
        <sz val="11"/>
        <color rgb="FF000000"/>
        <rFont val="Calibri"/>
      </rPr>
      <t xml:space="preserve">
</t>
    </r>
    <r>
      <rPr>
        <sz val="11"/>
        <color rgb="FF000000"/>
        <rFont val="Calibri"/>
      </rPr>
      <t>The Compliance Operator enables continuous compliance monitoring within OpenShift. It regularly assesses the environment against defined compliance policies and automatically detects and reports any deviations. This helps organizations maintain a proactive stance towards compliance, identify potential issues in real-time, and take corrective actions promptly.</t>
    </r>
    <r>
      <rPr>
        <sz val="11"/>
        <color rgb="FF000000"/>
        <rFont val="Calibri"/>
      </rPr>
      <t xml:space="preserve">
</t>
    </r>
    <r>
      <rPr>
        <sz val="11"/>
        <color rgb="FF000000"/>
        <rFont val="Calibri"/>
      </rPr>
      <t xml:space="preserve">The Compliance Operator assesses compliance of both the Kubernetes API resources of OpenShift Container Platform, as well as the nodes running the cluster. </t>
    </r>
    <r>
      <rPr>
        <sz val="11"/>
        <color rgb="FF000000"/>
        <rFont val="Calibri"/>
      </rPr>
      <t xml:space="preserve">
</t>
    </r>
    <r>
      <rPr>
        <sz val="11"/>
        <color rgb="FF000000"/>
        <rFont val="Calibri"/>
      </rPr>
      <t>The Compliance Operator uses OpenSCAP, a NIST-certified tool, to scan and enforce security policies provided by the content. This allows an organization to define organizational policy to align with the SSP, combine it with standardized vendor-provided content, and periodically scan the platform in accordance with organization-defined policy.</t>
    </r>
  </si>
  <si>
    <r>
      <rPr>
        <sz val="11"/>
        <color rgb="FF000000"/>
        <rFont val="Calibri"/>
      </rPr>
      <t>If Red Hat OpenShift Compliance Operator is not used, this check is Not Applicable.</t>
    </r>
    <r>
      <rPr>
        <sz val="11"/>
        <color rgb="FF000000"/>
        <rFont val="Calibri"/>
      </rPr>
      <t xml:space="preserve">
</t>
    </r>
    <r>
      <rPr>
        <sz val="11"/>
        <color rgb="FF000000"/>
        <rFont val="Calibri"/>
      </rPr>
      <t>Review the cluster configuration to validate that all required security functions are being validated with the Compliance Operator.</t>
    </r>
    <r>
      <rPr>
        <sz val="11"/>
        <color rgb="FF000000"/>
        <rFont val="Calibri"/>
      </rPr>
      <t xml:space="preserve">
</t>
    </r>
    <r>
      <rPr>
        <sz val="11"/>
        <color rgb="FF000000"/>
        <rFont val="Calibri"/>
      </rPr>
      <t>To map the schedule of every profile through its ScanSettingBinding and output the schedules on which each Profile or TailoredProfile is run, execute the following commands: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declare -A binding_profiles</t>
    </r>
    <r>
      <rPr>
        <sz val="11"/>
        <color rgb="FF000000"/>
        <rFont val="Calibri"/>
      </rPr>
      <t xml:space="preserve">
</t>
    </r>
    <r>
      <rPr>
        <sz val="11"/>
        <color rgb="FF000000"/>
        <rFont val="Calibri"/>
      </rPr>
      <t xml:space="preserve"> declare -A binding_schedule</t>
    </r>
    <r>
      <rPr>
        <sz val="11"/>
        <color rgb="FF000000"/>
        <rFont val="Calibri"/>
      </rPr>
      <t xml:space="preserve">
</t>
    </r>
    <r>
      <rPr>
        <sz val="11"/>
        <color rgb="FF000000"/>
        <rFont val="Calibri"/>
      </rPr>
      <t xml:space="preserve"> while read binding setting profiles; do binding_profiles[$binding]="$profiles"; binding_schedule[$binding]=$(oc get scansetting -n openshift-compliance $setting -ojsonpath='{.schedule}'); done &lt; &lt;(oc get scansettingbinding -n openshift-compliance -ojsonpath='{range .items[*]}{.metadata.name} {.settingsRef.name} {range .profiles[*]}{.name} {end}{"\n"}{end}')</t>
    </r>
    <r>
      <rPr>
        <sz val="11"/>
        <color rgb="FF000000"/>
        <rFont val="Calibri"/>
      </rPr>
      <t xml:space="preserve">
</t>
    </r>
    <r>
      <rPr>
        <sz val="11"/>
        <color rgb="FF000000"/>
        <rFont val="Calibri"/>
      </rPr>
      <t xml:space="preserve"> for binding in "${!binding_profiles[@]}"; do for profile in ${binding_profiles[$binding]}; do echo "$profile: ${binding_schedule[$binding]}"; done; done</t>
    </r>
    <r>
      <rPr>
        <sz val="11"/>
        <color rgb="FF000000"/>
        <rFont val="Calibri"/>
      </rPr>
      <t xml:space="preserve">
</t>
    </r>
    <r>
      <rPr>
        <sz val="11"/>
        <color rgb="FF000000"/>
        <rFont val="Calibri"/>
      </rPr>
      <t>If any error is returned, this is a finding.</t>
    </r>
    <r>
      <rPr>
        <sz val="11"/>
        <color rgb="FF000000"/>
        <rFont val="Calibri"/>
      </rPr>
      <t xml:space="preserve">
</t>
    </r>
    <r>
      <rPr>
        <sz val="11"/>
        <color rgb="FF000000"/>
        <rFont val="Calibri"/>
      </rPr>
      <t>If the schedules are not at least monthly or within the organizationally defined periodicity, this is a finding.</t>
    </r>
    <r>
      <rPr>
        <sz val="11"/>
        <color rgb="FF000000"/>
        <rFont val="Calibri"/>
      </rPr>
      <t xml:space="preserve">
</t>
    </r>
    <r>
      <rPr>
        <sz val="11"/>
        <color rgb="FF000000"/>
        <rFont val="Calibri"/>
      </rPr>
      <t>Check the profiles that are bound to schedules by executing the following:</t>
    </r>
    <r>
      <rPr>
        <sz val="11"/>
        <color rgb="FF000000"/>
        <rFont val="Calibri"/>
      </rPr>
      <t xml:space="preserve">
</t>
    </r>
    <r>
      <rPr>
        <sz val="11"/>
        <color rgb="FF000000"/>
        <rFont val="Calibri"/>
      </rPr>
      <t>To determine which rules are enforced by the profiles that are currently bound to the scheduled periodicities, execute the following commands:</t>
    </r>
    <r>
      <rPr>
        <sz val="11"/>
        <color rgb="FF000000"/>
        <rFont val="Calibri"/>
      </rPr>
      <t xml:space="preserve">
</t>
    </r>
    <r>
      <rPr>
        <sz val="11"/>
        <color rgb="FF000000"/>
        <rFont val="Calibri"/>
      </rPr>
      <t>for binding in "${!binding_profiles[@]}"; do for profile in ${binding_profiles[$binding]}; do for rule in $(oc get profile.compliance $profile -n openshift-compliance -ojsonpath='{range .rules[*]}{$}{"\n"}{end}'); do echo "$rule: ${binding_schedule[$binding]}"; done; done; done | sort -u</t>
    </r>
    <r>
      <rPr>
        <sz val="11"/>
        <color rgb="FF000000"/>
        <rFont val="Calibri"/>
      </rPr>
      <t xml:space="preserve">
</t>
    </r>
    <r>
      <rPr>
        <sz val="11"/>
        <color rgb="FF000000"/>
        <rFont val="Calibri"/>
      </rPr>
      <t>If the profiles that are bound to schedules do not cover the organization-designed security functions, this is a finding.</t>
    </r>
  </si>
  <si>
    <t>V-257575</t>
  </si>
  <si>
    <r>
      <rPr>
        <sz val="11"/>
        <rFont val="Calibri"/>
      </rPr>
      <t>OpenShift must generate audit records when successful/unsuccessful attempts to modify privileges occur.</t>
    </r>
  </si>
  <si>
    <r>
      <rPr>
        <sz val="11"/>
        <color rgb="FF000000"/>
        <rFont val="Calibri"/>
      </rPr>
      <t>Apply the machine config to generate audit records when successful/unsuccessful attempts to modify privileges by executing the following:</t>
    </r>
    <r>
      <rPr>
        <sz val="11"/>
        <color rgb="FF000000"/>
        <rFont val="Calibri"/>
      </rPr>
      <t xml:space="preserve">
</t>
    </r>
    <r>
      <rPr>
        <sz val="11"/>
        <color rgb="FF000000"/>
        <rFont val="Calibri"/>
      </rPr>
      <t>for mcpool in $(oc get mcp -oname | sed "s:.*/::" ); do</t>
    </r>
    <r>
      <rPr>
        <sz val="11"/>
        <color rgb="FF000000"/>
        <rFont val="Calibri"/>
      </rPr>
      <t xml:space="preserve">
</t>
    </r>
    <r>
      <rPr>
        <sz val="11"/>
        <color rgb="FF000000"/>
        <rFont val="Calibri"/>
      </rPr>
      <t>echo "apiVersion: machineconfiguration.openshift.io/v1</t>
    </r>
    <r>
      <rPr>
        <sz val="11"/>
        <color rgb="FF000000"/>
        <rFont val="Calibri"/>
      </rPr>
      <t xml:space="preserve">
</t>
    </r>
    <r>
      <rPr>
        <sz val="11"/>
        <color rgb="FF000000"/>
        <rFont val="Calibri"/>
      </rPr>
      <t>kind: MachineConfig</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75-modify-privileges-rules-$mcpool</t>
    </r>
    <r>
      <rPr>
        <sz val="11"/>
        <color rgb="FF000000"/>
        <rFont val="Calibri"/>
      </rPr>
      <t xml:space="preserve">
</t>
    </r>
    <r>
      <rPr>
        <sz val="11"/>
        <color rgb="FF000000"/>
        <rFont val="Calibri"/>
      </rPr>
      <t xml:space="preserve">  labels:</t>
    </r>
    <r>
      <rPr>
        <sz val="11"/>
        <color rgb="FF000000"/>
        <rFont val="Calibri"/>
      </rPr>
      <t xml:space="preserve">
</t>
    </r>
    <r>
      <rPr>
        <sz val="11"/>
        <color rgb="FF000000"/>
        <rFont val="Calibri"/>
      </rPr>
      <t xml:space="preserve">    machineconfiguration.openshift.io/role: $mcpool</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config:</t>
    </r>
    <r>
      <rPr>
        <sz val="11"/>
        <color rgb="FF000000"/>
        <rFont val="Calibri"/>
      </rPr>
      <t xml:space="preserve">
</t>
    </r>
    <r>
      <rPr>
        <sz val="11"/>
        <color rgb="FF000000"/>
        <rFont val="Calibri"/>
      </rPr>
      <t xml:space="preserve">    ignition:</t>
    </r>
    <r>
      <rPr>
        <sz val="11"/>
        <color rgb="FF000000"/>
        <rFont val="Calibri"/>
      </rPr>
      <t xml:space="preserve">
</t>
    </r>
    <r>
      <rPr>
        <sz val="11"/>
        <color rgb="FF000000"/>
        <rFont val="Calibri"/>
      </rPr>
      <t xml:space="preserve">      version: 3.1.0</t>
    </r>
    <r>
      <rPr>
        <sz val="11"/>
        <color rgb="FF000000"/>
        <rFont val="Calibri"/>
      </rPr>
      <t xml:space="preserve">
</t>
    </r>
    <r>
      <rPr>
        <sz val="11"/>
        <color rgb="FF000000"/>
        <rFont val="Calibri"/>
      </rPr>
      <t xml:space="preserve">    storage:</t>
    </r>
    <r>
      <rPr>
        <sz val="11"/>
        <color rgb="FF000000"/>
        <rFont val="Calibri"/>
      </rPr>
      <t xml:space="preserve">
</t>
    </r>
    <r>
      <rPr>
        <sz val="11"/>
        <color rgb="FF000000"/>
        <rFont val="Calibri"/>
      </rPr>
      <t xml:space="preserve">      files:</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data:,%23%23%20Make%20the%20loginuid%20immutable.%20This%20prevents%20tampering%20with%20the%20auid.%0A--loginuid-immutable%0A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/etc/audit/rules.d/11-loginuid.rules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data:,-a%20always%2Cexit%20-F%20arch%3Db32%20-S%20chmod%20-F%20auid%3E%3D1000%20-F%20auid%21%3Dunset%20-F%20key%3Dperm_mod%0A-a%20always%2Cexit%20-F%20arch%3Db64%20-S%20chmod%20-F%20auid%3E%3D1000%20-F%20auid%21%3Dunset%20-F%20key%3Dperm_mod%0A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/etc/audit/rules.d/75-chmod_dac_modification.rules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data:,-a%20always%2Cexit%20-F%20arch%3Db32%20-S%20chown%20-F%20auid%3E%3D1000%20-F%20auid%21%3Dunset%20-F%20key%3Dperm_mod%0A-a%20always%2Cexit%20-F%20arch%3Db64%20-S%20chown%20-F%20auid%3E%3D1000%20-F%20auid%21%3Dunset%20-F%20key%3Dperm_mod%0A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/etc/audit/rules.d/75-chown_dac_modification.rules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data:,-a%20always%2Cexit%20-F%20arch%3Db32%20-S%20fchmod%20-F%20auid%3E%3D1000%20-F%20auid%21%3Dunset%20-F%20key%3Dperm_mod%0A-a%20always%2Cexit%20-F%20arch%3Db64%20-S%20fchmod%20-F%20auid%3E%3D1000%20-F%20auid%21%3Dunset%20-F%20key%3Dperm_mod%0A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/etc/audit/rules.d/75-fchmod_dac_modification.rules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data:,-a%20always%2Cexit%20-F%20arch%3Db32%20-S%20fchmodat%20-F%20auid%3E%3D1000%20-F%20auid%21%3Dunset%20-F%20key%3Dperm_mod%0A-a%20always%2Cexit%20-F%20arch%3Db64%20-S%20fchmodat%20-F%20auid%3E%3D1000%20-F%20auid%21%3Dunset%20-F%20key%3Dperm_mod%0A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/etc/audit/rules.d/75-fchmodat_dac_modification.rules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data:,-a%20always%2Cexit%20-F%20arch%3Db32%20-S%20fchown%20-F%20auid%3E%3D1000%20-F%20auid%21%3Dunset%20-F%20key%3Dperm_mod%0A-a%20always%2Cexit%20-F%20arch%3Db64%20-S%20fchown%20-F%20auid%3E%3D1000%20-F%20auid%21%3Dunset%20-F%20key%3Dperm_mod%0A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/etc/audit/rules.d/75-fchown_dac_modification.rules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data:,-a%20always%2Cexit%20-F%20arch%3Db32%20-S%20fchownat%20-F%20auid%3E%3D1000%20-F%20auid%21%3Dunset%20-F%20key%3Dperm_mod%0A-a%20always%2Cexit%20-F%20arch%3Db64%20-S%20fchownat%20-F%20auid%3E%3D1000%20-F%20auid%21%3Dunset%20-F%20key%3Dperm_mod%0A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/etc/audit/rules.d/75-fchownat_dac_modification.rules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data:,-a%20always%2Cexit%20-F%20arch%3Db32%20-S%20fremovexattr%20-F%20auid%3E%3D1000%20-F%20auid%21%3Dunset%20-F%20key%3Dperm_mod%0A-a%20always%2Cexit%20-F%20arch%3Db64%20-S%20fremovexattr%20-F%20auid%3E%3D1000%20-F%20auid%21%3Dunset%20-F%20key%3Dperm_mod%0A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/etc/audit/rules.d/75-fremovexattr_dac_modification.rules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data:,-a%20always%2Cexit%20-F%20arch%3Db32%20-S%20fsetxattr%20-F%20auid%3E%3D1000%20-F%20auid%21%3Dunset%20-F%20key%3Dperm_mod%0A-a%20always%2Cexit%20-F%20arch%3Db64%20-S%20fsetxattr%20-F%20auid%3E%3D1000%20-F%20auid%21%3Dunset%20-F%20key%3Dperm_mod%0A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/etc/audit/rules.d/75-fsetxattr_dac_modification.rules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data:,-a%20always%2Cexit%20-F%20arch%3Db32%20-S%20lchown%20-F%20auid%3E%3D1000%20-F%20auid%21%3Dunset%20-F%20key%3Dperm_mod%0A-a%20always%2Cexit%20-F%20arch%3Db64%20-S%20lchown%20-F%20auid%3E%3D1000%20-F%20auid%21%3Dunset%20-F%20key%3Dperm_mod%0A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/etc/audit/rules.d/75-lchown_dac_modification.rules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data:,-a%20always%2Cexit%20-F%20arch%3Db32%20-S%20lremovexattr%20-F%20auid%3E%3D1000%20-F%20auid%21%3Dunset%20-F%20key%3Dperm_mod%0A-a%20always%2Cexit%20-F%20arch%3Db64%20-S%20lremovexattr%20-F%20auid%3E%3D1000%20-F%20auid%21%3Dunset%20-F%20key%3Dperm_mod%0A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/etc/audit/rules.d/75-lremovexattr_dac_modification.rules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data:,-a%20always%2Cexit%20-F%20arch%3Db32%20-S%20lsetxattr%20-F%20auid%3E%3D1000%20-F%20auid%21%3Dunset%20-F%20key%3Dperm_mod%0A-a%20always%2Cexit%20-F%20arch%3Db64%20-S%20lsetxattr%20-F%20auid%3E%3D1000%20-F%20auid%21%3Dunset%20-F%20key%3Dperm_mod%0A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/etc/audit/rules.d/75-lsetxattr_dac_modification.rules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data:,-a%20always%2Cexit%20-F%20arch%3Db32%20-S%20removexattr%20-F%20auid%3E%3D1000%20-F%20auid%21%3Dunset%20-F%20key%3Dperm_mod%0A-a%20always%2Cexit%20-F%20arch%3Db64%20-S%20removexattr%20-F%20auid%3E%3D1000%20-F%20auid%21%3Dunset%20-F%20key%3Dperm_mod%0A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/etc/audit/rules.d/75-removexattr_dac_modification.rules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data:,-a%20always%2Cexit%20-F%20arch%3Db32%20-S%20setxattr%20-F%20auid%3E%3D1000%20-F%20auid%21%3Dunset%20-F%20key%3Dperm_mod%0A-a%20always%2Cexit%20-F%20arch%3Db64%20-S%20setxattr%20-F%20auid%3E%3D1000%20-F%20auid%21%3Dunset%20-F%20key%3Dperm_mod%0A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/etc/audit/rules.d/75-setxattr_dac_modification.rules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data:,-a%20always%2Cexit%20-F%20arch%3Db32%20-S%20umount2%20-F%20auid%3E%3D1000%20-F%20auid%21%3Dunset%20-F%20key%3Dperm_mod%0A-a%20always%2Cexit%20-F%20arch%3Db64%20-S%20umount%20-F%20auid%3E%3D1000%20-F%20auid%21%3Dunset%20-F%20key%3Dperm_mod%0A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/etc/audit/rules.d/75-umount_dac_modification.rules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data:,-a%20always%2Cexit%20-F%20arch%3Db32%20-S%20umount2%20-F%20auid%3E%3D1000%20-F%20auid%21%3Dunset%20-F%20key%3Dperm_mod%0A-a%20always%2Cexit%20-F%20arch%3Db64%20-S%20umount2%20-F%20auid%3E%3D1000%20-F%20auid%21%3Dunset%20-F%20key%3Dperm_mod%0A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/etc/audit/rules.d/75-umount2_dac_modification.rules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data:,-a%20always%2Cexit%20-F%20path%3D/usr/sbin/usermod%20-F%20auid%3E%3D1000%20-F%20auid%21%3Dunset%20-F%20key%3Dprivileged%0A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/etc/audit/rules.d/75-usr_sbin_usermod_execution.rules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data:,-a%20always%2Cexit%20-F%20path%3D/usr/sbin/unix_update%20-F%20auid%3E%3D1000%20-F%20auid%21%3Dunset%20-F%20key%3Dprivileged%0A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/etc/audit/rules.d/75-usr_sbin_unix_update_execution.rules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data:,-a%20always%2Cexit%20-F%20path%3D/usr/bin/kmod%20-F%20auid%3E%3D1000%20-F%20auid%21%3Dunset%20-F%20key%3Dprivileged%0A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/etc/audit/rules.d/75-usr_bin_kmod_execution.rules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data:,-a%20always%2Cexit%20-F%20path%3D/usr/bin/setfacl%20-F%20auid%3E%3D1000%20-F%20auid%21%3Dunset%20-F%20key%3Dprivileged%0A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/etc/audit/rules.d/75-usr_bin_setfacl_execution.rules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data:,-a%20always%2Cexit%20-F%20path%3D/usr/bin/chacl%20-F%20auid%3E%3D1000%20-F%20auid%21%3Dunset%20-F%20key%3Dprivileged%0A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/etc/audit/rules.d/75-usr_bin_chacl_execution.rules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data:,-a%20always%2Cexit%20-F%20path%3D/usr/bin/chcon%20-F%20auid%3E%3D1000%20-F%20auid%21%3Dunset%20-F%20key%3Dprivileged%0A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/etc/audit/rules.d/75-usr_bin_chcon_execution.rules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data:,-a%20always%2Cexit%20-F%20path%3D/usr/sbin/semanage%20-F%20auid%3E%3D1000%20-F%20auid%21%3Dunset%20-F%20key%3Dprivileged%0A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/etc/audit/rules.d/75-usr_sbin_semanage_execution.rules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data:,-a%20always%2Cexit%20-F%20path%3D/usr/sbin/setfiles%20-F%20auid%3E%3D1000%20-F%20auid%21%3Dunset%20-F%20key%3Dprivileged%0A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/etc/audit/rules.d/75-usr_sbin_setfiles_execution.rules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data:,-a%20always%2Cexit%20-F%20path%3D/usr/sbin/setsebool%20-F%20auid%3E%3D1000%20-F%20auid%21%3Dunset%20-F%20key%3Dprivileged%0A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/etc/audit/rules.d/75-usr_sbin_setsebool_execution.rules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data:,-a%20always%2Cexit%20-F%20arch%3Db32%20-S%20rename%20-F%20auid%3E%3D1000%20-F%20auid%21%3Dunset%20-F%20key%3Ddelete%0A-a%20always%2Cexit%20-F%20arch%3Db64%20-S%20rename%20-F%20auid%3E%3D1000%20-F%20auid%21%3Dunset%20-F%20key%3Ddelete%0A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/etc/audit/rules.d/75-rename-file-deletion-events.rules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data:,-a%20always%2Cexit%20-F%20arch%3Db32%20-S%20renameat%20-F%20auid%3E%3D1000%20-F%20auid%21%3Dunset%20-F%20key%3Ddelete%0A-a%20always%2Cexit%20-F%20arch%3Db64%20-S%20renameat%20-F%20auid%3E%3D1000%20-F%20auid%21%3Dunset%20-F%20key%3Ddelete%0A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/etc/audit/rules.d/75-renameat-file-deletion-events.rules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data:,-a%20always%2Cexit%20-F%20arch%3Db32%20-S%20rmdir%20-F%20auid%3E%3D1000%20-F%20auid%21%3Dunset%20-F%20key%3Ddelete%0A-a%20always%2Cexit%20-F%20arch%3Db64%20-S%20rmdir%20-F%20auid%3E%3D1000%20-F%20auid%21%3Dunset%20-F%20key%3Ddelete%0A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/etc/audit/rules.d/75-rmdir-file-deletion-events.rules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data:,-a%20always%2Cexit%20-F%20arch%3Db32%20-S%20unlink%20-F%20auid%3E%3D1000%20-F%20auid%21%3Dunset%20-F%20key%3Ddelete%0A-a%20always%2Cexit%20-F%20arch%3Db64%20-S%20unlink%20-F%20auid%3E%3D1000%20-F%20auid%21%3Dunset%20-F%20key%3Ddelete%0A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/etc/audit/rules.d/75-unlink-file-deletion-events.rules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data:,-a%20always%2Cexit%20-F%20arch%3Db32%20-S%20unlinkat%20-F%20auid%3E%3D1000%20-F%20auid%21%3Dunset%20-F%20key%3Ddelete%0A-a%20always%2Cexit%20-F%20arch%3Db64%20-S%20unlinkat%20-F%20auid%3E%3D1000%20-F%20auid%21%3Dunset%20-F%20key%3Ddelete%0A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/etc/audit/rules.d/75-unlinkat-file-deletion-events.rules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data:,-a%20always%2Cexit%20-F%20arch%3Db32%20-S%20delete_module%20-k%20module-change%0A-a%20always%2Cexit%20-F%20arch%3Db64%20-S%20delete_module%20-k%20module-change%0A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/etc/audit/rules.d/75-kernel-module-loading-delete.rules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data:,-a%20always%2Cexit%20-F%20arch%3Db32%20-S%20finit_module%20-k%20module-change%0A-a%20always%2Cexit%20-F%20arch%3Db64%20-S%20finit_module%20-k%20module-change%0A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/etc/audit/rules.d/75-kernel-module-loading-finit.rules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data:,-a%20always%2Cexit%20-F%20arch%3Db32%20-S%20init_module%20-k%20module-change%0A-a%20always%2Cexit%20-F%20arch%3Db64%20-S%20init_module%20-k%20module-change%0A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/etc/audit/rules.d/75-kernel-module-loading-init.rules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data:,-w%20/var/log/lastlog%20-p%20wa%20-k%20logins%0A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/etc/audit/rules.d/75-lastlog_login_events.rules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data:,-a%20always%2Cexit%20-F%20arch%3Db32%20-S%20mount%20-F%20auid%3E%3D1000%20-F%20auid%21%3Dunset%20-F%20key%3Dperm_mod%0A-a%20always%2Cexit%20-F%20arch%3Db64%20-S%20mount%20-F%20auid%3E%3D1000%20-F%20auid%21%3Dunset%20-F%20key%3Dperm_mod%0A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/etc/audit/rules.d/75-mount_dac_modification.rules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data:,-a%20always%2Cexit%20-F%20path%3D/usr/bin/chage%20-F%20auid%3E%3D1000%20-F%20auid%21%3Dunset%20-F%20key%3Dprivileged%0A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/etc/audit/rules.d/75-usr_bin_chage_execution.rules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data:,-a%20always%2Cexit%20-F%20path%3D/usr/bin/chsh%20-F%20auid%3E%3D1000%20-F%20auid%21%3Dunset%20-F%20key%3Dprivileged%0A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/etc/audit/rules.d/75-usr_bin_chsh_execution.rules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data:,-a%20always%2Cexit%20-F%20path%3D/usr/bin/crontab%20-F%20auid%3E%3D1000%20-F%20auid%21%3Dunset%20-F%20key%3Dprivileged%0A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/etc/audit/rules.d/75-usr_bin_crontab_execution.rules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data:,-a%20always%2Cexit%20-F%20path%3D/usr/bin/gpasswd%20-F%20auid%3E%3D1000%20-F%20auid%21%3Dunset%20-F%20key%3Dprivileged%0A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/etc/audit/rules.d/75-usr_bin_gpasswd_execution.rules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data:,-a%20always%2Cexit%20-F%20path%3D/usr/bin/newgrp%20-F%20auid%3E%3D1000%20-F%20auid%21%3Dunset%20-F%20key%3Dprivileged%0A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/etc/audit/rules.d/75-usr_bin_newgrp_execution.rules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data:,-a%20always%2Cexit%20-F%20path%3D/usr/sbin/pam_timestamp_check%20-F%20auid%3E%3D1000%20-F%20auid%21%3Dunset%20-F%20key%3Dprivileged%0A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/etc/audit/rules.d/75-usr_sbin_pam_timestamp_check_execution.rules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data:,-a%20always%2Cexit%20-F%20path%3D/usr/bin/passwd%20-F%20auid%3E%3D1000%20-F%20auid%21%3Dunset%20-F%20key%3Dprivileged%0A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/etc/audit/rules.d/75-usr_bin_passwd_execution.rules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data:,-a%20always%2Cexit%20-F%20path%3D/usr/libexec/openssh/ssh-keysign%20-F%20auid%3E%3D1000%20-F%20auid%21%3Dunset%20-F%20key%3Dprivileged%0A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/etc/audit/rules.d/75-usr_libexec_openssh_ssh-keysign_execution.rules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data:,-a%20always%2Cexit%20-F%20path%3D/usr/bin/su%20-F%20auid%3E%3D1000%20-F%20auid%21%3Dunset%20-F%20key%3Dprivileged%0A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/etc/audit/rules.d/75-usr_bin_su_execution.rules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data:,-a%20always%2Cexit%20-F%20path%3D/usr/bin/sudo%20-F%20auid%3E%3D1000%20-F%20auid%21%3Dunset%20-F%20key%3Dprivileged%0A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/etc/audit/rules.d/75-usr_bin_sudo_execution.rules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data:,-a%20always%2Cexit%20-F%20path%3D/usr/bin/sudoedit%20-F%20auid%3E%3D1000%20-F%20auid%21%3Dunset%20-F%20key%3Dprivileged%0A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/etc/audit/rules.d/75-usr_bin_sudoedit_execution.rules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data:,-a%20always%2Cexit%20-F%20path%3D/usr/sbin/unix_chkpwd%20-F%20auid%3E%3D1000%20-F%20auid%21%3Dunset%20-F%20key%3Dprivileged%0A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/etc/audit/rules.d/75-usr_sbin_unix_chkpwd_execution.rules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data:,-a%20always%2Cexit%20-F%20path%3D/usr/sbin/userhelper%20-F%20auid%3E%3D1000%20-F%20auid%21%3Dunset%20-F%20key%3Dprivileged%0A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/etc/audit/rules.d/75-usr_sbin_userhelper_execution.rules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data:,-w%20/etc/sudoers.d/%20-p%20wa%20-k%20actions%0A-w%20/etc/sudoers%20-p%20wa%20-k%20actions%0A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/etc/audit/rules.d/75-audit-sysadmin-actions.rules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23%23%20This%20content%20is%20a%20section%20of%20an%20Audit%20config%20snapshot%20recommended%20for%20Red%2520Hat%2520Enterprise%2520Linux%2520CoreOS%25204%20systems%20that%20target%20OSPP%20compliance.%0A%23%23%20The%20following%20content%20has%20been%20retreived%20on%202019-03-11%20from%3A%20https%3A//github.com/linux-audit/audit-userspace/blob/master/rules/30-ospp-v42.rules%0A%0A%23%23%20The%20purpose%20of%20these%20rules%20is%20to%20meet%20the%20requirements%20for%20Operating%0A%23%23%20System%20Protection%20Profile%20%28OSPP%29v4.2.%20These%20rules%20depends%20on%20having%0A%23%23%2010-base-config.rules%2C%2011-loginuid.rules%2C%20and%2043-module-load.rules%20installed.%0A%0A%23%23%20Unsuccessful%20file%20creation%20%28open%20with%20O_CREAT%29%0A-a%20always%2Cexit%20-F%20arch%3Db32%20-S%20openat%2Copen_by_handle_at%20-F%20a2%260100%20-F%20exit%3D-EACCES%20-F%20auid%3E%3D1000%20-F%20auid%21%3Dunset%20-F%20key%3Dunsuccessful-create%0A-a%20always%2Cexit%20-F%20arch%3Db64%20-S%20openat%2Copen_by_handle_at%20-F%20a2%260100%20-F%20exit%3D-EACCES%20-F%20auid%3E%3D1000%20-F%20auid%21%3Dunset%20-F%20key%3Dunsuccessful-create%0A-a%20always%2Cexit%20-F%20arch%3Db32%20-S%20open%20-F%20a1%260100%20-F%20exit%3D-EACCES%20-F%20auid%3E%3D1000%20-F%20auid%21%3Dunset%20-F%20key%3Dunsuccessful-create%0A-a%20always%2Cexit%20-F%20arch%3Db64%20-S%20open%20-F%20a1%260100%20-F%20exit%3D-EACCES%20-F%20auid%3E%3D1000%20-F%20auid%21%3Dunset%20-F%20key%3Dunsuccessful-create%0A-a%20always%2Cexit%20-F%20arch%3Db32%20-S%20openat%2Copen_by_handle_at%20-F%20a2%260100%20-F%20exit%3D-EPERM%20-F%20auid%3E%3D1000%20-F%20auid%21%3Dunset%20-F%20key%3Dunsuccessful-create%0A-a%20always%2Cexit%20-F%20arch%3Db64%20-S%20openat%2Copen_by_handle_at%20-F%20a2%260100%20-F%20exit%3D-EPERM%20-F%20auid%3E%3D1000%20-F%20auid%21%3Dunset%20-F%20key%3Dunsuccessful-create%0A-a%20always%2Cexit%20-F%20arch%3Db32%20-S%20open%20-F%20a1%260100%20-F%20exit%3D-EPERM%20-F%20auid%3E%3D1000%20-F%20auid%21%3Dunset%20-F%20key%3Dunsuccessful-create%0A-a%20always%2Cexit%20-F%20arch%3Db64%20-S%20open%20-F%20a1%260100%20-F%20exit%3D-EPERM%20-F%20auid%3E%3D1000%20-F%20auid%21%3Dunset%20-F%20key%3Dunsuccessful-create%0A-a%20always%2Cexit%20-F%20arch%3Db32%20-S%20creat%20-F%20exit%3D-EACCES%20-F%20auid%3E%3D1000%20-F%20auid%21%3Dunset%20-F%20key%3Dunsuccessful-create%0A-a%20always%2Cexit%20-F%20arch%3Db64%20-S%20creat%20-F%20exit%3D-EACCES%20-F%20auid%3E%3D1000%20-F%20auid%21%3Dunset%20-F%20key%3Dunsuccessful-create%0A-a%20always%2Cexit%20-F%20arch%3Db32%20-S%20creat%20-F%20exit%3D-EPERM%20-F%20auid%3E%3D1000%20-F%20auid%21%3Dunset%20-F%20key%3Dunsuccessful-create%0A-a%20always%2Cexit%20-F%20arch%3Db64%20-S%20creat%20-F%20exit%3D-EPERM%20-F%20auid%3E%3D1000%20-F%20auid%21%3Dunset%20-F%20key%3Dunsuccessful-create%0A%0A%23%23%20Unsuccessful%20file%20modifications%20%28open%20for%20write%20or%20truncate%29%0A-a%20always%2Cexit%20-F%20arch%3Db32%20-S%20openat%2Copen_by_handle_at%20-F%20a2%2601003%20-F%20exit%3D-EACCES%20-F%20auid%3E%3D1000%20-F%20auid%21%3Dunset%20-F%20key%3Dunsuccessful-modification%0A-a%20always%2Cexit%20-F%20arch%3Db64%20-S%20openat%2Copen_by_handle_at%20-F%20a2%2601003%20-F%20exit%3D-EACCES%20-F%20auid%3E%3D1000%20-F%20auid%21%3Dunset%20-F%20key%3Dunsuccessful-modification%0A-a%20always%2Cexit%20-F%20arch%3Db32%20-S%20open%20-F%20a1%2601003%20-F%20exit%3D-EACCES%20-F%20auid%3E%3D1000%20-F%20auid%21%3Dunset%20-F%20key%3Dunsuccessful-modification%0A-a%20always%2Cexit%20-F%20arch%3Db64%20-S%20open%20-F%20a1%2601003%20-F%20exit%3D-EACCES%20-F%20auid%3E%3D1000%20-F%20auid%21%3Dunset%20-F%20key%3Dunsuccessful-modification%0A-a%20always%2Cexit%20-F%20arch%3Db32%20-S%20openat%2Copen_by_handle_at%20-F%20a2%2601003%20-F%20exit%3D-EPERM%20-F%20auid%3E%3D1000%20-F%20auid%21%3Dunset%20-F%20key%3Dunsuccessful-modification%0A-a%20always%2Cexit%20-F%20arch%3Db64%20-S%20openat%2Copen_by_handle_at%20-F%20a2%2601003%20-F%20exit%3D-EPERM%20-F%20auid%3E%3D1000%20-F%20auid%21%3Dunset%20-F%20key%3Dunsuccessful-modification%0A-a%20always%2Cexit%20-F%20arch%3Db32%20-S%20open%20-F%20a1%2601003%20-F%20exit%3D-EPERM%20-F%20auid%3E%3D1000%20-F%20auid%21%3Dunset%20-F%20key%3Dunsuccessful-modification%0A-a%20always%2Cexit%20-F%20arch%3Db64%20-S%20open%20-F%20a1%2601003%20-F%20exit%3D-EPERM%20-F%20auid%3E%3D1000%20-F%20auid%21%3Dunset%20-F%20key%3Dunsuccessful-modification%0A-a%20always%2Cexit%20-F%20arch%3Db32%20-S%20truncate%2Cftruncate%20-F%20exit%3D-EACCES%20-F%20auid%3E%3D1000%20-F%20auid%21%3Dunset%20-F%20key%3Dunsuccessful-modification%0A-a%20always%2Cexit%20-F%20arch%3Db64%20-S%20truncate%2Cftruncate%20-F%20exit%3D-EACCES%20-F%20auid%3E%3D1000%20-F%20auid%21%3Dunset%20-F%20key%3Dunsuccessful-modification%0A-a%20always%2Cexit%20-F%20arch%3Db32%20-S%20truncate%2Cftruncate%20-F%20exit%3D-EPERM%20-F%20auid%3E%3D1000%20-F%20auid%21%3Dunset%20-F%20key%3Dunsuccessful-modification%0A-a%20always%2Cexit%20-F%20arch%3Db64%20-S%20truncate%2Cftruncate%20-F%20exit%3D-EPERM%20-F%20auid%3E%3D1000%20-F%20auid%21%3Dunset%20-F%20key%3Dunsuccessful-modification%0A%0A%23%23%20Unsuccessful%20file%20access%20%28any%20other%20opens%29%20This%20has%20to%20go%20last.%0A-a%20always%2Cexit%20-F%20arch%3Db32%20-S%20open%2Ccreat%2Ctruncate%2Cftruncate%2Copenat%2Copen_by_handle_at%20-F%20exit%3D-EACCES%20-F%20auid%3E%3D1000%20-F%20auid%21%3Dunset%20-F%20key%3Dunsuccessful-access%0A-a%20always%2Cexit%20-F%20arch%3Db64%20-S%20open%2Ccreat%2Ctruncate%2Cftruncate%2Copenat%2Copen_by_handle_at%20-F%20exit%3D-EACCES%20-F%20auid%3E%3D1000%20-F%20auid%21%3Dunset%20-F%20key%3Dunsuccessful-access%0A-a%20always%2Cexit%20-F%20arch%3Db32%20-S%20open%2Ccreat%2Ctruncate%2Cftruncate%2Copenat%2Copen_by_handle_at%20-F%20exit%3D-EPERM%20-F%20auid%3E%3D1000%20-F%20auid%21%3Dunset%20-F%20key%3Dunsuccessful-access%0A-a%20always%2Cexit%20-F%20arch%3Db64%20-S%20open%2Ccreat%2Ctruncate%2Cftruncate%2Copenat%2Copen_by_handle_at%20-F%20exit%3D-EPERM%20-F%20auid%3E%3D1000%20-F%20auid%21%3Dunset%20-F%20key%3Dunsuccessful-access%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/etc/audit/rules.d/30-ospp-v42-remediation.rules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data:,-w%20/etc/group%20-p%20wa%20-k%20audit_rules_usergroup_modification%0A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/etc/audit/rules.d/30-etc_group_usergroup_modification.rules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data:,-w%20/etc/gshadow%20-p%20wa%20-k%20audit_rules_usergroup_modification%0A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/etc/audit/rules.d/30-etc_gshadow_usergroup_modification.rules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data:,-w%20/etc/security/opasswd%20-p%20wa%20-k%20audit_rules_usergroup_modification%0A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/etc/audit/rules.d/30-etc_security_opasswd_usergroup_modification.rules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data:,-w%20/etc/passwd%20-p%20wa%20-k%20audit_rules_usergroup_modification%0A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/etc/audit/rules.d/30-etc_passwd_usergroup_modification.rules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data:,-w%20/etc/shadow%20-p%20wa%20-k%20audit_rules_usergroup_modification%0A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/etc/audit/rules.d/30-etc_shadow_usergroup_modification.rules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 oc apply -f -</t>
    </r>
    <r>
      <rPr>
        <sz val="11"/>
        <color rgb="FF000000"/>
        <rFont val="Calibri"/>
      </rPr>
      <t xml:space="preserve">
</t>
    </r>
    <r>
      <rPr>
        <sz val="11"/>
        <color rgb="FF000000"/>
        <rFont val="Calibri"/>
      </rPr>
      <t>done</t>
    </r>
  </si>
  <si>
    <r>
      <rPr>
        <sz val="11"/>
        <color rgb="FF000000"/>
        <rFont val="Calibri"/>
      </rPr>
      <t>Audit records provide a crucial source of information for security monitoring and incident response. By generating audit records for privilege modification attempts, OpenShift enables administrators and security teams to track and investigate any unauthorized or suspicious changes to privileges. These records serve as an essential source of evidence for detecting and responding to potential security incidents.</t>
    </r>
    <r>
      <rPr>
        <sz val="11"/>
        <color rgb="FF000000"/>
        <rFont val="Calibri"/>
      </rPr>
      <t xml:space="preserve">
</t>
    </r>
    <r>
      <rPr>
        <sz val="11"/>
        <color rgb="FF000000"/>
        <rFont val="Calibri"/>
      </rPr>
      <t>Audit records for unsuccessful attempts to modify privileges help in identifying unauthorized activities or potential attacks. If an unauthorized entity attempts to modify privileges, the audit records can serve as an early warning sign of a security threat. By monitoring and analyzing such records, administrators can detect and mitigate potential security breaches before they escalate.</t>
    </r>
    <r>
      <rPr>
        <sz val="11"/>
        <color rgb="FF000000"/>
        <rFont val="Calibri"/>
      </rPr>
      <t xml:space="preserve">
</t>
    </r>
    <r>
      <rPr>
        <sz val="11"/>
        <color rgb="FF000000"/>
        <rFont val="Calibri"/>
      </rPr>
      <t>Audit records play a vital role in forensic analysis and investigation. In the event of a security incident or suspected compromise, audit logs for privilege modifications provide valuable information for understanding the scope and impact of the incident.</t>
    </r>
  </si>
  <si>
    <r>
      <rPr>
        <sz val="11"/>
        <color rgb="FF000000"/>
        <rFont val="Calibri"/>
      </rPr>
      <t>Verify OpenShift is configured to generate audit records when successful/unsuccessful attempts to modify privileges occur by executing the following:</t>
    </r>
    <r>
      <rPr>
        <sz val="11"/>
        <color rgb="FF000000"/>
        <rFont val="Calibri"/>
      </rPr>
      <t xml:space="preserve">
</t>
    </r>
    <r>
      <rPr>
        <sz val="11"/>
        <color rgb="FF000000"/>
        <rFont val="Calibri"/>
      </rPr>
      <t>for node in $(oc get node -oname); do oc debug $node -- chroot /host /bin/bash -c 'echo -n "$HOSTNAME "; grep -e "key=unsuccessful-create" -e "key=unsuccessful-modification"  -e "key=delete" -e "key=unsuccessful-access" -e "actions" -e "key=perm_mod" -e "audit_rules_usergroup_modification"  -e "module-change"  -e "logins" /etc/audit/audit.rules' 2&gt;/dev/null; done</t>
    </r>
    <r>
      <rPr>
        <sz val="11"/>
        <color rgb="FF000000"/>
        <rFont val="Calibri"/>
      </rPr>
      <t xml:space="preserve">
</t>
    </r>
    <r>
      <rPr>
        <sz val="11"/>
        <color rgb="FF000000"/>
        <rFont val="Calibri"/>
      </rPr>
      <t>Confirm the following rules exist on each node:</t>
    </r>
    <r>
      <rPr>
        <sz val="11"/>
        <color rgb="FF000000"/>
        <rFont val="Calibri"/>
      </rPr>
      <t xml:space="preserve">
</t>
    </r>
    <r>
      <rPr>
        <sz val="11"/>
        <color rgb="FF000000"/>
        <rFont val="Calibri"/>
      </rPr>
      <t>-w /etc/group -p wa -k audit_rules_usergroup_modification</t>
    </r>
    <r>
      <rPr>
        <sz val="11"/>
        <color rgb="FF000000"/>
        <rFont val="Calibri"/>
      </rPr>
      <t xml:space="preserve">
</t>
    </r>
    <r>
      <rPr>
        <sz val="11"/>
        <color rgb="FF000000"/>
        <rFont val="Calibri"/>
      </rPr>
      <t>-w /etc/gshadow -p wa -k audit_rules_usergroup_modification</t>
    </r>
    <r>
      <rPr>
        <sz val="11"/>
        <color rgb="FF000000"/>
        <rFont val="Calibri"/>
      </rPr>
      <t xml:space="preserve">
</t>
    </r>
    <r>
      <rPr>
        <sz val="11"/>
        <color rgb="FF000000"/>
        <rFont val="Calibri"/>
      </rPr>
      <t>-w /etc/passwd -p wa -k audit_rules_usergroup_modification</t>
    </r>
    <r>
      <rPr>
        <sz val="11"/>
        <color rgb="FF000000"/>
        <rFont val="Calibri"/>
      </rPr>
      <t xml:space="preserve">
</t>
    </r>
    <r>
      <rPr>
        <sz val="11"/>
        <color rgb="FF000000"/>
        <rFont val="Calibri"/>
      </rPr>
      <t>-w /etc/security/opasswd -p wa -k audit_rules_usergroup_modification</t>
    </r>
    <r>
      <rPr>
        <sz val="11"/>
        <color rgb="FF000000"/>
        <rFont val="Calibri"/>
      </rPr>
      <t xml:space="preserve">
</t>
    </r>
    <r>
      <rPr>
        <sz val="11"/>
        <color rgb="FF000000"/>
        <rFont val="Calibri"/>
      </rPr>
      <t>-w /etc/shadow -p wa -k audit_rules_usergroup_modification</t>
    </r>
    <r>
      <rPr>
        <sz val="11"/>
        <color rgb="FF000000"/>
        <rFont val="Calibri"/>
      </rPr>
      <t xml:space="preserve">
</t>
    </r>
    <r>
      <rPr>
        <sz val="11"/>
        <color rgb="FF000000"/>
        <rFont val="Calibri"/>
      </rPr>
      <t>-a always,exit -F arch=b32 -S openat,open_by_handle_at -F a2&amp;0x40 -F exit=-EACCES -F auid&gt;=1000 -F auid!=unset -F key=unsuccessful-create</t>
    </r>
    <r>
      <rPr>
        <sz val="11"/>
        <color rgb="FF000000"/>
        <rFont val="Calibri"/>
      </rPr>
      <t xml:space="preserve">
</t>
    </r>
    <r>
      <rPr>
        <sz val="11"/>
        <color rgb="FF000000"/>
        <rFont val="Calibri"/>
      </rPr>
      <t>-a always,exit -F arch=b64 -S openat,open_by_handle_at -F a2&amp;0x40 -F exit=-EACCES -F auid&gt;=1000 -F auid!=unset -F key=unsuccessful-create</t>
    </r>
    <r>
      <rPr>
        <sz val="11"/>
        <color rgb="FF000000"/>
        <rFont val="Calibri"/>
      </rPr>
      <t xml:space="preserve">
</t>
    </r>
    <r>
      <rPr>
        <sz val="11"/>
        <color rgb="FF000000"/>
        <rFont val="Calibri"/>
      </rPr>
      <t>-a always,exit -F arch=b32 -S open -F a1&amp;0x40 -F exit=-EACCES -F auid&gt;=1000 -F auid!=unset -F key=unsuccessful-create</t>
    </r>
    <r>
      <rPr>
        <sz val="11"/>
        <color rgb="FF000000"/>
        <rFont val="Calibri"/>
      </rPr>
      <t xml:space="preserve">
</t>
    </r>
    <r>
      <rPr>
        <sz val="11"/>
        <color rgb="FF000000"/>
        <rFont val="Calibri"/>
      </rPr>
      <t>-a always,exit -F arch=b64 -S open -F a1&amp;0x40 -F exit=-EACCES -F auid&gt;=1000 -F auid!=unset -F key=unsuccessful-create</t>
    </r>
    <r>
      <rPr>
        <sz val="11"/>
        <color rgb="FF000000"/>
        <rFont val="Calibri"/>
      </rPr>
      <t xml:space="preserve">
</t>
    </r>
    <r>
      <rPr>
        <sz val="11"/>
        <color rgb="FF000000"/>
        <rFont val="Calibri"/>
      </rPr>
      <t>-a always,exit -F arch=b32 -S openat,open_by_handle_at -F a2&amp;0x40 -F exit=-EPERM -F auid&gt;=1000 -F auid!=unset -F key=unsuccessful-create</t>
    </r>
    <r>
      <rPr>
        <sz val="11"/>
        <color rgb="FF000000"/>
        <rFont val="Calibri"/>
      </rPr>
      <t xml:space="preserve">
</t>
    </r>
    <r>
      <rPr>
        <sz val="11"/>
        <color rgb="FF000000"/>
        <rFont val="Calibri"/>
      </rPr>
      <t>-a always,exit -F arch=b64 -S openat,open_by_handle_at -F a2&amp;0x40 -F exit=-EPERM -F auid&gt;=1000 -F auid!=unset -F key=unsuccessful-create</t>
    </r>
    <r>
      <rPr>
        <sz val="11"/>
        <color rgb="FF000000"/>
        <rFont val="Calibri"/>
      </rPr>
      <t xml:space="preserve">
</t>
    </r>
    <r>
      <rPr>
        <sz val="11"/>
        <color rgb="FF000000"/>
        <rFont val="Calibri"/>
      </rPr>
      <t>-a always,exit -F arch=b32 -S open -F a1&amp;0x40 -F exit=-EPERM -F auid&gt;=1000 -F auid!=unset -F key=unsuccessful-create</t>
    </r>
    <r>
      <rPr>
        <sz val="11"/>
        <color rgb="FF000000"/>
        <rFont val="Calibri"/>
      </rPr>
      <t xml:space="preserve">
</t>
    </r>
    <r>
      <rPr>
        <sz val="11"/>
        <color rgb="FF000000"/>
        <rFont val="Calibri"/>
      </rPr>
      <t>-a always,exit -F arch=b64 -S open -F a1&amp;0x40 -F exit=-EPERM -F auid&gt;=1000 -F auid!=unset -F key=unsuccessful-create</t>
    </r>
    <r>
      <rPr>
        <sz val="11"/>
        <color rgb="FF000000"/>
        <rFont val="Calibri"/>
      </rPr>
      <t xml:space="preserve">
</t>
    </r>
    <r>
      <rPr>
        <sz val="11"/>
        <color rgb="FF000000"/>
        <rFont val="Calibri"/>
      </rPr>
      <t>-a always,exit -F arch=b32 -S creat -F exit=-EACCES -F auid&gt;=1000 -F auid!=unset -F key=unsuccessful-create</t>
    </r>
    <r>
      <rPr>
        <sz val="11"/>
        <color rgb="FF000000"/>
        <rFont val="Calibri"/>
      </rPr>
      <t xml:space="preserve">
</t>
    </r>
    <r>
      <rPr>
        <sz val="11"/>
        <color rgb="FF000000"/>
        <rFont val="Calibri"/>
      </rPr>
      <t>-a always,exit -F arch=b64 -S creat -F exit=-EACCES -F auid&gt;=1000 -F auid!=unset -F key=unsuccessful-create</t>
    </r>
    <r>
      <rPr>
        <sz val="11"/>
        <color rgb="FF000000"/>
        <rFont val="Calibri"/>
      </rPr>
      <t xml:space="preserve">
</t>
    </r>
    <r>
      <rPr>
        <sz val="11"/>
        <color rgb="FF000000"/>
        <rFont val="Calibri"/>
      </rPr>
      <t>-a always,exit -F arch=b32 -S creat -F exit=-EPERM -F auid&gt;=1000 -F auid!=unset -F key=unsuccessful-create</t>
    </r>
    <r>
      <rPr>
        <sz val="11"/>
        <color rgb="FF000000"/>
        <rFont val="Calibri"/>
      </rPr>
      <t xml:space="preserve">
</t>
    </r>
    <r>
      <rPr>
        <sz val="11"/>
        <color rgb="FF000000"/>
        <rFont val="Calibri"/>
      </rPr>
      <t>-a always,exit -F arch=b64 -S creat -F exit=-EPERM -F auid&gt;=1000 -F auid!=unset -F key=unsuccessful-create</t>
    </r>
    <r>
      <rPr>
        <sz val="11"/>
        <color rgb="FF000000"/>
        <rFont val="Calibri"/>
      </rPr>
      <t xml:space="preserve">
</t>
    </r>
    <r>
      <rPr>
        <sz val="11"/>
        <color rgb="FF000000"/>
        <rFont val="Calibri"/>
      </rPr>
      <t>-a always,exit -F arch=b32 -S openat,open_by_handle_at -F a2&amp;0x203 -F exit=-EACCES -F auid&gt;=1000 -F auid!=unset -F key=unsuccessful-modification</t>
    </r>
    <r>
      <rPr>
        <sz val="11"/>
        <color rgb="FF000000"/>
        <rFont val="Calibri"/>
      </rPr>
      <t xml:space="preserve">
</t>
    </r>
    <r>
      <rPr>
        <sz val="11"/>
        <color rgb="FF000000"/>
        <rFont val="Calibri"/>
      </rPr>
      <t>-a always,exit -F arch=b64 -S openat,open_by_handle_at -F a2&amp;0x203 -F exit=-EACCES -F auid&gt;=1000 -F auid!=unset -F key=unsuccessful-modification</t>
    </r>
    <r>
      <rPr>
        <sz val="11"/>
        <color rgb="FF000000"/>
        <rFont val="Calibri"/>
      </rPr>
      <t xml:space="preserve">
</t>
    </r>
    <r>
      <rPr>
        <sz val="11"/>
        <color rgb="FF000000"/>
        <rFont val="Calibri"/>
      </rPr>
      <t>-a always,exit -F arch=b32 -S open -F a1&amp;0x203 -F exit=-EACCES -F auid&gt;=1000 -F auid!=unset -F key=unsuccessful-modification</t>
    </r>
    <r>
      <rPr>
        <sz val="11"/>
        <color rgb="FF000000"/>
        <rFont val="Calibri"/>
      </rPr>
      <t xml:space="preserve">
</t>
    </r>
    <r>
      <rPr>
        <sz val="11"/>
        <color rgb="FF000000"/>
        <rFont val="Calibri"/>
      </rPr>
      <t>-a always,exit -F arch=b64 -S open -F a1&amp;0x203 -F exit=-EACCES -F auid&gt;=1000 -F auid!=unset -F key=unsuccessful-modification</t>
    </r>
    <r>
      <rPr>
        <sz val="11"/>
        <color rgb="FF000000"/>
        <rFont val="Calibri"/>
      </rPr>
      <t xml:space="preserve">
</t>
    </r>
    <r>
      <rPr>
        <sz val="11"/>
        <color rgb="FF000000"/>
        <rFont val="Calibri"/>
      </rPr>
      <t>-a always,exit -F arch=b32 -S openat,open_by_handle_at -F a2&amp;0x203 -F exit=-EPERM -F auid&gt;=1000 -F auid!=unset -F key=unsuccessful-modification</t>
    </r>
    <r>
      <rPr>
        <sz val="11"/>
        <color rgb="FF000000"/>
        <rFont val="Calibri"/>
      </rPr>
      <t xml:space="preserve">
</t>
    </r>
    <r>
      <rPr>
        <sz val="11"/>
        <color rgb="FF000000"/>
        <rFont val="Calibri"/>
      </rPr>
      <t>-a always,exit -F arch=b64 -S openat,open_by_handle_at -F a2&amp;0x203 -F exit=-EPERM -F auid&gt;=1000 -F auid!=unset -F key=unsuccessful-modmodule-changeification</t>
    </r>
    <r>
      <rPr>
        <sz val="11"/>
        <color rgb="FF000000"/>
        <rFont val="Calibri"/>
      </rPr>
      <t xml:space="preserve">
</t>
    </r>
    <r>
      <rPr>
        <sz val="11"/>
        <color rgb="FF000000"/>
        <rFont val="Calibri"/>
      </rPr>
      <t>-a always,exit -F arch=b32 -S open -F a1&amp;0x203 -F exit=-EPERM -F auid&gt;=1000 -F auid!=unset -F key=unsuccessful-modification</t>
    </r>
    <r>
      <rPr>
        <sz val="11"/>
        <color rgb="FF000000"/>
        <rFont val="Calibri"/>
      </rPr>
      <t xml:space="preserve">
</t>
    </r>
    <r>
      <rPr>
        <sz val="11"/>
        <color rgb="FF000000"/>
        <rFont val="Calibri"/>
      </rPr>
      <t>-a always,exit -F arch=b64 -S open -F a1&amp;0x203 -F exit=-EPERM -F auid&gt;=1000 -F auid!=unset -F key=unsuccessful-modification</t>
    </r>
    <r>
      <rPr>
        <sz val="11"/>
        <color rgb="FF000000"/>
        <rFont val="Calibri"/>
      </rPr>
      <t xml:space="preserve">
</t>
    </r>
    <r>
      <rPr>
        <sz val="11"/>
        <color rgb="FF000000"/>
        <rFont val="Calibri"/>
      </rPr>
      <t>-a always,exit -F arch=b32 -S truncate,ftruncate -F exit=-EACCES -F auid&gt;=1000 -F auid!=unset -F key=unsuccessful-modification</t>
    </r>
    <r>
      <rPr>
        <sz val="11"/>
        <color rgb="FF000000"/>
        <rFont val="Calibri"/>
      </rPr>
      <t xml:space="preserve">
</t>
    </r>
    <r>
      <rPr>
        <sz val="11"/>
        <color rgb="FF000000"/>
        <rFont val="Calibri"/>
      </rPr>
      <t>-a always,exit -F arch=b64 -S truncate,ftruncate -F exit=-EACCES -F auid&gt;=1000 -F auid!=unset -F key=unsuccessful-modification</t>
    </r>
    <r>
      <rPr>
        <sz val="11"/>
        <color rgb="FF000000"/>
        <rFont val="Calibri"/>
      </rPr>
      <t xml:space="preserve">
</t>
    </r>
    <r>
      <rPr>
        <sz val="11"/>
        <color rgb="FF000000"/>
        <rFont val="Calibri"/>
      </rPr>
      <t>-a always,exit -F arch=b32 -S truncate,ftruncate -F exit=-EPERM -F auid&gt;=1000 -F auid!=unset -F key=unsuccessful-modification</t>
    </r>
    <r>
      <rPr>
        <sz val="11"/>
        <color rgb="FF000000"/>
        <rFont val="Calibri"/>
      </rPr>
      <t xml:space="preserve">
</t>
    </r>
    <r>
      <rPr>
        <sz val="11"/>
        <color rgb="FF000000"/>
        <rFont val="Calibri"/>
      </rPr>
      <t>-a always,exit -F arch=b64 -S truncate,ftruncate -F exit=-EPERM -F auid&gt;=1000 -F auid!=unset -F key=unsuccessful-modification</t>
    </r>
    <r>
      <rPr>
        <sz val="11"/>
        <color rgb="FF000000"/>
        <rFont val="Calibri"/>
      </rPr>
      <t xml:space="preserve">
</t>
    </r>
    <r>
      <rPr>
        <sz val="11"/>
        <color rgb="FF000000"/>
        <rFont val="Calibri"/>
      </rPr>
      <t>-a always,exit -F arch=b32 -S open,creat,truncate,ftruncate,openat,open_by_handle_at -F exit=-EACCES -F auid&gt;=1000 -F auid!=unset -F key=unsuccessful-access</t>
    </r>
    <r>
      <rPr>
        <sz val="11"/>
        <color rgb="FF000000"/>
        <rFont val="Calibri"/>
      </rPr>
      <t xml:space="preserve">
</t>
    </r>
    <r>
      <rPr>
        <sz val="11"/>
        <color rgb="FF000000"/>
        <rFont val="Calibri"/>
      </rPr>
      <t>-a always,exit -F arch=b64 -S open,truncate,ftruncate,creat,openat,open_by_handle_at -F exit=-EACCES -F auid&gt;=1000 -F auid!=unset -F key=unsuccessful-access</t>
    </r>
    <r>
      <rPr>
        <sz val="11"/>
        <color rgb="FF000000"/>
        <rFont val="Calibri"/>
      </rPr>
      <t xml:space="preserve">
</t>
    </r>
    <r>
      <rPr>
        <sz val="11"/>
        <color rgb="FF000000"/>
        <rFont val="Calibri"/>
      </rPr>
      <t>-a always,exit -F arch=b32 -S open,creat,truncate,ftruncate,openat,open_by_handle_at -F exit=-EPERM -F auid&gt;=1000 -F auid!=unset -F key=unsuccessful-access</t>
    </r>
    <r>
      <rPr>
        <sz val="11"/>
        <color rgb="FF000000"/>
        <rFont val="Calibri"/>
      </rPr>
      <t xml:space="preserve">
</t>
    </r>
    <r>
      <rPr>
        <sz val="11"/>
        <color rgb="FF000000"/>
        <rFont val="Calibri"/>
      </rPr>
      <t>-a always,exit -F arch=b64 -S open,truncate,ftruncate,creat,openat,open_by_handle_at -F exit=-EPERM -F auid&gt;=1000 -F auid!=unset -F key=unsuccessful-access</t>
    </r>
    <r>
      <rPr>
        <sz val="11"/>
        <color rgb="FF000000"/>
        <rFont val="Calibri"/>
      </rPr>
      <t xml:space="preserve">
</t>
    </r>
    <r>
      <rPr>
        <sz val="11"/>
        <color rgb="FF000000"/>
        <rFont val="Calibri"/>
      </rPr>
      <t>-w /etc/sudoers.d -p wa -k actions</t>
    </r>
    <r>
      <rPr>
        <sz val="11"/>
        <color rgb="FF000000"/>
        <rFont val="Calibri"/>
      </rPr>
      <t xml:space="preserve">
</t>
    </r>
    <r>
      <rPr>
        <sz val="11"/>
        <color rgb="FF000000"/>
        <rFont val="Calibri"/>
      </rPr>
      <t>-w /etc/sudoers -p wa -k actions</t>
    </r>
    <r>
      <rPr>
        <sz val="11"/>
        <color rgb="FF000000"/>
        <rFont val="Calibri"/>
      </rPr>
      <t xml:space="preserve">
</t>
    </r>
    <r>
      <rPr>
        <sz val="11"/>
        <color rgb="FF000000"/>
        <rFont val="Calibri"/>
      </rPr>
      <t>-a always,exit -F arch=b32 -S chmod -F auid&gt;=1000 -F auid!=unset -F key=perm_mod</t>
    </r>
    <r>
      <rPr>
        <sz val="11"/>
        <color rgb="FF000000"/>
        <rFont val="Calibri"/>
      </rPr>
      <t xml:space="preserve">
</t>
    </r>
    <r>
      <rPr>
        <sz val="11"/>
        <color rgb="FF000000"/>
        <rFont val="Calibri"/>
      </rPr>
      <t>-a always,exit -F arch=b64 -S chmod -F auid&gt;=1000 -F auid!=unset -F key=perm_mod</t>
    </r>
    <r>
      <rPr>
        <sz val="11"/>
        <color rgb="FF000000"/>
        <rFont val="Calibri"/>
      </rPr>
      <t xml:space="preserve">
</t>
    </r>
    <r>
      <rPr>
        <sz val="11"/>
        <color rgb="FF000000"/>
        <rFont val="Calibri"/>
      </rPr>
      <t>-a always,exit -F arch=b32 -S chown -F auid&gt;=1000 -F auid!=unset -F key=perm_mod</t>
    </r>
    <r>
      <rPr>
        <sz val="11"/>
        <color rgb="FF000000"/>
        <rFont val="Calibri"/>
      </rPr>
      <t xml:space="preserve">
</t>
    </r>
    <r>
      <rPr>
        <sz val="11"/>
        <color rgb="FF000000"/>
        <rFont val="Calibri"/>
      </rPr>
      <t>-a always,exit -F arch=b64 -S chown -F auid&gt;=1000 -F auid!=unset -F key=perm_mod</t>
    </r>
    <r>
      <rPr>
        <sz val="11"/>
        <color rgb="FF000000"/>
        <rFont val="Calibri"/>
      </rPr>
      <t xml:space="preserve">
</t>
    </r>
    <r>
      <rPr>
        <sz val="11"/>
        <color rgb="FF000000"/>
        <rFont val="Calibri"/>
      </rPr>
      <t>-a always,exit -F arch=b32 -S fchmodat -F auid&gt;=1000 -F auid!=unset -F key=perm_mod</t>
    </r>
    <r>
      <rPr>
        <sz val="11"/>
        <color rgb="FF000000"/>
        <rFont val="Calibri"/>
      </rPr>
      <t xml:space="preserve">
</t>
    </r>
    <r>
      <rPr>
        <sz val="11"/>
        <color rgb="FF000000"/>
        <rFont val="Calibri"/>
      </rPr>
      <t>-a always,exit -F arch=b64 -S fchmodat -F auid&gt;=1000 -F auid!=unset -F key=perm_mod</t>
    </r>
    <r>
      <rPr>
        <sz val="11"/>
        <color rgb="FF000000"/>
        <rFont val="Calibri"/>
      </rPr>
      <t xml:space="preserve">
</t>
    </r>
    <r>
      <rPr>
        <sz val="11"/>
        <color rgb="FF000000"/>
        <rFont val="Calibri"/>
      </rPr>
      <t>-a always,exit -F arch=b32 -S fchmod -F auid&gt;=1000 -F auid!=unset -F key=perm_mod</t>
    </r>
    <r>
      <rPr>
        <sz val="11"/>
        <color rgb="FF000000"/>
        <rFont val="Calibri"/>
      </rPr>
      <t xml:space="preserve">
</t>
    </r>
    <r>
      <rPr>
        <sz val="11"/>
        <color rgb="FF000000"/>
        <rFont val="Calibri"/>
      </rPr>
      <t>-a always,exit -F arch=b64 -S fchmod -F auid&gt;=1000 -F auid!=unset -F key=perm_mod</t>
    </r>
    <r>
      <rPr>
        <sz val="11"/>
        <color rgb="FF000000"/>
        <rFont val="Calibri"/>
      </rPr>
      <t xml:space="preserve">
</t>
    </r>
    <r>
      <rPr>
        <sz val="11"/>
        <color rgb="FF000000"/>
        <rFont val="Calibri"/>
      </rPr>
      <t>-a always,exit -F arch=b32 -S fchownat -F auid&gt;=1000 -F auid!=unset -F key=perm_mod</t>
    </r>
    <r>
      <rPr>
        <sz val="11"/>
        <color rgb="FF000000"/>
        <rFont val="Calibri"/>
      </rPr>
      <t xml:space="preserve">
</t>
    </r>
    <r>
      <rPr>
        <sz val="11"/>
        <color rgb="FF000000"/>
        <rFont val="Calibri"/>
      </rPr>
      <t>-a always,exit -F arch=b64 -S fchownat -F auid&gt;=1000 -F auid!=unset -F key=perm_mod</t>
    </r>
    <r>
      <rPr>
        <sz val="11"/>
        <color rgb="FF000000"/>
        <rFont val="Calibri"/>
      </rPr>
      <t xml:space="preserve">
</t>
    </r>
    <r>
      <rPr>
        <sz val="11"/>
        <color rgb="FF000000"/>
        <rFont val="Calibri"/>
      </rPr>
      <t>-a always,exit -F arch=b32 -S fchown -F auid&gt;=1000 -F auid!=unset -F key=perm_mod</t>
    </r>
    <r>
      <rPr>
        <sz val="11"/>
        <color rgb="FF000000"/>
        <rFont val="Calibri"/>
      </rPr>
      <t xml:space="preserve">
</t>
    </r>
    <r>
      <rPr>
        <sz val="11"/>
        <color rgb="FF000000"/>
        <rFont val="Calibri"/>
      </rPr>
      <t>-a always,exit -F arch=b64 -S fchown -F auid&gt;=1000 -F auid!=unset -F key=perm_mod</t>
    </r>
    <r>
      <rPr>
        <sz val="11"/>
        <color rgb="FF000000"/>
        <rFont val="Calibri"/>
      </rPr>
      <t xml:space="preserve">
</t>
    </r>
    <r>
      <rPr>
        <sz val="11"/>
        <color rgb="FF000000"/>
        <rFont val="Calibri"/>
      </rPr>
      <t>-a always,exit -F arch=b32 -S fremovexattr -F auid&gt;=1000 -F auid!=unset -F key=perm_mod</t>
    </r>
    <r>
      <rPr>
        <sz val="11"/>
        <color rgb="FF000000"/>
        <rFont val="Calibri"/>
      </rPr>
      <t xml:space="preserve">
</t>
    </r>
    <r>
      <rPr>
        <sz val="11"/>
        <color rgb="FF000000"/>
        <rFont val="Calibri"/>
      </rPr>
      <t>-a always,exit -F arch=b64 -S fremovexattr -F auid&gt;=1000 -F auid!=unset -F key=perm_mod</t>
    </r>
    <r>
      <rPr>
        <sz val="11"/>
        <color rgb="FF000000"/>
        <rFont val="Calibri"/>
      </rPr>
      <t xml:space="preserve">
</t>
    </r>
    <r>
      <rPr>
        <sz val="11"/>
        <color rgb="FF000000"/>
        <rFont val="Calibri"/>
      </rPr>
      <t>-a always,exit -F arch=b32 -S fsetxattr -F auid&gt;=1000 -F auid!=unset -F key=perm_mod</t>
    </r>
    <r>
      <rPr>
        <sz val="11"/>
        <color rgb="FF000000"/>
        <rFont val="Calibri"/>
      </rPr>
      <t xml:space="preserve">
</t>
    </r>
    <r>
      <rPr>
        <sz val="11"/>
        <color rgb="FF000000"/>
        <rFont val="Calibri"/>
      </rPr>
      <t>-a always,exit -F arch=b64 -S fsetxattr -F auid&gt;=1000 -F auid!=unset -F key=perm_mod</t>
    </r>
    <r>
      <rPr>
        <sz val="11"/>
        <color rgb="FF000000"/>
        <rFont val="Calibri"/>
      </rPr>
      <t xml:space="preserve">
</t>
    </r>
    <r>
      <rPr>
        <sz val="11"/>
        <color rgb="FF000000"/>
        <rFont val="Calibri"/>
      </rPr>
      <t>-a always,exit -F arch=b32 -S delete_module -F key=module-change</t>
    </r>
    <r>
      <rPr>
        <sz val="11"/>
        <color rgb="FF000000"/>
        <rFont val="Calibri"/>
      </rPr>
      <t xml:space="preserve">
</t>
    </r>
    <r>
      <rPr>
        <sz val="11"/>
        <color rgb="FF000000"/>
        <rFont val="Calibri"/>
      </rPr>
      <t>-a always,exit -F arch=b64 -S delete_module -F key=module-change</t>
    </r>
    <r>
      <rPr>
        <sz val="11"/>
        <color rgb="FF000000"/>
        <rFont val="Calibri"/>
      </rPr>
      <t xml:space="preserve">
</t>
    </r>
    <r>
      <rPr>
        <sz val="11"/>
        <color rgb="FF000000"/>
        <rFont val="Calibri"/>
      </rPr>
      <t>-a always,exit -F arch=b32 -S finit_module -F key=module-change</t>
    </r>
    <r>
      <rPr>
        <sz val="11"/>
        <color rgb="FF000000"/>
        <rFont val="Calibri"/>
      </rPr>
      <t xml:space="preserve">
</t>
    </r>
    <r>
      <rPr>
        <sz val="11"/>
        <color rgb="FF000000"/>
        <rFont val="Calibri"/>
      </rPr>
      <t>-a always,exit -F arch=b64 -S finit_module -F key=module-change</t>
    </r>
    <r>
      <rPr>
        <sz val="11"/>
        <color rgb="FF000000"/>
        <rFont val="Calibri"/>
      </rPr>
      <t xml:space="preserve">
</t>
    </r>
    <r>
      <rPr>
        <sz val="11"/>
        <color rgb="FF000000"/>
        <rFont val="Calibri"/>
      </rPr>
      <t>-a always,exit -F arch=b32 -S init_module -F key=module-change</t>
    </r>
    <r>
      <rPr>
        <sz val="11"/>
        <color rgb="FF000000"/>
        <rFont val="Calibri"/>
      </rPr>
      <t xml:space="preserve">
</t>
    </r>
    <r>
      <rPr>
        <sz val="11"/>
        <color rgb="FF000000"/>
        <rFont val="Calibri"/>
      </rPr>
      <t>-a always,exit -F arch=b64 -S init_module -F key=module-change</t>
    </r>
    <r>
      <rPr>
        <sz val="11"/>
        <color rgb="FF000000"/>
        <rFont val="Calibri"/>
      </rPr>
      <t xml:space="preserve">
</t>
    </r>
    <r>
      <rPr>
        <sz val="11"/>
        <color rgb="FF000000"/>
        <rFont val="Calibri"/>
      </rPr>
      <t>-w /var/log/lastlog -p wa -k logins</t>
    </r>
    <r>
      <rPr>
        <sz val="11"/>
        <color rgb="FF000000"/>
        <rFont val="Calibri"/>
      </rPr>
      <t xml:space="preserve">
</t>
    </r>
    <r>
      <rPr>
        <sz val="11"/>
        <color rgb="FF000000"/>
        <rFont val="Calibri"/>
      </rPr>
      <t>-a always,exit -F arch=b32 -S lchown -F auid&gt;=1000 -F auid!=unset -F key=perm_mod</t>
    </r>
    <r>
      <rPr>
        <sz val="11"/>
        <color rgb="FF000000"/>
        <rFont val="Calibri"/>
      </rPr>
      <t xml:space="preserve">
</t>
    </r>
    <r>
      <rPr>
        <sz val="11"/>
        <color rgb="FF000000"/>
        <rFont val="Calibri"/>
      </rPr>
      <t>-a always,exit -F arch=b64 -S lchown -F auid&gt;=1000 -F auid!=unset -F key=perm_mod</t>
    </r>
    <r>
      <rPr>
        <sz val="11"/>
        <color rgb="FF000000"/>
        <rFont val="Calibri"/>
      </rPr>
      <t xml:space="preserve">
</t>
    </r>
    <r>
      <rPr>
        <sz val="11"/>
        <color rgb="FF000000"/>
        <rFont val="Calibri"/>
      </rPr>
      <t>-a always,exit -F arch=b32 -S lremovexattr -F auid&gt;=1000 -F auid!=unset -F key=perm_mod</t>
    </r>
    <r>
      <rPr>
        <sz val="11"/>
        <color rgb="FF000000"/>
        <rFont val="Calibri"/>
      </rPr>
      <t xml:space="preserve">
</t>
    </r>
    <r>
      <rPr>
        <sz val="11"/>
        <color rgb="FF000000"/>
        <rFont val="Calibri"/>
      </rPr>
      <t>-a always,exit -F arch=b64 -S lremovexattr -F auid&gt;=1000 -F auid!=unset -F key=perm_mod</t>
    </r>
    <r>
      <rPr>
        <sz val="11"/>
        <color rgb="FF000000"/>
        <rFont val="Calibri"/>
      </rPr>
      <t xml:space="preserve">
</t>
    </r>
    <r>
      <rPr>
        <sz val="11"/>
        <color rgb="FF000000"/>
        <rFont val="Calibri"/>
      </rPr>
      <t>-a always,exit -F arch=b32 -S lsetxattr -F auid&gt;=1000 -F auid!=unset -F key=perm_mod</t>
    </r>
    <r>
      <rPr>
        <sz val="11"/>
        <color rgb="FF000000"/>
        <rFont val="Calibri"/>
      </rPr>
      <t xml:space="preserve">
</t>
    </r>
    <r>
      <rPr>
        <sz val="11"/>
        <color rgb="FF000000"/>
        <rFont val="Calibri"/>
      </rPr>
      <t>-a always,exit -F arch=b64 -S lsetxattr -F auid&gt;=1000 -F auid!=unset -F key=perm_mod</t>
    </r>
    <r>
      <rPr>
        <sz val="11"/>
        <color rgb="FF000000"/>
        <rFont val="Calibri"/>
      </rPr>
      <t xml:space="preserve">
</t>
    </r>
    <r>
      <rPr>
        <sz val="11"/>
        <color rgb="FF000000"/>
        <rFont val="Calibri"/>
      </rPr>
      <t>-a always,exit -F arch=b32 -S mount -F auid&gt;=1000 -F auid!=unset -F key=perm_mod</t>
    </r>
    <r>
      <rPr>
        <sz val="11"/>
        <color rgb="FF000000"/>
        <rFont val="Calibri"/>
      </rPr>
      <t xml:space="preserve">
</t>
    </r>
    <r>
      <rPr>
        <sz val="11"/>
        <color rgb="FF000000"/>
        <rFont val="Calibri"/>
      </rPr>
      <t>-a always,exit -F arch=b64 -S mount -F auid&gt;=1000 -F auid!=unset -F key=perm_mod</t>
    </r>
    <r>
      <rPr>
        <sz val="11"/>
        <color rgb="FF000000"/>
        <rFont val="Calibri"/>
      </rPr>
      <t xml:space="preserve">
</t>
    </r>
    <r>
      <rPr>
        <sz val="11"/>
        <color rgb="FF000000"/>
        <rFont val="Calibri"/>
      </rPr>
      <t>-a always,exit -F arch=b32 -S removexattr -F auid&gt;=1000 -F auid!=unset -F key=perm_mod</t>
    </r>
    <r>
      <rPr>
        <sz val="11"/>
        <color rgb="FF000000"/>
        <rFont val="Calibri"/>
      </rPr>
      <t xml:space="preserve">
</t>
    </r>
    <r>
      <rPr>
        <sz val="11"/>
        <color rgb="FF000000"/>
        <rFont val="Calibri"/>
      </rPr>
      <t>-a always,exit -F arch=b64 -S removexattr -F auid&gt;=1000 -F auid!=unset -F key=perm_mod</t>
    </r>
    <r>
      <rPr>
        <sz val="11"/>
        <color rgb="FF000000"/>
        <rFont val="Calibri"/>
      </rPr>
      <t xml:space="preserve">
</t>
    </r>
    <r>
      <rPr>
        <sz val="11"/>
        <color rgb="FF000000"/>
        <rFont val="Calibri"/>
      </rPr>
      <t>-a always,exit -F arch=b32 -S renameat -F auid&gt;=1000 -F auid!=unset -F key=delete</t>
    </r>
    <r>
      <rPr>
        <sz val="11"/>
        <color rgb="FF000000"/>
        <rFont val="Calibri"/>
      </rPr>
      <t xml:space="preserve">
</t>
    </r>
    <r>
      <rPr>
        <sz val="11"/>
        <color rgb="FF000000"/>
        <rFont val="Calibri"/>
      </rPr>
      <t>-a always,exit -F arch=b64 -S renameat -F auid&gt;=1000 -F auid!=unset -F key=delete</t>
    </r>
    <r>
      <rPr>
        <sz val="11"/>
        <color rgb="FF000000"/>
        <rFont val="Calibri"/>
      </rPr>
      <t xml:space="preserve">
</t>
    </r>
    <r>
      <rPr>
        <sz val="11"/>
        <color rgb="FF000000"/>
        <rFont val="Calibri"/>
      </rPr>
      <t>-a always,exit -F arch=b32 -S rename -F auid&gt;=1000 -F auid!=unset -F key=delete</t>
    </r>
    <r>
      <rPr>
        <sz val="11"/>
        <color rgb="FF000000"/>
        <rFont val="Calibri"/>
      </rPr>
      <t xml:space="preserve">
</t>
    </r>
    <r>
      <rPr>
        <sz val="11"/>
        <color rgb="FF000000"/>
        <rFont val="Calibri"/>
      </rPr>
      <t>-a always,exit -F arch=b64 -S rename -F auid&gt;=1000 -F auid!=unset -F key=delete</t>
    </r>
    <r>
      <rPr>
        <sz val="11"/>
        <color rgb="FF000000"/>
        <rFont val="Calibri"/>
      </rPr>
      <t xml:space="preserve">
</t>
    </r>
    <r>
      <rPr>
        <sz val="11"/>
        <color rgb="FF000000"/>
        <rFont val="Calibri"/>
      </rPr>
      <t>-a always,exit -F arch=b32 -S rmdir -F auid&gt;=1000 -F auid!=unset -F key=delete</t>
    </r>
    <r>
      <rPr>
        <sz val="11"/>
        <color rgb="FF000000"/>
        <rFont val="Calibri"/>
      </rPr>
      <t xml:space="preserve">
</t>
    </r>
    <r>
      <rPr>
        <sz val="11"/>
        <color rgb="FF000000"/>
        <rFont val="Calibri"/>
      </rPr>
      <t>-a always,exit -F arch=b64 -S rmdir -F auid&gt;=1000 -F auid!=unset -F key=delete</t>
    </r>
    <r>
      <rPr>
        <sz val="11"/>
        <color rgb="FF000000"/>
        <rFont val="Calibri"/>
      </rPr>
      <t xml:space="preserve">
</t>
    </r>
    <r>
      <rPr>
        <sz val="11"/>
        <color rgb="FF000000"/>
        <rFont val="Calibri"/>
      </rPr>
      <t>-a always,exit -F arch=b32 -S setxattr -F auid&gt;=1000 -F auid!=unset -F key=perm_mod</t>
    </r>
    <r>
      <rPr>
        <sz val="11"/>
        <color rgb="FF000000"/>
        <rFont val="Calibri"/>
      </rPr>
      <t xml:space="preserve">
</t>
    </r>
    <r>
      <rPr>
        <sz val="11"/>
        <color rgb="FF000000"/>
        <rFont val="Calibri"/>
      </rPr>
      <t>-a always,exit -F arch=b64 -S setxattr -F auid&gt;=1000 -F auid!=unset -F key=perm_mod</t>
    </r>
    <r>
      <rPr>
        <sz val="11"/>
        <color rgb="FF000000"/>
        <rFont val="Calibri"/>
      </rPr>
      <t xml:space="preserve">
</t>
    </r>
    <r>
      <rPr>
        <sz val="11"/>
        <color rgb="FF000000"/>
        <rFont val="Calibri"/>
      </rPr>
      <t>-a always,exit -F arch=b32 -S umount2 -F auid&gt;=1000 -F auid!=unset -F key=perm_mod</t>
    </r>
    <r>
      <rPr>
        <sz val="11"/>
        <color rgb="FF000000"/>
        <rFont val="Calibri"/>
      </rPr>
      <t xml:space="preserve">
</t>
    </r>
    <r>
      <rPr>
        <sz val="11"/>
        <color rgb="FF000000"/>
        <rFont val="Calibri"/>
      </rPr>
      <t>-a always,exit -F arch=b64 -S umount2 -F auid&gt;=1000 -F auid!=unset -F key=perm_mod</t>
    </r>
    <r>
      <rPr>
        <sz val="11"/>
        <color rgb="FF000000"/>
        <rFont val="Calibri"/>
      </rPr>
      <t xml:space="preserve">
</t>
    </r>
    <r>
      <rPr>
        <sz val="11"/>
        <color rgb="FF000000"/>
        <rFont val="Calibri"/>
      </rPr>
      <t>If the above rules are not listed on each node, this is a finding.</t>
    </r>
  </si>
  <si>
    <t>V-257576</t>
  </si>
  <si>
    <r>
      <rPr>
        <sz val="11"/>
        <rFont val="Calibri"/>
      </rPr>
      <t>OpenShift must generate audit records when successful/unsuccessful attempts to modify security objects occur.</t>
    </r>
  </si>
  <si>
    <r>
      <rPr>
        <sz val="11"/>
        <color rgb="FF000000"/>
        <rFont val="Calibri"/>
      </rPr>
      <t>Apply the machine config to configure modification audit records by executing the following:</t>
    </r>
    <r>
      <rPr>
        <sz val="11"/>
        <color rgb="FF000000"/>
        <rFont val="Calibri"/>
      </rPr>
      <t xml:space="preserve">
</t>
    </r>
    <r>
      <rPr>
        <sz val="11"/>
        <color rgb="FF000000"/>
        <rFont val="Calibri"/>
      </rPr>
      <t>for mcpool in $(oc get mcp -oname | sed "s:.*/::" ); do</t>
    </r>
    <r>
      <rPr>
        <sz val="11"/>
        <color rgb="FF000000"/>
        <rFont val="Calibri"/>
      </rPr>
      <t xml:space="preserve">
</t>
    </r>
    <r>
      <rPr>
        <sz val="11"/>
        <color rgb="FF000000"/>
        <rFont val="Calibri"/>
      </rPr>
      <t>echo "apiVersion: machineconfiguration.openshift.io/v1</t>
    </r>
    <r>
      <rPr>
        <sz val="11"/>
        <color rgb="FF000000"/>
        <rFont val="Calibri"/>
      </rPr>
      <t xml:space="preserve">
</t>
    </r>
    <r>
      <rPr>
        <sz val="11"/>
        <color rgb="FF000000"/>
        <rFont val="Calibri"/>
      </rPr>
      <t>kind: MachineConfig</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75-modify-categories-secobjects-rules-$mcpool</t>
    </r>
    <r>
      <rPr>
        <sz val="11"/>
        <color rgb="FF000000"/>
        <rFont val="Calibri"/>
      </rPr>
      <t xml:space="preserve">
</t>
    </r>
    <r>
      <rPr>
        <sz val="11"/>
        <color rgb="FF000000"/>
        <rFont val="Calibri"/>
      </rPr>
      <t xml:space="preserve">  labels:</t>
    </r>
    <r>
      <rPr>
        <sz val="11"/>
        <color rgb="FF000000"/>
        <rFont val="Calibri"/>
      </rPr>
      <t xml:space="preserve">
</t>
    </r>
    <r>
      <rPr>
        <sz val="11"/>
        <color rgb="FF000000"/>
        <rFont val="Calibri"/>
      </rPr>
      <t xml:space="preserve">    machineconfiguration.openshift.io/role: $mcpool</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config:</t>
    </r>
    <r>
      <rPr>
        <sz val="11"/>
        <color rgb="FF000000"/>
        <rFont val="Calibri"/>
      </rPr>
      <t xml:space="preserve">
</t>
    </r>
    <r>
      <rPr>
        <sz val="11"/>
        <color rgb="FF000000"/>
        <rFont val="Calibri"/>
      </rPr>
      <t xml:space="preserve">    ignition:</t>
    </r>
    <r>
      <rPr>
        <sz val="11"/>
        <color rgb="FF000000"/>
        <rFont val="Calibri"/>
      </rPr>
      <t xml:space="preserve">
</t>
    </r>
    <r>
      <rPr>
        <sz val="11"/>
        <color rgb="FF000000"/>
        <rFont val="Calibri"/>
      </rPr>
      <t xml:space="preserve">      version: 3.1.0</t>
    </r>
    <r>
      <rPr>
        <sz val="11"/>
        <color rgb="FF000000"/>
        <rFont val="Calibri"/>
      </rPr>
      <t xml:space="preserve">
</t>
    </r>
    <r>
      <rPr>
        <sz val="11"/>
        <color rgb="FF000000"/>
        <rFont val="Calibri"/>
      </rPr>
      <t xml:space="preserve">    storage:</t>
    </r>
    <r>
      <rPr>
        <sz val="11"/>
        <color rgb="FF000000"/>
        <rFont val="Calibri"/>
      </rPr>
      <t xml:space="preserve">
</t>
    </r>
    <r>
      <rPr>
        <sz val="11"/>
        <color rgb="FF000000"/>
        <rFont val="Calibri"/>
      </rPr>
      <t xml:space="preserve">      files:</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data:,-a%20always%2Cexit%20-F%20arch%3Db32%20-S%20fremovexattr%20-F%20auid%3E%3D1000%20-F%20auid%21%3Dunset%20-F%20key%3Dperm_mod%0A-a%20always%2Cexit%20-F%20arch%3Db64%20-S%20fremovexattr%20-F%20auid%3E%3D1000%20-F%20auid%21%3Dunset%20-F%20key%3Dperm_mod%0A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/etc/audit/rules.d/75-fremovexattr_dac_modification.rules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data:,-a%20always%2Cexit%20-F%20arch%3Db32%20-S%20fsetxattr%20-F%20auid%3E%3D1000%20-F%20auid%21%3Dunset%20-F%20key%3Dperm_mod%0A-a%20always%2Cexit%20-F%20arch%3Db64%20-S%20fsetxattr%20-F%20auid%3E%3D1000%20-F%20auid%21%3Dunset%20-F%20key%3Dperm_mod%0A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/etc/audit/rules.d/75-fsetxattr_dac_modification.rules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data:,-a%20always%2Cexit%20-F%20arch%3Db32%20-S%20lremovexattr%20-F%20auid%3E%3D1000%20-F%20auid%21%3Dunset%20-F%20key%3Dperm_mod%0A-a%20always%2Cexit%20-F%20arch%3Db64%20-S%20lremovexattr%20-F%20auid%3E%3D1000%20-F%20auid%21%3Dunset%20-F%20key%3Dperm_mod%0A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/etc/audit/rules.d/75-lremovexattr_dac_modification.rules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data:,-a%20always%2Cexit%20-F%20arch%3Db32%20-S%20lsetxattr%20-F%20auid%3E%3D1000%20-F%20auid%21%3Dunset%20-F%20key%3Dperm_mod%0A-a%20always%2Cexit%20-F%20arch%3Db64%20-S%20lsetxattr%20-F%20auid%3E%3D1000%20-F%20auid%21%3Dunset%20-F%20key%3Dperm_mod%0A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/etc/audit/rules.d/75-lsetxattr_dac_modification.rules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data:,-a%20always%2Cexit%20-F%20arch%3Db32%20-S%20removexattr%20-F%20auid%3E%3D1000%20-F%20auid%21%3Dunset%20-F%20key%3Dperm_mod%0A-a%20always%2Cexit%20-F%20arch%3Db64%20-S%20removexattr%20-F%20auid%3E%3D1000%20-F%20auid%21%3Dunset%20-F%20key%3Dperm_mod%0A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/etc/audit/rules.d/75-removexattr_dac_modification.rules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data:,-a%20always%2Cexit%20-F%20path%3D/usr/bin/chcon%20-F%20auid%3E%3D1000%20-F%20auid%21%3Dunset%20-F%20key%3Dprivileged%0A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/etc/audit/rules.d/75-usr_bin_chcon_execution.rules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data:,-a%20always%2Cexit%20-F%20path%3D/usr/sbin/restorecon%20-F%20auid%3E%3D1000%20-F%20auid%21%3Dunset%20-F%20key%3Dprivileged%0A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/etc/audit/rules.d/75-usr_sbin_restorecon_execution.rules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data:,-a%20always%2Cexit%20-F%20path%3D/usr/sbin/semanage%20-F%20auid%3E%3D1000%20-F%20auid%21%3Dunset%20-F%20key%3Dprivileged%0A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/etc/audit/rules.d/75-usr_sbin_semanage_execution.rules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data:,-a%20always%2Cexit%20-F%20path%3D/usr/sbin/setfiles%20-F%20auid%3E%3D1000%20-F%20auid%21%3Dunset%20-F%20key%3Dprivileged%0A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/etc/audit/rules.d/75-usr_sbin_setfiles_execution.rules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data:,-a%20always%2Cexit%20-F%20path%3D/usr/sbin/setsebool%20-F%20auid%3E%3D1000%20-F%20auid%21%3Dunset%20-F%20key%3Dprivileged%0A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/etc/audit/rules.d/75-usr_sbin_setsebool_execution.rules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 oc apply -f -</t>
    </r>
    <r>
      <rPr>
        <sz val="11"/>
        <color rgb="FF000000"/>
        <rFont val="Calibri"/>
      </rPr>
      <t xml:space="preserve">
</t>
    </r>
    <r>
      <rPr>
        <sz val="11"/>
        <color rgb="FF000000"/>
        <rFont val="Calibri"/>
      </rPr>
      <t>done</t>
    </r>
  </si>
  <si>
    <r>
      <rPr>
        <sz val="11"/>
        <color rgb="FF000000"/>
        <rFont val="Calibri"/>
      </rPr>
      <t>OpenShift and its components must generate audit records when modifying security objects. All the components must use the same standard so that the events can be tied together to understand what took place within the overall container platform. This must establish, correlate, and help assist with investigating the events relating to an incident, or identify those responsible.</t>
    </r>
    <r>
      <rPr>
        <sz val="11"/>
        <color rgb="FF000000"/>
        <rFont val="Calibri"/>
      </rPr>
      <t xml:space="preserve">
</t>
    </r>
    <r>
      <rPr>
        <sz val="11"/>
        <color rgb="FF000000"/>
        <rFont val="Calibri"/>
      </rPr>
      <t>Without audit record generation, unauthorized users can modify security objects unknowingly for malicious intent creating vulnerabilities within the container platform.</t>
    </r>
    <r>
      <rPr>
        <sz val="11"/>
        <color rgb="FF000000"/>
        <rFont val="Calibri"/>
      </rPr>
      <t xml:space="preserve">
</t>
    </r>
    <r>
      <rPr>
        <sz val="11"/>
        <color rgb="FF000000"/>
        <rFont val="Calibri"/>
      </rPr>
      <t>Satisfies: SRG-APP-000496-CTR-001240, SRG-APP-000497-CTR-001245, SRG-APP-000498-CTR-001250</t>
    </r>
  </si>
  <si>
    <r>
      <rPr>
        <sz val="11"/>
        <color rgb="FF000000"/>
        <rFont val="Calibri"/>
      </rPr>
      <t>Verify the Red Hat Enterprise Linux CoreOS (RHCOS) is configured to generate audit records when successful/unsuccessful attempts to modify security categories or objects occur by executing the following: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for node in $(oc get node -oname); do oc debug $node -- chroot /host /bin/bash -c 'echo -n "$HOSTNAME "; grep -e "key=privileged" -e "key=perm_mod" /etc/audit/audit.rules' 2&gt;/dev/null; done</t>
    </r>
    <r>
      <rPr>
        <sz val="11"/>
        <color rgb="FF000000"/>
        <rFont val="Calibri"/>
      </rPr>
      <t xml:space="preserve">
</t>
    </r>
    <r>
      <rPr>
        <sz val="11"/>
        <color rgb="FF000000"/>
        <rFont val="Calibri"/>
      </rPr>
      <t>Confirm the following rules exist on each node:</t>
    </r>
    <r>
      <rPr>
        <sz val="11"/>
        <color rgb="FF000000"/>
        <rFont val="Calibri"/>
      </rPr>
      <t xml:space="preserve">
</t>
    </r>
    <r>
      <rPr>
        <sz val="11"/>
        <color rgb="FF000000"/>
        <rFont val="Calibri"/>
      </rPr>
      <t>-a always,exit -F arch=b64 -S fremovexattr -F auid&gt;=1000 -F auid!=unset -F key=perm_mod</t>
    </r>
    <r>
      <rPr>
        <sz val="11"/>
        <color rgb="FF000000"/>
        <rFont val="Calibri"/>
      </rPr>
      <t xml:space="preserve">
</t>
    </r>
    <r>
      <rPr>
        <sz val="11"/>
        <color rgb="FF000000"/>
        <rFont val="Calibri"/>
      </rPr>
      <t>-a always,exit -F arch=b32 -S fsetxattr -F auid&gt;=1000 -F auid!=unset -F key=perm_mod</t>
    </r>
    <r>
      <rPr>
        <sz val="11"/>
        <color rgb="FF000000"/>
        <rFont val="Calibri"/>
      </rPr>
      <t xml:space="preserve">
</t>
    </r>
    <r>
      <rPr>
        <sz val="11"/>
        <color rgb="FF000000"/>
        <rFont val="Calibri"/>
      </rPr>
      <t>-a always,exit -F arch=b64 -S fsetxattr -F auid&gt;=1000 -F auid!=unset -F key=perm_mod</t>
    </r>
    <r>
      <rPr>
        <sz val="11"/>
        <color rgb="FF000000"/>
        <rFont val="Calibri"/>
      </rPr>
      <t xml:space="preserve">
</t>
    </r>
    <r>
      <rPr>
        <sz val="11"/>
        <color rgb="FF000000"/>
        <rFont val="Calibri"/>
      </rPr>
      <t>-a always,exit -F arch=b32 -S lremovexattr -F auid&gt;=1000 -F auid!=unset -F key=perm_mod</t>
    </r>
    <r>
      <rPr>
        <sz val="11"/>
        <color rgb="FF000000"/>
        <rFont val="Calibri"/>
      </rPr>
      <t xml:space="preserve">
</t>
    </r>
    <r>
      <rPr>
        <sz val="11"/>
        <color rgb="FF000000"/>
        <rFont val="Calibri"/>
      </rPr>
      <t>-a always,exit -F arch=b64 -S lremovexattr -F auid&gt;=1000 -F auid!=unset -F key=perm_mod</t>
    </r>
    <r>
      <rPr>
        <sz val="11"/>
        <color rgb="FF000000"/>
        <rFont val="Calibri"/>
      </rPr>
      <t xml:space="preserve">
</t>
    </r>
    <r>
      <rPr>
        <sz val="11"/>
        <color rgb="FF000000"/>
        <rFont val="Calibri"/>
      </rPr>
      <t>-a always,exit -F arch=b32 -S lsetxattr -F auid&gt;=1000 -F auid!=unset -F key=perm_mod</t>
    </r>
    <r>
      <rPr>
        <sz val="11"/>
        <color rgb="FF000000"/>
        <rFont val="Calibri"/>
      </rPr>
      <t xml:space="preserve">
</t>
    </r>
    <r>
      <rPr>
        <sz val="11"/>
        <color rgb="FF000000"/>
        <rFont val="Calibri"/>
      </rPr>
      <t>-a always,exit -F arch=b64 -S lsetxattr -F auid&gt;=1000 -F auid!=unset -F key=perm_mod</t>
    </r>
    <r>
      <rPr>
        <sz val="11"/>
        <color rgb="FF000000"/>
        <rFont val="Calibri"/>
      </rPr>
      <t xml:space="preserve">
</t>
    </r>
    <r>
      <rPr>
        <sz val="11"/>
        <color rgb="FF000000"/>
        <rFont val="Calibri"/>
      </rPr>
      <t>-a always,exit -F arch=b32 -S removexattr -F auid&gt;=1000 -F auid!=unset -F key=perm_mod</t>
    </r>
    <r>
      <rPr>
        <sz val="11"/>
        <color rgb="FF000000"/>
        <rFont val="Calibri"/>
      </rPr>
      <t xml:space="preserve">
</t>
    </r>
    <r>
      <rPr>
        <sz val="11"/>
        <color rgb="FF000000"/>
        <rFont val="Calibri"/>
      </rPr>
      <t>-a always,exit -F arch=b64 -S removexattr -F auid&gt;=1000 -F auid!=unset -F key=perm_mod</t>
    </r>
    <r>
      <rPr>
        <sz val="11"/>
        <color rgb="FF000000"/>
        <rFont val="Calibri"/>
      </rPr>
      <t xml:space="preserve">
</t>
    </r>
    <r>
      <rPr>
        <sz val="11"/>
        <color rgb="FF000000"/>
        <rFont val="Calibri"/>
      </rPr>
      <t>-a always,exit -F path=/usr/bin/chcon -F auid&gt;=1000 -F auid!=unset -F key=privileged</t>
    </r>
    <r>
      <rPr>
        <sz val="11"/>
        <color rgb="FF000000"/>
        <rFont val="Calibri"/>
      </rPr>
      <t xml:space="preserve">
</t>
    </r>
    <r>
      <rPr>
        <sz val="11"/>
        <color rgb="FF000000"/>
        <rFont val="Calibri"/>
      </rPr>
      <t>-a always,exit -F path=/usr/sbin/restorecon -F auid&gt;=1000 -F auid!=unset -F key=privileged</t>
    </r>
    <r>
      <rPr>
        <sz val="11"/>
        <color rgb="FF000000"/>
        <rFont val="Calibri"/>
      </rPr>
      <t xml:space="preserve">
</t>
    </r>
    <r>
      <rPr>
        <sz val="11"/>
        <color rgb="FF000000"/>
        <rFont val="Calibri"/>
      </rPr>
      <t>-a always,exit -F path=/usr/sbin/semanage -F auid&gt;=1000 -F auid!=unset -F key=privileged</t>
    </r>
    <r>
      <rPr>
        <sz val="11"/>
        <color rgb="FF000000"/>
        <rFont val="Calibri"/>
      </rPr>
      <t xml:space="preserve">
</t>
    </r>
    <r>
      <rPr>
        <sz val="11"/>
        <color rgb="FF000000"/>
        <rFont val="Calibri"/>
      </rPr>
      <t>-a always,exit -F path=/usr/sbin/setfiles -F auid&gt;=1000 -F auid!=unset -F key=privileged</t>
    </r>
    <r>
      <rPr>
        <sz val="11"/>
        <color rgb="FF000000"/>
        <rFont val="Calibri"/>
      </rPr>
      <t xml:space="preserve">
</t>
    </r>
    <r>
      <rPr>
        <sz val="11"/>
        <color rgb="FF000000"/>
        <rFont val="Calibri"/>
      </rPr>
      <t>-a always,exit -F path=/usr/sbin/setsebool -F auid&gt;=1000 -F auid!=unset -F key=privileged</t>
    </r>
    <r>
      <rPr>
        <sz val="11"/>
        <color rgb="FF000000"/>
        <rFont val="Calibri"/>
      </rPr>
      <t xml:space="preserve">
</t>
    </r>
    <r>
      <rPr>
        <sz val="11"/>
        <color rgb="FF000000"/>
        <rFont val="Calibri"/>
      </rPr>
      <t>If the above rules are not listed on each node, this is a finding.</t>
    </r>
  </si>
  <si>
    <t>V-257577</t>
  </si>
  <si>
    <r>
      <rPr>
        <sz val="11"/>
        <rFont val="Calibri"/>
      </rPr>
      <t>OpenShift must generate audit records when successful/unsuccessful attempts to delete privileges occur.</t>
    </r>
  </si>
  <si>
    <r>
      <rPr>
        <sz val="11"/>
        <color rgb="FF000000"/>
        <rFont val="Calibri"/>
      </rPr>
      <t>Apply the machine config to generate audit records when successful/unsuccessful attempts to delete security privileges by executing the following:</t>
    </r>
    <r>
      <rPr>
        <sz val="11"/>
        <color rgb="FF000000"/>
        <rFont val="Calibri"/>
      </rPr>
      <t xml:space="preserve">
</t>
    </r>
    <r>
      <rPr>
        <sz val="11"/>
        <color rgb="FF000000"/>
        <rFont val="Calibri"/>
      </rPr>
      <t>for mcpool in $(oc get mcp -oname | sed "s:.*/::" ); do</t>
    </r>
    <r>
      <rPr>
        <sz val="11"/>
        <color rgb="FF000000"/>
        <rFont val="Calibri"/>
      </rPr>
      <t xml:space="preserve">
</t>
    </r>
    <r>
      <rPr>
        <sz val="11"/>
        <color rgb="FF000000"/>
        <rFont val="Calibri"/>
      </rPr>
      <t>echo "apiVersion: machineconfiguration.openshift.io/v1</t>
    </r>
    <r>
      <rPr>
        <sz val="11"/>
        <color rgb="FF000000"/>
        <rFont val="Calibri"/>
      </rPr>
      <t xml:space="preserve">
</t>
    </r>
    <r>
      <rPr>
        <sz val="11"/>
        <color rgb="FF000000"/>
        <rFont val="Calibri"/>
      </rPr>
      <t>kind: MachineConfig</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75-delete-privileges-rules-$mcpool</t>
    </r>
    <r>
      <rPr>
        <sz val="11"/>
        <color rgb="FF000000"/>
        <rFont val="Calibri"/>
      </rPr>
      <t xml:space="preserve">
</t>
    </r>
    <r>
      <rPr>
        <sz val="11"/>
        <color rgb="FF000000"/>
        <rFont val="Calibri"/>
      </rPr>
      <t xml:space="preserve">  labels:</t>
    </r>
    <r>
      <rPr>
        <sz val="11"/>
        <color rgb="FF000000"/>
        <rFont val="Calibri"/>
      </rPr>
      <t xml:space="preserve">
</t>
    </r>
    <r>
      <rPr>
        <sz val="11"/>
        <color rgb="FF000000"/>
        <rFont val="Calibri"/>
      </rPr>
      <t xml:space="preserve">    machineconfiguration.openshift.io/role: $mcpool</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config:</t>
    </r>
    <r>
      <rPr>
        <sz val="11"/>
        <color rgb="FF000000"/>
        <rFont val="Calibri"/>
      </rPr>
      <t xml:space="preserve">
</t>
    </r>
    <r>
      <rPr>
        <sz val="11"/>
        <color rgb="FF000000"/>
        <rFont val="Calibri"/>
      </rPr>
      <t xml:space="preserve">    ignition:</t>
    </r>
    <r>
      <rPr>
        <sz val="11"/>
        <color rgb="FF000000"/>
        <rFont val="Calibri"/>
      </rPr>
      <t xml:space="preserve">
</t>
    </r>
    <r>
      <rPr>
        <sz val="11"/>
        <color rgb="FF000000"/>
        <rFont val="Calibri"/>
      </rPr>
      <t xml:space="preserve">      version: 3.1.0</t>
    </r>
    <r>
      <rPr>
        <sz val="11"/>
        <color rgb="FF000000"/>
        <rFont val="Calibri"/>
      </rPr>
      <t xml:space="preserve">
</t>
    </r>
    <r>
      <rPr>
        <sz val="11"/>
        <color rgb="FF000000"/>
        <rFont val="Calibri"/>
      </rPr>
      <t xml:space="preserve">    storage:</t>
    </r>
    <r>
      <rPr>
        <sz val="11"/>
        <color rgb="FF000000"/>
        <rFont val="Calibri"/>
      </rPr>
      <t xml:space="preserve">
</t>
    </r>
    <r>
      <rPr>
        <sz val="11"/>
        <color rgb="FF000000"/>
        <rFont val="Calibri"/>
      </rPr>
      <t xml:space="preserve">      files:</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data:,-a%20always%2Cexit%20-F%20arch%3Db32%20-S%20chmod%20-F%20auid%3E%3D1000%20-F%20auid%21%3Dunset%20-F%20key%3Dperm_mod%0A-a%20always%2Cexit%20-F%20arch%3Db64%20-S%20chmod%20-F%20auid%3E%3D1000%20-F%20auid%21%3Dunset%20-F%20key%3Dperm_mod%0A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/etc/audit/rules.d/75-chmod_dac_modification.rules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data:,-a%20always%2Cexit%20-F%20arch%3Db32%20-S%20chown%20-F%20auid%3E%3D1000%20-F%20auid%21%3Dunset%20-F%20key%3Dperm_mod%0A-a%20always%2Cexit%20-F%20arch%3Db64%20-S%20chown%20-F%20auid%3E%3D1000%20-F%20auid%21%3Dunset%20-F%20key%3Dperm_mod%0A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/etc/audit/rules.d/75-chown_dac_modification.rules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data:,-a%20always%2Cexit%20-F%20arch%3Db32%20-S%20fchmod%20-F%20auid%3E%3D1000%20-F%20auid%21%3Dunset%20-F%20key%3Dperm_mod%0A-a%20always%2Cexit%20-F%20arch%3Db64%20-S%20fchmod%20-F%20auid%3E%3D1000%20-F%20auid%21%3Dunset%20-F%20key%3Dperm_mod%0A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/etc/audit/rules.d/75-fchmod_dac_modification.rules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data:,-a%20always%2Cexit%20-F%20arch%3Db32%20-S%20fchmodat%20-F%20auid%3E%3D1000%20-F%20auid%21%3Dunset%20-F%20key%3Dperm_mod%0A-a%20always%2Cexit%20-F%20arch%3Db64%20-S%20fchmodat%20-F%20auid%3E%3D1000%20-F%20auid%21%3Dunset%20-F%20key%3Dperm_mod%0A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/etc/audit/rules.d/75-fchmodat_dac_modification.rules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data:,-a%20always%2Cexit%20-F%20arch%3Db32%20-S%20fchown%20-F%20auid%3E%3D1000%20-F%20auid%21%3Dunset%20-F%20key%3Dperm_mod%0A-a%20always%2Cexit%20-F%20arch%3Db64%20-S%20fchown%20-F%20auid%3E%3D1000%20-F%20auid%21%3Dunset%20-F%20key%3Dperm_mod%0A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/etc/audit/rules.d/75-fchown_dac_modification.rules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data:,-a%20always%2Cexit%20-F%20arch%3Db32%20-S%20fchownat%20-F%20auid%3E%3D1000%20-F%20auid%21%3Dunset%20-F%20key%3Dperm_mod%0A-a%20always%2Cexit%20-F%20arch%3Db64%20-S%20fchownat%20-F%20auid%3E%3D1000%20-F%20auid%21%3Dunset%20-F%20key%3Dperm_mod%0A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/etc/audit/rules.d/75-fchownat_dac_modification.rules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data:,-a%20always%2Cexit%20-F%20arch%3Db32%20-S%20fremovexattr%20-F%20auid%3E%3D1000%20-F%20auid%21%3Dunset%20-F%20key%3Dperm_mod%0A-a%20always%2Cexit%20-F%20arch%3Db64%20-S%20fremovexattr%20-F%20auid%3E%3D1000%20-F%20auid%21%3Dunset%20-F%20key%3Dperm_mod%0A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/etc/audit/rules.d/75-fremovexattr_dac_modification.rules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data:,-a%20always%2Cexit%20-F%20arch%3Db32%20-S%20lchown%20-F%20auid%3E%3D1000%20-F%20auid%21%3Dunset%20-F%20key%3Dperm_mod%0A-a%20always%2Cexit%20-F%20arch%3Db64%20-S%20lchown%20-F%20auid%3E%3D1000%20-F%20auid%21%3Dunset%20-F%20key%3Dperm_mod%0A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/etc/audit/rules.d/75-lchown_dac_modification.rules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data:,-a%20always%2Cexit%20-F%20arch%3Db32%20-S%20lremovexattr%20-F%20auid%3E%3D1000%20-F%20auid%21%3Dunset%20-F%20key%3Dperm_mod%0A-a%20always%2Cexit%20-F%20arch%3Db64%20-S%20lremovexattr%20-F%20auid%3E%3D1000%20-F%20auid%21%3Dunset%20-F%20key%3Dperm_mod%0A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/etc/audit/rules.d/75-lremovexattr_dac_modification.rules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data:,-a%20always%2Cexit%20-F%20arch%3Db32%20-S%20removexattr%20-F%20auid%3E%3D1000%20-F%20auid%21%3Dunset%20-F%20key%3Dperm_mod%0A-a%20always%2Cexit%20-F%20arch%3Db64%20-S%20removexattr%20-F%20auid%3E%3D1000%20-F%20auid%21%3Dunset%20-F%20key%3Dperm_mod%0A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/etc/audit/rules.d/75-removexattr_dac_modification.rules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data:,-a%20always%2Cexit%20-F%20arch%3Db32%20-S%20rename%20-F%20auid%3E%3D1000%20-F%20auid%21%3Dunset%20-F%20key%3Ddelete%0A-a%20always%2Cexit%20-F%20arch%3Db64%20-S%20rename%20-F%20auid%3E%3D1000%20-F%20auid%21%3Dunset%20-F%20key%3Ddelete%0A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/etc/audit/rules.d/75-rename-file-deletion-events.rules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data:,-a%20always%2Cexit%20-F%20arch%3Db32%20-S%20renameat%20-F%20auid%3E%3D1000%20-F%20auid%21%3Dunset%20-F%20key%3Ddelete%0A-a%20always%2Cexit%20-F%20arch%3Db64%20-S%20renameat%20-F%20auid%3E%3D1000%20-F%20auid%21%3Dunset%20-F%20key%3Ddelete%0A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/etc/audit/rules.d/75-renameat-file-deletion-events.rules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data:,-a%20always%2Cexit%20-F%20arch%3Db32%20-S%20rmdir%20-F%20auid%3E%3D1000%20-F%20auid%21%3Dunset%20-F%20key%3Ddelete%0A-a%20always%2Cexit%20-F%20arch%3Db64%20-S%20rmdir%20-F%20auid%3E%3D1000%20-F%20auid%21%3Dunset%20-F%20key%3Ddelete%0A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/etc/audit/rules.d/75-rmdir-file-deletion-events.rules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data:,-a%20always%2Cexit%20-F%20arch%3Db32%20-S%20unlink%20-F%20auid%3E%3D1000%20-F%20auid%21%3Dunset%20-F%20key%3Ddelete%0A-a%20always%2Cexit%20-F%20arch%3Db64%20-S%20unlink%20-F%20auid%3E%3D1000%20-F%20auid%21%3Dunset%20-F%20key%3Ddelete%0A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/etc/audit/rules.d/75-unlink-file-deletion-events.rules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data:,-a%20always%2Cexit%20-F%20arch%3Db32%20-S%20unlinkat%20-F%20auid%3E%3D1000%20-F%20auid%21%3Dunset%20-F%20key%3Ddelete%0A-a%20always%2Cexit%20-F%20arch%3Db64%20-S%20unlinkat%20-F%20auid%3E%3D1000%20-F%20auid%21%3Dunset%20-F%20key%3Ddelete%0A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/etc/audit/rules.d/75-unlinkat-file-deletion-events.rules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data:,-a%20always%2Cexit%20-F%20path%3D/usr/bin/su%20-F%20auid%3E%3D1000%20-F%20auid%21%3Dunset%20-F%20key%3Dprivileged%0A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/etc/audit/rules.d/75-usr_bin_su_execution.rules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data:,-a%20always%2Cexit%20-F%20path%3D/usr/bin/sudo%20-F%20auid%3E%3D1000%20-F%20auid%21%3Dunset%20-F%20key%3Dprivileged%0A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/etc/audit/rules.d/75-usr_bin_sudo_execution.rules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data:,-w%20/etc/sudoers.d/%20-p%20wa%20-k%20actions%0A-w%20/etc/sudoers%20-p%20wa%20-k%20actions%0A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/etc/audit/rules.d/75-audit-sysadmin-actions.rules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data:,-w%20/etc/group%20-p%20wa%20-k%20audit_rules_usergroup_modification%0A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/etc/audit/rules.d/30-etc_group_usergroup_modification.rules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data:,-w%20/etc/gshadow%20-p%20wa%20-k%20audit_rules_usergroup_modification%0A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/etc/audit/rules.d/30-etc_gshadow_usergroup_modification.rules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data:,-w%20/etc/passwd%20-p%20wa%20-k%20audit_rules_usergroup_modification%0A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/etc/audit/rules.d/30-etc_passwd_usergroup_modification.rules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data:,-w%20/etc/shadow%20-p%20wa%20-k%20audit_rules_usergroup_modification%0A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/etc/audit/rules.d/30-etc_shadow_usergroup_modification.rules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 oc apply -f -</t>
    </r>
    <r>
      <rPr>
        <sz val="11"/>
        <color rgb="FF000000"/>
        <rFont val="Calibri"/>
      </rPr>
      <t xml:space="preserve">
</t>
    </r>
    <r>
      <rPr>
        <sz val="11"/>
        <color rgb="FF000000"/>
        <rFont val="Calibri"/>
      </rPr>
      <t>done</t>
    </r>
  </si>
  <si>
    <r>
      <rPr>
        <sz val="11"/>
        <color rgb="FF000000"/>
        <rFont val="Calibri"/>
      </rPr>
      <t>Audit records for unsuccessful attempts to delete privileges help in identifying unauthorized activities or potential attacks. If an unauthorized entity attempts to remove privileges, the audit records can serve as an early warning sign of a security threat. By monitoring and analyzing such records, administrators can detect and mitigate potential security breaches before they escalate.</t>
    </r>
    <r>
      <rPr>
        <sz val="11"/>
        <color rgb="FF000000"/>
        <rFont val="Calibri"/>
      </rPr>
      <t xml:space="preserve">
</t>
    </r>
    <r>
      <rPr>
        <sz val="11"/>
        <color rgb="FF000000"/>
        <rFont val="Calibri"/>
      </rPr>
      <t>Audit records play a vital role in forensic analysis and investigation. In the event of a security incident or suspected compromise, audit logs for privilege deletions provide valuable information for understanding the scope and impact of the incident.</t>
    </r>
  </si>
  <si>
    <r>
      <rPr>
        <sz val="11"/>
        <color rgb="FF000000"/>
        <rFont val="Calibri"/>
      </rPr>
      <t>Verify OpenShift is configured to generate audit records when successful/unsuccessful attempts to delete security privileges occur by executing the following: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for node in $(oc get node -oname); do oc debug $node -- chroot /host /bin/bash -c 'echo -n "$HOSTNAME "; grep -e "key=delete" -e "key=perm_mod" -e "key=privileged" -e "audit_rules_usergroup_modification" /etc/audit/audit.rules' 2&gt;/dev/null; done</t>
    </r>
    <r>
      <rPr>
        <sz val="11"/>
        <color rgb="FF000000"/>
        <rFont val="Calibri"/>
      </rPr>
      <t xml:space="preserve">
</t>
    </r>
    <r>
      <rPr>
        <sz val="11"/>
        <color rgb="FF000000"/>
        <rFont val="Calibri"/>
      </rPr>
      <t>Confirm the following rules exist on each node:</t>
    </r>
    <r>
      <rPr>
        <sz val="11"/>
        <color rgb="FF000000"/>
        <rFont val="Calibri"/>
      </rPr>
      <t xml:space="preserve">
</t>
    </r>
    <r>
      <rPr>
        <sz val="11"/>
        <color rgb="FF000000"/>
        <rFont val="Calibri"/>
      </rPr>
      <t>-w /etc/group -p wa -k audit_rules_usergroup_modification</t>
    </r>
    <r>
      <rPr>
        <sz val="11"/>
        <color rgb="FF000000"/>
        <rFont val="Calibri"/>
      </rPr>
      <t xml:space="preserve">
</t>
    </r>
    <r>
      <rPr>
        <sz val="11"/>
        <color rgb="FF000000"/>
        <rFont val="Calibri"/>
      </rPr>
      <t>-w /etc/gshadow -p wa -k audit_rules_usergroup_modification</t>
    </r>
    <r>
      <rPr>
        <sz val="11"/>
        <color rgb="FF000000"/>
        <rFont val="Calibri"/>
      </rPr>
      <t xml:space="preserve">
</t>
    </r>
    <r>
      <rPr>
        <sz val="11"/>
        <color rgb="FF000000"/>
        <rFont val="Calibri"/>
      </rPr>
      <t>-w /etc/passwd -p wa -k audit_rules_usergroup_modification</t>
    </r>
    <r>
      <rPr>
        <sz val="11"/>
        <color rgb="FF000000"/>
        <rFont val="Calibri"/>
      </rPr>
      <t xml:space="preserve">
</t>
    </r>
    <r>
      <rPr>
        <sz val="11"/>
        <color rgb="FF000000"/>
        <rFont val="Calibri"/>
      </rPr>
      <t>-w /etc/security/opasswd -p wa -k audit_rules_usergroup_modification</t>
    </r>
    <r>
      <rPr>
        <sz val="11"/>
        <color rgb="FF000000"/>
        <rFont val="Calibri"/>
      </rPr>
      <t xml:space="preserve">
</t>
    </r>
    <r>
      <rPr>
        <sz val="11"/>
        <color rgb="FF000000"/>
        <rFont val="Calibri"/>
      </rPr>
      <t>-w /etc/shadow -p wa -k audit_rules_usergroup_modification</t>
    </r>
    <r>
      <rPr>
        <sz val="11"/>
        <color rgb="FF000000"/>
        <rFont val="Calibri"/>
      </rPr>
      <t xml:space="preserve">
</t>
    </r>
    <r>
      <rPr>
        <sz val="11"/>
        <color rgb="FF000000"/>
        <rFont val="Calibri"/>
      </rPr>
      <t>-a always,exit -F arch=b32 -S chmod -F auid&gt;=1000 -F auid!=unset -F key=perm_mod</t>
    </r>
    <r>
      <rPr>
        <sz val="11"/>
        <color rgb="FF000000"/>
        <rFont val="Calibri"/>
      </rPr>
      <t xml:space="preserve">
</t>
    </r>
    <r>
      <rPr>
        <sz val="11"/>
        <color rgb="FF000000"/>
        <rFont val="Calibri"/>
      </rPr>
      <t>-a always,exit -F arch=b64 -S chmod -F auid&gt;=1000 -F auid!=unset -F key=perm_mod</t>
    </r>
    <r>
      <rPr>
        <sz val="11"/>
        <color rgb="FF000000"/>
        <rFont val="Calibri"/>
      </rPr>
      <t xml:space="preserve">
</t>
    </r>
    <r>
      <rPr>
        <sz val="11"/>
        <color rgb="FF000000"/>
        <rFont val="Calibri"/>
      </rPr>
      <t>-a always,exit -F arch=b32 -S chown -F auid&gt;=1000 -F auid!=unset -F key=perm_mod</t>
    </r>
    <r>
      <rPr>
        <sz val="11"/>
        <color rgb="FF000000"/>
        <rFont val="Calibri"/>
      </rPr>
      <t xml:space="preserve">
</t>
    </r>
    <r>
      <rPr>
        <sz val="11"/>
        <color rgb="FF000000"/>
        <rFont val="Calibri"/>
      </rPr>
      <t>-a always,exit -F arch=b64 -S chown -F auid&gt;=1000 -F auid!=unset -F key=perm_mod</t>
    </r>
    <r>
      <rPr>
        <sz val="11"/>
        <color rgb="FF000000"/>
        <rFont val="Calibri"/>
      </rPr>
      <t xml:space="preserve">
</t>
    </r>
    <r>
      <rPr>
        <sz val="11"/>
        <color rgb="FF000000"/>
        <rFont val="Calibri"/>
      </rPr>
      <t>-a always,exit -F arch=b32 -S fchmodat -F auid&gt;=1000 -F auid!=unset -F key=perm_mod</t>
    </r>
    <r>
      <rPr>
        <sz val="11"/>
        <color rgb="FF000000"/>
        <rFont val="Calibri"/>
      </rPr>
      <t xml:space="preserve">
</t>
    </r>
    <r>
      <rPr>
        <sz val="11"/>
        <color rgb="FF000000"/>
        <rFont val="Calibri"/>
      </rPr>
      <t>-a always,exit -F arch=b64 -S fchmodat -F auid&gt;=1000 -F auid!=unset -F key=perm_mod</t>
    </r>
    <r>
      <rPr>
        <sz val="11"/>
        <color rgb="FF000000"/>
        <rFont val="Calibri"/>
      </rPr>
      <t xml:space="preserve">
</t>
    </r>
    <r>
      <rPr>
        <sz val="11"/>
        <color rgb="FF000000"/>
        <rFont val="Calibri"/>
      </rPr>
      <t>-a always,exit -F arch=b32 -S fchmod -F auid&gt;=1000 -F auid!=unset -F key=perm_mod</t>
    </r>
    <r>
      <rPr>
        <sz val="11"/>
        <color rgb="FF000000"/>
        <rFont val="Calibri"/>
      </rPr>
      <t xml:space="preserve">
</t>
    </r>
    <r>
      <rPr>
        <sz val="11"/>
        <color rgb="FF000000"/>
        <rFont val="Calibri"/>
      </rPr>
      <t>-a always,exit -F arch=b64 -S fchmod -F auid&gt;=1000 -F auid!=unset -F key=perm_mod</t>
    </r>
    <r>
      <rPr>
        <sz val="11"/>
        <color rgb="FF000000"/>
        <rFont val="Calibri"/>
      </rPr>
      <t xml:space="preserve">
</t>
    </r>
    <r>
      <rPr>
        <sz val="11"/>
        <color rgb="FF000000"/>
        <rFont val="Calibri"/>
      </rPr>
      <t>-a always,exit -F arch=b32 -S fchownat -F auid&gt;=1000 -F auid!=unset -F key=perm_mod</t>
    </r>
    <r>
      <rPr>
        <sz val="11"/>
        <color rgb="FF000000"/>
        <rFont val="Calibri"/>
      </rPr>
      <t xml:space="preserve">
</t>
    </r>
    <r>
      <rPr>
        <sz val="11"/>
        <color rgb="FF000000"/>
        <rFont val="Calibri"/>
      </rPr>
      <t>-a always,exit -F arch=b64 -S fchownat -F auid&gt;=1000 -F auid!=unset -F key=perm_mod</t>
    </r>
    <r>
      <rPr>
        <sz val="11"/>
        <color rgb="FF000000"/>
        <rFont val="Calibri"/>
      </rPr>
      <t xml:space="preserve">
</t>
    </r>
    <r>
      <rPr>
        <sz val="11"/>
        <color rgb="FF000000"/>
        <rFont val="Calibri"/>
      </rPr>
      <t>-a always,exit -F arch=b32 -S fchown -F auid&gt;=1000 -F auid!=unset -F key=perm_mod</t>
    </r>
    <r>
      <rPr>
        <sz val="11"/>
        <color rgb="FF000000"/>
        <rFont val="Calibri"/>
      </rPr>
      <t xml:space="preserve">
</t>
    </r>
    <r>
      <rPr>
        <sz val="11"/>
        <color rgb="FF000000"/>
        <rFont val="Calibri"/>
      </rPr>
      <t>-a always,exit -F arch=b64 -S fchown -F auid&gt;=1000 -F auid!=unset -F key=perm_mod</t>
    </r>
    <r>
      <rPr>
        <sz val="11"/>
        <color rgb="FF000000"/>
        <rFont val="Calibri"/>
      </rPr>
      <t xml:space="preserve">
</t>
    </r>
    <r>
      <rPr>
        <sz val="11"/>
        <color rgb="FF000000"/>
        <rFont val="Calibri"/>
      </rPr>
      <t>-a always,exit -F arch=b32 -S fremovexattr -F auid&gt;=1000 -F auid!=unset -F key=perm_mod</t>
    </r>
    <r>
      <rPr>
        <sz val="11"/>
        <color rgb="FF000000"/>
        <rFont val="Calibri"/>
      </rPr>
      <t xml:space="preserve">
</t>
    </r>
    <r>
      <rPr>
        <sz val="11"/>
        <color rgb="FF000000"/>
        <rFont val="Calibri"/>
      </rPr>
      <t>-a always,exit -F arch=b64 -S fremovexattr -F auid&gt;=1000 -F auid!=unset -F key=perm_mod</t>
    </r>
    <r>
      <rPr>
        <sz val="11"/>
        <color rgb="FF000000"/>
        <rFont val="Calibri"/>
      </rPr>
      <t xml:space="preserve">
</t>
    </r>
    <r>
      <rPr>
        <sz val="11"/>
        <color rgb="FF000000"/>
        <rFont val="Calibri"/>
      </rPr>
      <t>-a always,exit -F arch=b32 -S fsetxattr -F auid&gt;=1000 -F auid!=unset -F key=perm_mod</t>
    </r>
    <r>
      <rPr>
        <sz val="11"/>
        <color rgb="FF000000"/>
        <rFont val="Calibri"/>
      </rPr>
      <t xml:space="preserve">
</t>
    </r>
    <r>
      <rPr>
        <sz val="11"/>
        <color rgb="FF000000"/>
        <rFont val="Calibri"/>
      </rPr>
      <t>-a always,exit -F arch=b64 -S fsetxattr -F auid&gt;=1000 -F auid!=unset -F key=perm_mod</t>
    </r>
    <r>
      <rPr>
        <sz val="11"/>
        <color rgb="FF000000"/>
        <rFont val="Calibri"/>
      </rPr>
      <t xml:space="preserve">
</t>
    </r>
    <r>
      <rPr>
        <sz val="11"/>
        <color rgb="FF000000"/>
        <rFont val="Calibri"/>
      </rPr>
      <t>-a always,exit -F arch=b32 -S lchown -F auid&gt;=1000 -F auid!=unset -F key=perm_mod</t>
    </r>
    <r>
      <rPr>
        <sz val="11"/>
        <color rgb="FF000000"/>
        <rFont val="Calibri"/>
      </rPr>
      <t xml:space="preserve">
</t>
    </r>
    <r>
      <rPr>
        <sz val="11"/>
        <color rgb="FF000000"/>
        <rFont val="Calibri"/>
      </rPr>
      <t>-a always,exit -F arch=b64 -S lchown -F auid&gt;=1000 -F auid!=unset -F key=perm_mod</t>
    </r>
    <r>
      <rPr>
        <sz val="11"/>
        <color rgb="FF000000"/>
        <rFont val="Calibri"/>
      </rPr>
      <t xml:space="preserve">
</t>
    </r>
    <r>
      <rPr>
        <sz val="11"/>
        <color rgb="FF000000"/>
        <rFont val="Calibri"/>
      </rPr>
      <t>-a always,exit -F arch=b32 -S lremovexattr -F auid&gt;=1000 -F auid!=unset -F key=perm_mod</t>
    </r>
    <r>
      <rPr>
        <sz val="11"/>
        <color rgb="FF000000"/>
        <rFont val="Calibri"/>
      </rPr>
      <t xml:space="preserve">
</t>
    </r>
    <r>
      <rPr>
        <sz val="11"/>
        <color rgb="FF000000"/>
        <rFont val="Calibri"/>
      </rPr>
      <t>-a always,exit -F arch=b64 -S lremovexattr -F auid&gt;=1000 -F auid!=unset -F key=perm_mod</t>
    </r>
    <r>
      <rPr>
        <sz val="11"/>
        <color rgb="FF000000"/>
        <rFont val="Calibri"/>
      </rPr>
      <t xml:space="preserve">
</t>
    </r>
    <r>
      <rPr>
        <sz val="11"/>
        <color rgb="FF000000"/>
        <rFont val="Calibri"/>
      </rPr>
      <t>-a always,exit -F arch=b32 -S lsetxattr -F auid&gt;=1000 -F auid!=unset -F key=perm_mod</t>
    </r>
    <r>
      <rPr>
        <sz val="11"/>
        <color rgb="FF000000"/>
        <rFont val="Calibri"/>
      </rPr>
      <t xml:space="preserve">
</t>
    </r>
    <r>
      <rPr>
        <sz val="11"/>
        <color rgb="FF000000"/>
        <rFont val="Calibri"/>
      </rPr>
      <t>-a always,exit -F arch=b64 -S lsetxattr -F auid&gt;=1000 -F auid!=unset -F key=perm_mod</t>
    </r>
    <r>
      <rPr>
        <sz val="11"/>
        <color rgb="FF000000"/>
        <rFont val="Calibri"/>
      </rPr>
      <t xml:space="preserve">
</t>
    </r>
    <r>
      <rPr>
        <sz val="11"/>
        <color rgb="FF000000"/>
        <rFont val="Calibri"/>
      </rPr>
      <t>-a always,exit -F arch=b32 -S mount -F auid&gt;=1000 -F auid!=unset -F key=perm_mod</t>
    </r>
    <r>
      <rPr>
        <sz val="11"/>
        <color rgb="FF000000"/>
        <rFont val="Calibri"/>
      </rPr>
      <t xml:space="preserve">
</t>
    </r>
    <r>
      <rPr>
        <sz val="11"/>
        <color rgb="FF000000"/>
        <rFont val="Calibri"/>
      </rPr>
      <t>-a always,exit -F arch=b64 -S mount -F auid&gt;=1000 -F auid!=unset -F key=perm_mod</t>
    </r>
    <r>
      <rPr>
        <sz val="11"/>
        <color rgb="FF000000"/>
        <rFont val="Calibri"/>
      </rPr>
      <t xml:space="preserve">
</t>
    </r>
    <r>
      <rPr>
        <sz val="11"/>
        <color rgb="FF000000"/>
        <rFont val="Calibri"/>
      </rPr>
      <t>-a always,exit -F arch=b32 -S removexattr -F auid&gt;=1000 -F auid!=unset -F key=perm_mod</t>
    </r>
    <r>
      <rPr>
        <sz val="11"/>
        <color rgb="FF000000"/>
        <rFont val="Calibri"/>
      </rPr>
      <t xml:space="preserve">
</t>
    </r>
    <r>
      <rPr>
        <sz val="11"/>
        <color rgb="FF000000"/>
        <rFont val="Calibri"/>
      </rPr>
      <t>-a always,exit -F arch=b64 -S removexattr -F auid&gt;=1000 -F auid!=unset -F key=perm_mod</t>
    </r>
    <r>
      <rPr>
        <sz val="11"/>
        <color rgb="FF000000"/>
        <rFont val="Calibri"/>
      </rPr>
      <t xml:space="preserve">
</t>
    </r>
    <r>
      <rPr>
        <sz val="11"/>
        <color rgb="FF000000"/>
        <rFont val="Calibri"/>
      </rPr>
      <t>-a always,exit -F arch=b32 -S renameat -F auid&gt;=1000 -F auid!=unset -F key=delete</t>
    </r>
    <r>
      <rPr>
        <sz val="11"/>
        <color rgb="FF000000"/>
        <rFont val="Calibri"/>
      </rPr>
      <t xml:space="preserve">
</t>
    </r>
    <r>
      <rPr>
        <sz val="11"/>
        <color rgb="FF000000"/>
        <rFont val="Calibri"/>
      </rPr>
      <t>-a always,exit -F arch=b64 -S renameat -F auid&gt;=1000 -F auid!=unset -F key=delete</t>
    </r>
    <r>
      <rPr>
        <sz val="11"/>
        <color rgb="FF000000"/>
        <rFont val="Calibri"/>
      </rPr>
      <t xml:space="preserve">
</t>
    </r>
    <r>
      <rPr>
        <sz val="11"/>
        <color rgb="FF000000"/>
        <rFont val="Calibri"/>
      </rPr>
      <t>-a always,exit -F arch=b32 -S rename -F auid&gt;=1000 -F auid!=unset -F key=delete</t>
    </r>
    <r>
      <rPr>
        <sz val="11"/>
        <color rgb="FF000000"/>
        <rFont val="Calibri"/>
      </rPr>
      <t xml:space="preserve">
</t>
    </r>
    <r>
      <rPr>
        <sz val="11"/>
        <color rgb="FF000000"/>
        <rFont val="Calibri"/>
      </rPr>
      <t>-a always,exit -F arch=b64 -S rename -F auid&gt;=1000 -F auid!=unset -F key=delete</t>
    </r>
    <r>
      <rPr>
        <sz val="11"/>
        <color rgb="FF000000"/>
        <rFont val="Calibri"/>
      </rPr>
      <t xml:space="preserve">
</t>
    </r>
    <r>
      <rPr>
        <sz val="11"/>
        <color rgb="FF000000"/>
        <rFont val="Calibri"/>
      </rPr>
      <t>-a always,exit -F arch=b32 -S rmdir -F auid&gt;=1000 -F auid!=unset -F key=delete</t>
    </r>
    <r>
      <rPr>
        <sz val="11"/>
        <color rgb="FF000000"/>
        <rFont val="Calibri"/>
      </rPr>
      <t xml:space="preserve">
</t>
    </r>
    <r>
      <rPr>
        <sz val="11"/>
        <color rgb="FF000000"/>
        <rFont val="Calibri"/>
      </rPr>
      <t>-a always,exit -F arch=b64 -S rmdir -F auid&gt;=1000 -F auid!=unset -F key=delete</t>
    </r>
    <r>
      <rPr>
        <sz val="11"/>
        <color rgb="FF000000"/>
        <rFont val="Calibri"/>
      </rPr>
      <t xml:space="preserve">
</t>
    </r>
    <r>
      <rPr>
        <sz val="11"/>
        <color rgb="FF000000"/>
        <rFont val="Calibri"/>
      </rPr>
      <t>-a always,exit -F arch=b32 -S setxattr -F auid&gt;=1000 -F auid!=unset -F key=perm_mod</t>
    </r>
    <r>
      <rPr>
        <sz val="11"/>
        <color rgb="FF000000"/>
        <rFont val="Calibri"/>
      </rPr>
      <t xml:space="preserve">
</t>
    </r>
    <r>
      <rPr>
        <sz val="11"/>
        <color rgb="FF000000"/>
        <rFont val="Calibri"/>
      </rPr>
      <t>-a always,exit -F arch=b64 -S setxattr -F auid&gt;=1000 -F auid!=unset -F key=perm_mod</t>
    </r>
    <r>
      <rPr>
        <sz val="11"/>
        <color rgb="FF000000"/>
        <rFont val="Calibri"/>
      </rPr>
      <t xml:space="preserve">
</t>
    </r>
    <r>
      <rPr>
        <sz val="11"/>
        <color rgb="FF000000"/>
        <rFont val="Calibri"/>
      </rPr>
      <t>-a always,exit -F arch=b32 -S umount2 -F auid&gt;=1000 -F auid!=unset -F key=perm_mod</t>
    </r>
    <r>
      <rPr>
        <sz val="11"/>
        <color rgb="FF000000"/>
        <rFont val="Calibri"/>
      </rPr>
      <t xml:space="preserve">
</t>
    </r>
    <r>
      <rPr>
        <sz val="11"/>
        <color rgb="FF000000"/>
        <rFont val="Calibri"/>
      </rPr>
      <t>-a always,exit -F arch=b64 -S umount2 -F auid&gt;=1000 -F auid!=unset -F key=perm_mod</t>
    </r>
    <r>
      <rPr>
        <sz val="11"/>
        <color rgb="FF000000"/>
        <rFont val="Calibri"/>
      </rPr>
      <t xml:space="preserve">
</t>
    </r>
    <r>
      <rPr>
        <sz val="11"/>
        <color rgb="FF000000"/>
        <rFont val="Calibri"/>
      </rPr>
      <t>-a always,exit -F arch=b32 -S unlinkat -F auid&gt;=1000 -F auid!=unset -F key=delete</t>
    </r>
    <r>
      <rPr>
        <sz val="11"/>
        <color rgb="FF000000"/>
        <rFont val="Calibri"/>
      </rPr>
      <t xml:space="preserve">
</t>
    </r>
    <r>
      <rPr>
        <sz val="11"/>
        <color rgb="FF000000"/>
        <rFont val="Calibri"/>
      </rPr>
      <t>-a always,exit -F arch=b64 -S unlinkat -F auid&gt;=1000 -F auid!=unset -F key=delete</t>
    </r>
    <r>
      <rPr>
        <sz val="11"/>
        <color rgb="FF000000"/>
        <rFont val="Calibri"/>
      </rPr>
      <t xml:space="preserve">
</t>
    </r>
    <r>
      <rPr>
        <sz val="11"/>
        <color rgb="FF000000"/>
        <rFont val="Calibri"/>
      </rPr>
      <t>-a always,exit -F arch=b32 -S unlink -F auid&gt;=1000 -F auid!=unset -F key=delete</t>
    </r>
    <r>
      <rPr>
        <sz val="11"/>
        <color rgb="FF000000"/>
        <rFont val="Calibri"/>
      </rPr>
      <t xml:space="preserve">
</t>
    </r>
    <r>
      <rPr>
        <sz val="11"/>
        <color rgb="FF000000"/>
        <rFont val="Calibri"/>
      </rPr>
      <t>-a always,exit -F arch=b64 -S unlink -F auid&gt;=1000 -F auid!=unset -F key=delete</t>
    </r>
    <r>
      <rPr>
        <sz val="11"/>
        <color rgb="FF000000"/>
        <rFont val="Calibri"/>
      </rPr>
      <t xml:space="preserve">
</t>
    </r>
    <r>
      <rPr>
        <sz val="11"/>
        <color rgb="FF000000"/>
        <rFont val="Calibri"/>
      </rPr>
      <t>-a always,exit -F path=/usr/bin/chage -F auid&gt;=1000 -F auid!=unset -F key=privileged</t>
    </r>
    <r>
      <rPr>
        <sz val="11"/>
        <color rgb="FF000000"/>
        <rFont val="Calibri"/>
      </rPr>
      <t xml:space="preserve">
</t>
    </r>
    <r>
      <rPr>
        <sz val="11"/>
        <color rgb="FF000000"/>
        <rFont val="Calibri"/>
      </rPr>
      <t>-a always,exit -F path=/usr/bin/chcon -F auid&gt;=1000 -F auid!=unset -F key=privileged</t>
    </r>
    <r>
      <rPr>
        <sz val="11"/>
        <color rgb="FF000000"/>
        <rFont val="Calibri"/>
      </rPr>
      <t xml:space="preserve">
</t>
    </r>
    <r>
      <rPr>
        <sz val="11"/>
        <color rgb="FF000000"/>
        <rFont val="Calibri"/>
      </rPr>
      <t>-a always,exit -F path=/usr/bin/chsh -F auid&gt;=1000 -F auid!=unset -F key=privileged</t>
    </r>
    <r>
      <rPr>
        <sz val="11"/>
        <color rgb="FF000000"/>
        <rFont val="Calibri"/>
      </rPr>
      <t xml:space="preserve">
</t>
    </r>
    <r>
      <rPr>
        <sz val="11"/>
        <color rgb="FF000000"/>
        <rFont val="Calibri"/>
      </rPr>
      <t>-a always,exit -F path=/usr/bin/crontab -F auid&gt;=1000 -F auid!=unset -F key=privileged</t>
    </r>
    <r>
      <rPr>
        <sz val="11"/>
        <color rgb="FF000000"/>
        <rFont val="Calibri"/>
      </rPr>
      <t xml:space="preserve">
</t>
    </r>
    <r>
      <rPr>
        <sz val="11"/>
        <color rgb="FF000000"/>
        <rFont val="Calibri"/>
      </rPr>
      <t>-a always,exit -F path=/usr/bin/gpasswd -F auid&gt;=1000 -F auid!=unset -F key=privileged</t>
    </r>
    <r>
      <rPr>
        <sz val="11"/>
        <color rgb="FF000000"/>
        <rFont val="Calibri"/>
      </rPr>
      <t xml:space="preserve">
</t>
    </r>
    <r>
      <rPr>
        <sz val="11"/>
        <color rgb="FF000000"/>
        <rFont val="Calibri"/>
      </rPr>
      <t>-a always,exit -F path=/usr/bin/newgrp -F auid&gt;=1000 -F auid!=unset -F key=privileged</t>
    </r>
    <r>
      <rPr>
        <sz val="11"/>
        <color rgb="FF000000"/>
        <rFont val="Calibri"/>
      </rPr>
      <t xml:space="preserve">
</t>
    </r>
    <r>
      <rPr>
        <sz val="11"/>
        <color rgb="FF000000"/>
        <rFont val="Calibri"/>
      </rPr>
      <t>-a always,exit -F path=/usr/bin/passwd -F auid&gt;=1000 -F auid!=unset -F key=privileged</t>
    </r>
    <r>
      <rPr>
        <sz val="11"/>
        <color rgb="FF000000"/>
        <rFont val="Calibri"/>
      </rPr>
      <t xml:space="preserve">
</t>
    </r>
    <r>
      <rPr>
        <sz val="11"/>
        <color rgb="FF000000"/>
        <rFont val="Calibri"/>
      </rPr>
      <t>-a always,exit -F path=/usr/bin/sudoedit -F auid&gt;=1000 -F auid!=unset -F key=privileged</t>
    </r>
    <r>
      <rPr>
        <sz val="11"/>
        <color rgb="FF000000"/>
        <rFont val="Calibri"/>
      </rPr>
      <t xml:space="preserve">
</t>
    </r>
    <r>
      <rPr>
        <sz val="11"/>
        <color rgb="FF000000"/>
        <rFont val="Calibri"/>
      </rPr>
      <t>-a always,exit -F path=/usr/bin/sudo -F auid&gt;=1000 -F auid!=unset -F key=privileged</t>
    </r>
    <r>
      <rPr>
        <sz val="11"/>
        <color rgb="FF000000"/>
        <rFont val="Calibri"/>
      </rPr>
      <t xml:space="preserve">
</t>
    </r>
    <r>
      <rPr>
        <sz val="11"/>
        <color rgb="FF000000"/>
        <rFont val="Calibri"/>
      </rPr>
      <t>-a always,exit -F path=/usr/bin/su -F auid&gt;=1000 -F auid!=unset -F key=privileged</t>
    </r>
    <r>
      <rPr>
        <sz val="11"/>
        <color rgb="FF000000"/>
        <rFont val="Calibri"/>
      </rPr>
      <t xml:space="preserve">
</t>
    </r>
    <r>
      <rPr>
        <sz val="11"/>
        <color rgb="FF000000"/>
        <rFont val="Calibri"/>
      </rPr>
      <t>-a always,exit -F path=/usr/bin/umount -F auid&gt;=1000 -F auid!=unset -F key=privileged</t>
    </r>
    <r>
      <rPr>
        <sz val="11"/>
        <color rgb="FF000000"/>
        <rFont val="Calibri"/>
      </rPr>
      <t xml:space="preserve">
</t>
    </r>
    <r>
      <rPr>
        <sz val="11"/>
        <color rgb="FF000000"/>
        <rFont val="Calibri"/>
      </rPr>
      <t>-a always,exit -F path=/usr/libexec/openssh/ssh-keysign -F auid&gt;=1000 -F auid!=unset -F key=privileged</t>
    </r>
    <r>
      <rPr>
        <sz val="11"/>
        <color rgb="FF000000"/>
        <rFont val="Calibri"/>
      </rPr>
      <t xml:space="preserve">
</t>
    </r>
    <r>
      <rPr>
        <sz val="11"/>
        <color rgb="FF000000"/>
        <rFont val="Calibri"/>
      </rPr>
      <t>-a always,exit -F path=/usr/libexec/pt_chown -F auid&gt;=1000 -F auid!=unset -F key=privileged</t>
    </r>
    <r>
      <rPr>
        <sz val="11"/>
        <color rgb="FF000000"/>
        <rFont val="Calibri"/>
      </rPr>
      <t xml:space="preserve">
</t>
    </r>
    <r>
      <rPr>
        <sz val="11"/>
        <color rgb="FF000000"/>
        <rFont val="Calibri"/>
      </rPr>
      <t>-a always,exit -F path=/usr/sbin/pam_timestamp_check -F auid&gt;=1000 -F auid!=unset -F key=privileged</t>
    </r>
    <r>
      <rPr>
        <sz val="11"/>
        <color rgb="FF000000"/>
        <rFont val="Calibri"/>
      </rPr>
      <t xml:space="preserve">
</t>
    </r>
    <r>
      <rPr>
        <sz val="11"/>
        <color rgb="FF000000"/>
        <rFont val="Calibri"/>
      </rPr>
      <t>-a always,exit -F path=/usr/sbin/postdrop -F auid&gt;=1000 -F auid!=unset -F key=privileged</t>
    </r>
    <r>
      <rPr>
        <sz val="11"/>
        <color rgb="FF000000"/>
        <rFont val="Calibri"/>
      </rPr>
      <t xml:space="preserve">
</t>
    </r>
    <r>
      <rPr>
        <sz val="11"/>
        <color rgb="FF000000"/>
        <rFont val="Calibri"/>
      </rPr>
      <t>-a always,exit -F path=/usr/sbin/postqueue -F auid&gt;=1000 -F auid!=unset -F key=privileged</t>
    </r>
    <r>
      <rPr>
        <sz val="11"/>
        <color rgb="FF000000"/>
        <rFont val="Calibri"/>
      </rPr>
      <t xml:space="preserve">
</t>
    </r>
    <r>
      <rPr>
        <sz val="11"/>
        <color rgb="FF000000"/>
        <rFont val="Calibri"/>
      </rPr>
      <t>-a always,exit -F path=/usr/sbin/semanage -F auid&gt;=1000 -F auid!=unset -F key=privileged</t>
    </r>
    <r>
      <rPr>
        <sz val="11"/>
        <color rgb="FF000000"/>
        <rFont val="Calibri"/>
      </rPr>
      <t xml:space="preserve">
</t>
    </r>
    <r>
      <rPr>
        <sz val="11"/>
        <color rgb="FF000000"/>
        <rFont val="Calibri"/>
      </rPr>
      <t>-a always,exit -F path=/usr/sbin/setfiles -F auid&gt;=1000 -F auid!=unset -F key=privileged</t>
    </r>
    <r>
      <rPr>
        <sz val="11"/>
        <color rgb="FF000000"/>
        <rFont val="Calibri"/>
      </rPr>
      <t xml:space="preserve">
</t>
    </r>
    <r>
      <rPr>
        <sz val="11"/>
        <color rgb="FF000000"/>
        <rFont val="Calibri"/>
      </rPr>
      <t>-a always,exit -F path=/usr/sbin/setsebool -F auid&gt;=1000 -F auid!=unset -F key=privileged</t>
    </r>
    <r>
      <rPr>
        <sz val="11"/>
        <color rgb="FF000000"/>
        <rFont val="Calibri"/>
      </rPr>
      <t xml:space="preserve">
</t>
    </r>
    <r>
      <rPr>
        <sz val="11"/>
        <color rgb="FF000000"/>
        <rFont val="Calibri"/>
      </rPr>
      <t>-a always,exit -F path=/usr/sbin/unix_chkpwd -F auid&gt;=1000 -F auid!=unset -F key=privileged</t>
    </r>
    <r>
      <rPr>
        <sz val="11"/>
        <color rgb="FF000000"/>
        <rFont val="Calibri"/>
      </rPr>
      <t xml:space="preserve">
</t>
    </r>
    <r>
      <rPr>
        <sz val="11"/>
        <color rgb="FF000000"/>
        <rFont val="Calibri"/>
      </rPr>
      <t>-a always,exit -F path=/usr/sbin/userhelper -F auid&gt;=1000 -F auid!=unset -F key=privileged</t>
    </r>
    <r>
      <rPr>
        <sz val="11"/>
        <color rgb="FF000000"/>
        <rFont val="Calibri"/>
      </rPr>
      <t xml:space="preserve">
</t>
    </r>
    <r>
      <rPr>
        <sz val="11"/>
        <color rgb="FF000000"/>
        <rFont val="Calibri"/>
      </rPr>
      <t>If the above rules are not listed on each node, this is a finding.</t>
    </r>
  </si>
  <si>
    <t>V-257578</t>
  </si>
  <si>
    <r>
      <rPr>
        <sz val="11"/>
        <rFont val="Calibri"/>
      </rPr>
      <t>OpenShift must generate audit records when successful/unsuccessful attempts to delete security objects occur.</t>
    </r>
  </si>
  <si>
    <r>
      <rPr>
        <sz val="11"/>
        <color rgb="FF000000"/>
        <rFont val="Calibri"/>
      </rPr>
      <t>Apply the machine config to generate audit records when security objects or categories are deleted by executing the following:</t>
    </r>
    <r>
      <rPr>
        <sz val="11"/>
        <color rgb="FF000000"/>
        <rFont val="Calibri"/>
      </rPr>
      <t xml:space="preserve">
</t>
    </r>
    <r>
      <rPr>
        <sz val="11"/>
        <color rgb="FF000000"/>
        <rFont val="Calibri"/>
      </rPr>
      <t>for mcpool in $(oc get mcp -oname | sed "s:.*/::" ); do</t>
    </r>
    <r>
      <rPr>
        <sz val="11"/>
        <color rgb="FF000000"/>
        <rFont val="Calibri"/>
      </rPr>
      <t xml:space="preserve">
</t>
    </r>
    <r>
      <rPr>
        <sz val="11"/>
        <color rgb="FF000000"/>
        <rFont val="Calibri"/>
      </rPr>
      <t>echo "apiVersion: machineconfiguration.openshift.io/v1</t>
    </r>
    <r>
      <rPr>
        <sz val="11"/>
        <color rgb="FF000000"/>
        <rFont val="Calibri"/>
      </rPr>
      <t xml:space="preserve">
</t>
    </r>
    <r>
      <rPr>
        <sz val="11"/>
        <color rgb="FF000000"/>
        <rFont val="Calibri"/>
      </rPr>
      <t>kind: MachineConfig</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75-delete-sec-objects-levels-rules-$mcpool</t>
    </r>
    <r>
      <rPr>
        <sz val="11"/>
        <color rgb="FF000000"/>
        <rFont val="Calibri"/>
      </rPr>
      <t xml:space="preserve">
</t>
    </r>
    <r>
      <rPr>
        <sz val="11"/>
        <color rgb="FF000000"/>
        <rFont val="Calibri"/>
      </rPr>
      <t xml:space="preserve">  labels:</t>
    </r>
    <r>
      <rPr>
        <sz val="11"/>
        <color rgb="FF000000"/>
        <rFont val="Calibri"/>
      </rPr>
      <t xml:space="preserve">
</t>
    </r>
    <r>
      <rPr>
        <sz val="11"/>
        <color rgb="FF000000"/>
        <rFont val="Calibri"/>
      </rPr>
      <t xml:space="preserve">    machineconfiguration.openshift.io/role: $mcpool</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config:</t>
    </r>
    <r>
      <rPr>
        <sz val="11"/>
        <color rgb="FF000000"/>
        <rFont val="Calibri"/>
      </rPr>
      <t xml:space="preserve">
</t>
    </r>
    <r>
      <rPr>
        <sz val="11"/>
        <color rgb="FF000000"/>
        <rFont val="Calibri"/>
      </rPr>
      <t xml:space="preserve">    ignition:</t>
    </r>
    <r>
      <rPr>
        <sz val="11"/>
        <color rgb="FF000000"/>
        <rFont val="Calibri"/>
      </rPr>
      <t xml:space="preserve">
</t>
    </r>
    <r>
      <rPr>
        <sz val="11"/>
        <color rgb="FF000000"/>
        <rFont val="Calibri"/>
      </rPr>
      <t xml:space="preserve">      version: 3.1.0</t>
    </r>
    <r>
      <rPr>
        <sz val="11"/>
        <color rgb="FF000000"/>
        <rFont val="Calibri"/>
      </rPr>
      <t xml:space="preserve">
</t>
    </r>
    <r>
      <rPr>
        <sz val="11"/>
        <color rgb="FF000000"/>
        <rFont val="Calibri"/>
      </rPr>
      <t xml:space="preserve">    storage:</t>
    </r>
    <r>
      <rPr>
        <sz val="11"/>
        <color rgb="FF000000"/>
        <rFont val="Calibri"/>
      </rPr>
      <t xml:space="preserve">
</t>
    </r>
    <r>
      <rPr>
        <sz val="11"/>
        <color rgb="FF000000"/>
        <rFont val="Calibri"/>
      </rPr>
      <t xml:space="preserve">      files:</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23%23%20Unsuccessful%20file%20delete%0A-a%20always%2Cexit%20-F%20arch%3Db32%20-S%20unlink%2Cunlinkat%2Crename%2Crenameat%20-F%20exit%3D-EACCES%20-F%20auid%3E%3D1000%20-F%20auid%21%3Dunset%20-F%20key%3Dunsuccessful-delete%0A-a%20always%2Cexit%20-F%20arch%3Db64%20-S%20unlink%2Cunlinkat%2Crename%2Crenameat%20-F%20exit%3D-EACCES%20-F%20auid%3E%3D1000%20-F%20auid%21%3Dunset%20-F%20key%3Dunsuccessful-delete%0A-a%20always%2Cexit%20-F%20arch%3Db32%20-S%20unlink%2Cunlinkat%2Crename%2Crenameat%20-F%20exit%3D-EPERM%20-F%20auid%3E%3D1000%20-F%20auid%21%3Dunset%20-F%20key%3Dunsuccessful-delete%0A-a%20always%2Cexit%20-F%20arch%3Db64%20-S%20unlink%2Cunlinkat%2Crename%2Crenameat%20-F%20exit%3D-EPERM%20-F%20auid%3E%3D1000%20-F%20auid%21%3Dunset%20-F%20key%3Dunsuccessful-delete%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/etc/audit/rules.d/30-ospp-v42-4-delete-failed.rules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data:,-a%20always%2Cexit%20-F%20arch%3Db32%20-S%20fsetxattr%20-F%20auid%3E%3D1000%20-F%20auid%21%3Dunset%20-F%20key%3Dperm_mod%0A-a%20always%2Cexit%20-F%20arch%3Db64%20-S%20fsetxattr%20-F%20auid%3E%3D1000%20-F%20auid%21%3Dunset%20-F%20key%3Dperm_mod%0A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/etc/audit/rules.d/75-fsetxattr_dac_modification.rules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data:,-a%20always%2Cexit%20-F%20arch%3Db32%20-S%20lremovexattr%20-F%20auid%3E%3D1000%20-F%20auid%21%3Dunset%20-F%20key%3Dperm_mod%0A-a%20always%2Cexit%20-F%20arch%3Db64%20-S%20lremovexattr%20-F%20auid%3E%3D1000%20-F%20auid%21%3Dunset%20-F%20key%3Dperm_mod%0A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/etc/audit/rules.d/75-lremovexattr_dac_modification.rules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data:,-a%20always%2Cexit%20-F%20arch%3Db32%20-S%20lsetxattr%20-F%20auid%3E%3D1000%20-F%20auid%21%3Dunset%20-F%20key%3Dperm_mod%0A-a%20always%2Cexit%20-F%20arch%3Db64%20-S%20lsetxattr%20-F%20auid%3E%3D1000%20-F%20auid%21%3Dunset%20-F%20key%3Dperm_mod%0A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/etc/audit/rules.d/75-lsetxattr_dac_modification.rules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data:,-a%20always%2Cexit%20-F%20arch%3Db32%20-S%20removexattr%20-F%20auid%3E%3D1000%20-F%20auid%21%3Dunset%20-F%20key%3Dperm_mod%0A-a%20always%2Cexit%20-F%20arch%3Db64%20-S%20removexattr%20-F%20auid%3E%3D1000%20-F%20auid%21%3Dunset%20-F%20key%3Dperm_mod%0A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/etc/audit/rules.d/75-removexattr_dac_modification.rules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data:,-a%20always%2Cexit%20-F%20path%3D/usr/bin/chcon%20-F%20auid%3E%3D1000%20-F%20auid%21%3Dunset%20-F%20key%3Dprivileged%0A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/etc/audit/rules.d/75-usr_bin_chcon_execution.rules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data:,-a%20always%2Cexit%20-F%20arch%3Db32%20-S%20rename%20-F%20auid%3E%3D1000%20-F%20auid%21%3Dunset%20-F%20key%3Ddelete%0A-a%20always%2Cexit%20-F%20arch%3Db64%20-S%20rename%20-F%20auid%3E%3D1000%20-F%20auid%21%3Dunset%20-F%20key%3Ddelete%0A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/etc/audit/rules.d/75-rename-file-deletion-events.rules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data:,-a%20always%2Cexit%20-F%20arch%3Db32%20-S%20renameat%20-F%20auid%3E%3D1000%20-F%20auid%21%3Dunset%20-F%20key%3Ddelete%0A-a%20always%2Cexit%20-F%20arch%3Db64%20-S%20renameat%20-F%20auid%3E%3D1000%20-F%20auid%21%3Dunset%20-F%20key%3Ddelete%0A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/etc/audit/rules.d/75-renameat-file-deletion-events.rules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data:,-a%20always%2Cexit%20-F%20arch%3Db32%20-S%20rmdir%20-F%20auid%3E%3D1000%20-F%20auid%21%3Dunset%20-F%20key%3Ddelete%0A-a%20always%2Cexit%20-F%20arch%3Db64%20-S%20rmdir%20-F%20auid%3E%3D1000%20-F%20auid%21%3Dunset%20-F%20key%3Ddelete%0A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/etc/audit/rules.d/75-rmdir-file-deletion-events.rules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data:,-a%20always%2Cexit%20-F%20arch%3Db32%20-S%20unlink%20-F%20auid%3E%3D1000%20-F%20auid%21%3Dunset%20-F%20key%3Ddelete%0A-a%20always%2Cexit%20-F%20arch%3Db64%20-S%20unlink%20-F%20auid%3E%3D1000%20-F%20auid%21%3Dunset%20-F%20key%3Ddelete%0A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/etc/audit/rules.d/75-unlink-file-deletion-events.rules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data:,-a%20always%2Cexit%20-F%20arch%3Db32%20-S%20unlinkat%20-F%20auid%3E%3D1000%20-F%20auid%21%3Dunset%20-F%20key%3Ddelete%0A-a%20always%2Cexit%20-F%20arch%3Db64%20-S%20unlinkat%20-F%20auid%3E%3D1000%20-F%20auid%21%3Dunset%20-F%20key%3Ddelete%0A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/etc/audit/rules.d/75-unlinkat-file-deletion-events.rules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data:,-a%20always%2Cexit%20-F%20path%3D/usr/bin/chage%20-F%20auid%3E%3D1000%20-F%20auid%21%3Dunset%20-F%20key%3Dprivileged%0A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/etc/audit/rules.d/75-usr_bin_chage_execution.rules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 done | oc apply -f -</t>
    </r>
  </si>
  <si>
    <r>
      <rPr>
        <sz val="11"/>
        <color rgb="FF000000"/>
        <rFont val="Calibri"/>
      </rPr>
      <t>By generating audit records for security object deletions, OpenShift enables administrators and security teams to track and investigate any unauthorized or suspicious removal of security objects. These records serve as valuable evidence for detecting and responding to potential security incidents.</t>
    </r>
    <r>
      <rPr>
        <sz val="11"/>
        <color rgb="FF000000"/>
        <rFont val="Calibri"/>
      </rPr>
      <t xml:space="preserve">
</t>
    </r>
    <r>
      <rPr>
        <sz val="11"/>
        <color rgb="FF000000"/>
        <rFont val="Calibri"/>
      </rPr>
      <t>Audit records for unsuccessful attempts to delete security objects help in identifying unauthorized activities or potential attacks. If an unauthorized entity attempts to delete security objects, the audit records can serve as an early warning sign of a security threat. By monitoring and analyzing such records, administrators can detect and mitigate potential security breaches before they escalate.</t>
    </r>
    <r>
      <rPr>
        <sz val="11"/>
        <color rgb="FF000000"/>
        <rFont val="Calibri"/>
      </rPr>
      <t xml:space="preserve">
</t>
    </r>
    <r>
      <rPr>
        <sz val="11"/>
        <color rgb="FF000000"/>
        <rFont val="Calibri"/>
      </rPr>
      <t>Audit records play a vital role in forensic analysis and investigation. In the event of a security incident or suspected compromise, audit logs for security object deletions provide valuable information for understanding the scope and impact of the incident.</t>
    </r>
    <r>
      <rPr>
        <sz val="11"/>
        <color rgb="FF000000"/>
        <rFont val="Calibri"/>
      </rPr>
      <t xml:space="preserve">
</t>
    </r>
    <r>
      <rPr>
        <sz val="11"/>
        <color rgb="FF000000"/>
        <rFont val="Calibri"/>
      </rPr>
      <t>Satisfies: SRG-APP-000501-CTR-001265, SRG-APP-000502-CTR-001270</t>
    </r>
  </si>
  <si>
    <r>
      <rPr>
        <sz val="11"/>
        <color rgb="FF000000"/>
        <rFont val="Calibri"/>
      </rPr>
      <t>Verify the Red Hat Enterprise Linux CoreOS (RHCOS) is configured to generate audit records when successful/unsuccessful attempts to delete security objects or categories of information occur by executing the following: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for node in $(oc get node -oname); do oc debug $node -- chroot /host /bin/bash -c 'echo -n "$HOSTNAME "; grep  -e "key=access" -e "key=delete" -e "key=unsuccessful-delete"  -e "key=privileged" -e "key=perm_mod" /etc/audit/audit.rules' 2&gt;/dev/null; done</t>
    </r>
    <r>
      <rPr>
        <sz val="11"/>
        <color rgb="FF000000"/>
        <rFont val="Calibri"/>
      </rPr>
      <t xml:space="preserve">
</t>
    </r>
    <r>
      <rPr>
        <sz val="11"/>
        <color rgb="FF000000"/>
        <rFont val="Calibri"/>
      </rPr>
      <t>Confirm the following rules exist on each node:</t>
    </r>
    <r>
      <rPr>
        <sz val="11"/>
        <color rgb="FF000000"/>
        <rFont val="Calibri"/>
      </rPr>
      <t xml:space="preserve">
</t>
    </r>
    <r>
      <rPr>
        <sz val="11"/>
        <color rgb="FF000000"/>
        <rFont val="Calibri"/>
      </rPr>
      <t>-a always,exit -F arch=b32 -S unlink,unlinkat,rename,renameat -F exit=-EACCES -F auid&gt;=1000 -F auid!=unset -F key=unsuccessful-delete</t>
    </r>
    <r>
      <rPr>
        <sz val="11"/>
        <color rgb="FF000000"/>
        <rFont val="Calibri"/>
      </rPr>
      <t xml:space="preserve">
</t>
    </r>
    <r>
      <rPr>
        <sz val="11"/>
        <color rgb="FF000000"/>
        <rFont val="Calibri"/>
      </rPr>
      <t>-a always,exit -F arch=b64 -S unlink,unlinkat,rename,renameat -F exit=-EACCES -F auid&gt;=1000 -F auid!=unset -F key=unsuccessful-delete</t>
    </r>
    <r>
      <rPr>
        <sz val="11"/>
        <color rgb="FF000000"/>
        <rFont val="Calibri"/>
      </rPr>
      <t xml:space="preserve">
</t>
    </r>
    <r>
      <rPr>
        <sz val="11"/>
        <color rgb="FF000000"/>
        <rFont val="Calibri"/>
      </rPr>
      <t>-a always,exit -F arch=b32 -S unlink,unlinkat,rename,renameat -F exit=-EPERM -F auid&gt;=1000 -F auid!=unset -F key=unsuccessful-delete</t>
    </r>
    <r>
      <rPr>
        <sz val="11"/>
        <color rgb="FF000000"/>
        <rFont val="Calibri"/>
      </rPr>
      <t xml:space="preserve">
</t>
    </r>
    <r>
      <rPr>
        <sz val="11"/>
        <color rgb="FF000000"/>
        <rFont val="Calibri"/>
      </rPr>
      <t>-a always,exit -F arch=b64 -S unlink,unlinkat,rename,renameat -F exit=-EPERM -F auid&gt;=1000 -F auid!=unset -F key=unsuccessful-delete</t>
    </r>
    <r>
      <rPr>
        <sz val="11"/>
        <color rgb="FF000000"/>
        <rFont val="Calibri"/>
      </rPr>
      <t xml:space="preserve">
</t>
    </r>
    <r>
      <rPr>
        <sz val="11"/>
        <color rgb="FF000000"/>
        <rFont val="Calibri"/>
      </rPr>
      <t>-a always,exit -F arch=b32 -S chmod -F auid&gt;=1000 -F auid!=unset -F key=perm_mod</t>
    </r>
    <r>
      <rPr>
        <sz val="11"/>
        <color rgb="FF000000"/>
        <rFont val="Calibri"/>
      </rPr>
      <t xml:space="preserve">
</t>
    </r>
    <r>
      <rPr>
        <sz val="11"/>
        <color rgb="FF000000"/>
        <rFont val="Calibri"/>
      </rPr>
      <t>-a always,exit -F arch=b64 -S chmod -F auid&gt;=1000 -F auid!=unset -F key=perm_mod</t>
    </r>
    <r>
      <rPr>
        <sz val="11"/>
        <color rgb="FF000000"/>
        <rFont val="Calibri"/>
      </rPr>
      <t xml:space="preserve">
</t>
    </r>
    <r>
      <rPr>
        <sz val="11"/>
        <color rgb="FF000000"/>
        <rFont val="Calibri"/>
      </rPr>
      <t>-a always,exit -F arch=b32 -S chown -F auid&gt;=1000 -F auid!=unset -F key=perm_mod</t>
    </r>
    <r>
      <rPr>
        <sz val="11"/>
        <color rgb="FF000000"/>
        <rFont val="Calibri"/>
      </rPr>
      <t xml:space="preserve">
</t>
    </r>
    <r>
      <rPr>
        <sz val="11"/>
        <color rgb="FF000000"/>
        <rFont val="Calibri"/>
      </rPr>
      <t>-a always,exit -F arch=b64 -S chown -F auid&gt;=1000 -F auid!=unset -F key=perm_mod</t>
    </r>
    <r>
      <rPr>
        <sz val="11"/>
        <color rgb="FF000000"/>
        <rFont val="Calibri"/>
      </rPr>
      <t xml:space="preserve">
</t>
    </r>
    <r>
      <rPr>
        <sz val="11"/>
        <color rgb="FF000000"/>
        <rFont val="Calibri"/>
      </rPr>
      <t>-a always,exit -F arch=b32 -S fchmodat -F auid&gt;=1000 -F auid!=unset -F key=perm_mod</t>
    </r>
    <r>
      <rPr>
        <sz val="11"/>
        <color rgb="FF000000"/>
        <rFont val="Calibri"/>
      </rPr>
      <t xml:space="preserve">
</t>
    </r>
    <r>
      <rPr>
        <sz val="11"/>
        <color rgb="FF000000"/>
        <rFont val="Calibri"/>
      </rPr>
      <t>-a always,exit -F arch=b64 -S fchmodat -F auid&gt;=1000 -F auid!=unset -F key=perm_mod</t>
    </r>
    <r>
      <rPr>
        <sz val="11"/>
        <color rgb="FF000000"/>
        <rFont val="Calibri"/>
      </rPr>
      <t xml:space="preserve">
</t>
    </r>
    <r>
      <rPr>
        <sz val="11"/>
        <color rgb="FF000000"/>
        <rFont val="Calibri"/>
      </rPr>
      <t>-a always,exit -F arch=b32 -S fchmod -F auid&gt;=1000 -F auid!=unset -F key=perm_mod</t>
    </r>
    <r>
      <rPr>
        <sz val="11"/>
        <color rgb="FF000000"/>
        <rFont val="Calibri"/>
      </rPr>
      <t xml:space="preserve">
</t>
    </r>
    <r>
      <rPr>
        <sz val="11"/>
        <color rgb="FF000000"/>
        <rFont val="Calibri"/>
      </rPr>
      <t>-a always,exit -F arch=b64 -S fchmod -F auid&gt;=1000 -F auid!=unset -F key=perm_mod</t>
    </r>
    <r>
      <rPr>
        <sz val="11"/>
        <color rgb="FF000000"/>
        <rFont val="Calibri"/>
      </rPr>
      <t xml:space="preserve">
</t>
    </r>
    <r>
      <rPr>
        <sz val="11"/>
        <color rgb="FF000000"/>
        <rFont val="Calibri"/>
      </rPr>
      <t>-a always,exit -F arch=b32 -S fchownat -F auid&gt;=1000 -F auid!=unset -F key=perm_mod</t>
    </r>
    <r>
      <rPr>
        <sz val="11"/>
        <color rgb="FF000000"/>
        <rFont val="Calibri"/>
      </rPr>
      <t xml:space="preserve">
</t>
    </r>
    <r>
      <rPr>
        <sz val="11"/>
        <color rgb="FF000000"/>
        <rFont val="Calibri"/>
      </rPr>
      <t>-a always,exit -F arch=b64 -S fchownat -F auid&gt;=1000 -F auid!=unset -F key=perm_mod</t>
    </r>
    <r>
      <rPr>
        <sz val="11"/>
        <color rgb="FF000000"/>
        <rFont val="Calibri"/>
      </rPr>
      <t xml:space="preserve">
</t>
    </r>
    <r>
      <rPr>
        <sz val="11"/>
        <color rgb="FF000000"/>
        <rFont val="Calibri"/>
      </rPr>
      <t>-a always,exit -F arch=b32 -S fchown -F auid&gt;=1000 -F auid!=unset -F key=perm_mod</t>
    </r>
    <r>
      <rPr>
        <sz val="11"/>
        <color rgb="FF000000"/>
        <rFont val="Calibri"/>
      </rPr>
      <t xml:space="preserve">
</t>
    </r>
    <r>
      <rPr>
        <sz val="11"/>
        <color rgb="FF000000"/>
        <rFont val="Calibri"/>
      </rPr>
      <t>-a always,exit -F arch=b64 -S fchown -F auid&gt;=1000 -F auid!=unset -F key=perm_mod</t>
    </r>
    <r>
      <rPr>
        <sz val="11"/>
        <color rgb="FF000000"/>
        <rFont val="Calibri"/>
      </rPr>
      <t xml:space="preserve">
</t>
    </r>
    <r>
      <rPr>
        <sz val="11"/>
        <color rgb="FF000000"/>
        <rFont val="Calibri"/>
      </rPr>
      <t>-a always,exit -F arch=b32 -S fremovexattr -F auid&gt;=1000 -F auid!=unset -F key=perm_mod</t>
    </r>
    <r>
      <rPr>
        <sz val="11"/>
        <color rgb="FF000000"/>
        <rFont val="Calibri"/>
      </rPr>
      <t xml:space="preserve">
</t>
    </r>
    <r>
      <rPr>
        <sz val="11"/>
        <color rgb="FF000000"/>
        <rFont val="Calibri"/>
      </rPr>
      <t>-a always,exit -F arch=b64 -S fremovexattr -F auid&gt;=1000 -F auid!=unset -F key=perm_mod</t>
    </r>
    <r>
      <rPr>
        <sz val="11"/>
        <color rgb="FF000000"/>
        <rFont val="Calibri"/>
      </rPr>
      <t xml:space="preserve">
</t>
    </r>
    <r>
      <rPr>
        <sz val="11"/>
        <color rgb="FF000000"/>
        <rFont val="Calibri"/>
      </rPr>
      <t>-a always,exit -F arch=b32 -S fsetxattr -F auid&gt;=1000 -F auid!=unset -F key=perm_mod</t>
    </r>
    <r>
      <rPr>
        <sz val="11"/>
        <color rgb="FF000000"/>
        <rFont val="Calibri"/>
      </rPr>
      <t xml:space="preserve">
</t>
    </r>
    <r>
      <rPr>
        <sz val="11"/>
        <color rgb="FF000000"/>
        <rFont val="Calibri"/>
      </rPr>
      <t xml:space="preserve">-a always,exit -F arch=b64 -S fsetxattr -F auid&gt;=1000 -F auid!=unset -F key=perm_mod                                                                                                                                                   </t>
    </r>
    <r>
      <rPr>
        <sz val="11"/>
        <color rgb="FF000000"/>
        <rFont val="Calibri"/>
      </rPr>
      <t xml:space="preserve">
</t>
    </r>
    <r>
      <rPr>
        <sz val="11"/>
        <color rgb="FF000000"/>
        <rFont val="Calibri"/>
      </rPr>
      <t>-a always,exit -F arch=b32 -S lchown -F auid&gt;=1000 -F auid!=unset -F key=perm_mod</t>
    </r>
    <r>
      <rPr>
        <sz val="11"/>
        <color rgb="FF000000"/>
        <rFont val="Calibri"/>
      </rPr>
      <t xml:space="preserve">
</t>
    </r>
    <r>
      <rPr>
        <sz val="11"/>
        <color rgb="FF000000"/>
        <rFont val="Calibri"/>
      </rPr>
      <t>-a always,exit -F arch=b64 -S lchown -F auid&gt;=1000 -F auid!=unset -F key=perm_mod</t>
    </r>
    <r>
      <rPr>
        <sz val="11"/>
        <color rgb="FF000000"/>
        <rFont val="Calibri"/>
      </rPr>
      <t xml:space="preserve">
</t>
    </r>
    <r>
      <rPr>
        <sz val="11"/>
        <color rgb="FF000000"/>
        <rFont val="Calibri"/>
      </rPr>
      <t>-a always,exit -F arch=b32 -S lremovexattr -F auid&gt;=1000 -F auid!=unset -F key=perm_mod</t>
    </r>
    <r>
      <rPr>
        <sz val="11"/>
        <color rgb="FF000000"/>
        <rFont val="Calibri"/>
      </rPr>
      <t xml:space="preserve">
</t>
    </r>
    <r>
      <rPr>
        <sz val="11"/>
        <color rgb="FF000000"/>
        <rFont val="Calibri"/>
      </rPr>
      <t>-a always,exit -F arch=b64 -S lremovexattr -F auid&gt;=1000 -F auid!=unset -F key=perm_mod</t>
    </r>
    <r>
      <rPr>
        <sz val="11"/>
        <color rgb="FF000000"/>
        <rFont val="Calibri"/>
      </rPr>
      <t xml:space="preserve">
</t>
    </r>
    <r>
      <rPr>
        <sz val="11"/>
        <color rgb="FF000000"/>
        <rFont val="Calibri"/>
      </rPr>
      <t>-a always,exit -F arch=b32 -S lsetxattr -F auid&gt;=1000 -F auid!=unset -F key=perm_mod</t>
    </r>
    <r>
      <rPr>
        <sz val="11"/>
        <color rgb="FF000000"/>
        <rFont val="Calibri"/>
      </rPr>
      <t xml:space="preserve">
</t>
    </r>
    <r>
      <rPr>
        <sz val="11"/>
        <color rgb="FF000000"/>
        <rFont val="Calibri"/>
      </rPr>
      <t>-a always,exit -F arch=b64 -S lsetxattr -F auid&gt;=1000 -F auid!=unset -F key=perm_mod</t>
    </r>
    <r>
      <rPr>
        <sz val="11"/>
        <color rgb="FF000000"/>
        <rFont val="Calibri"/>
      </rPr>
      <t xml:space="preserve">
</t>
    </r>
    <r>
      <rPr>
        <sz val="11"/>
        <color rgb="FF000000"/>
        <rFont val="Calibri"/>
      </rPr>
      <t>-a always,exit -F arch=b32 -S mount -F auid&gt;=1000 -F auid!=unset -F key=perm_mod</t>
    </r>
    <r>
      <rPr>
        <sz val="11"/>
        <color rgb="FF000000"/>
        <rFont val="Calibri"/>
      </rPr>
      <t xml:space="preserve">
</t>
    </r>
    <r>
      <rPr>
        <sz val="11"/>
        <color rgb="FF000000"/>
        <rFont val="Calibri"/>
      </rPr>
      <t>-a always,exit -F arch=b64 -S mount -F auid&gt;=1000 -F auid!=unset -F key=perm_mod</t>
    </r>
    <r>
      <rPr>
        <sz val="11"/>
        <color rgb="FF000000"/>
        <rFont val="Calibri"/>
      </rPr>
      <t xml:space="preserve">
</t>
    </r>
    <r>
      <rPr>
        <sz val="11"/>
        <color rgb="FF000000"/>
        <rFont val="Calibri"/>
      </rPr>
      <t>-a always,exit -F arch=b32 -S removexattr -F auid&gt;=1000 -F auid!=unset -F key=perm_mod</t>
    </r>
    <r>
      <rPr>
        <sz val="11"/>
        <color rgb="FF000000"/>
        <rFont val="Calibri"/>
      </rPr>
      <t xml:space="preserve">
</t>
    </r>
    <r>
      <rPr>
        <sz val="11"/>
        <color rgb="FF000000"/>
        <rFont val="Calibri"/>
      </rPr>
      <t>-a always,exit -F arch=b64 -S removexattr -F auid&gt;=1000 -F auid!=unset -F key=perm_mod</t>
    </r>
    <r>
      <rPr>
        <sz val="11"/>
        <color rgb="FF000000"/>
        <rFont val="Calibri"/>
      </rPr>
      <t xml:space="preserve">
</t>
    </r>
    <r>
      <rPr>
        <sz val="11"/>
        <color rgb="FF000000"/>
        <rFont val="Calibri"/>
      </rPr>
      <t>-a always,exit -F arch=b32 -S renameat -F auid&gt;=1000 -F auid!=unset -F key=delete</t>
    </r>
    <r>
      <rPr>
        <sz val="11"/>
        <color rgb="FF000000"/>
        <rFont val="Calibri"/>
      </rPr>
      <t xml:space="preserve">
</t>
    </r>
    <r>
      <rPr>
        <sz val="11"/>
        <color rgb="FF000000"/>
        <rFont val="Calibri"/>
      </rPr>
      <t>-a always,exit -F arch=b64 -S renameat -F auid&gt;=1000 -F auid!=unset -F key=delete</t>
    </r>
    <r>
      <rPr>
        <sz val="11"/>
        <color rgb="FF000000"/>
        <rFont val="Calibri"/>
      </rPr>
      <t xml:space="preserve">
</t>
    </r>
    <r>
      <rPr>
        <sz val="11"/>
        <color rgb="FF000000"/>
        <rFont val="Calibri"/>
      </rPr>
      <t>-a always,exit -F arch=b64 -S renameat -F exit=-EACCES -F auid&gt;=1000 -F auid!=unset -F key=access</t>
    </r>
    <r>
      <rPr>
        <sz val="11"/>
        <color rgb="FF000000"/>
        <rFont val="Calibri"/>
      </rPr>
      <t xml:space="preserve">
</t>
    </r>
    <r>
      <rPr>
        <sz val="11"/>
        <color rgb="FF000000"/>
        <rFont val="Calibri"/>
      </rPr>
      <t>-a always,exit -F arch=b64 -S renameat -F exit=-EPERM -F auid&gt;=1000 -F auid!=unset -F key=access</t>
    </r>
    <r>
      <rPr>
        <sz val="11"/>
        <color rgb="FF000000"/>
        <rFont val="Calibri"/>
      </rPr>
      <t xml:space="preserve">
</t>
    </r>
    <r>
      <rPr>
        <sz val="11"/>
        <color rgb="FF000000"/>
        <rFont val="Calibri"/>
      </rPr>
      <t>-a always,exit -F arch=b32 -S renameat -F exit=-EACCES -F auid&gt;=1000 -F auid!=unset -F key=access</t>
    </r>
    <r>
      <rPr>
        <sz val="11"/>
        <color rgb="FF000000"/>
        <rFont val="Calibri"/>
      </rPr>
      <t xml:space="preserve">
</t>
    </r>
    <r>
      <rPr>
        <sz val="11"/>
        <color rgb="FF000000"/>
        <rFont val="Calibri"/>
      </rPr>
      <t>-a always,exit -F arch=b32 -S renameat -F exit=-EPERM -F auid&gt;=1000 -F auid!=unset -F key=access</t>
    </r>
    <r>
      <rPr>
        <sz val="11"/>
        <color rgb="FF000000"/>
        <rFont val="Calibri"/>
      </rPr>
      <t xml:space="preserve">
</t>
    </r>
    <r>
      <rPr>
        <sz val="11"/>
        <color rgb="FF000000"/>
        <rFont val="Calibri"/>
      </rPr>
      <t>-a always,exit -F arch=b32 -S rename -F auid&gt;=1000 -F auid!=unset -F key=delete</t>
    </r>
    <r>
      <rPr>
        <sz val="11"/>
        <color rgb="FF000000"/>
        <rFont val="Calibri"/>
      </rPr>
      <t xml:space="preserve">
</t>
    </r>
    <r>
      <rPr>
        <sz val="11"/>
        <color rgb="FF000000"/>
        <rFont val="Calibri"/>
      </rPr>
      <t>-a always,exit -F arch=b64 -S rename -F auid&gt;=1000 -F auid!=unset -F key=delete</t>
    </r>
    <r>
      <rPr>
        <sz val="11"/>
        <color rgb="FF000000"/>
        <rFont val="Calibri"/>
      </rPr>
      <t xml:space="preserve">
</t>
    </r>
    <r>
      <rPr>
        <sz val="11"/>
        <color rgb="FF000000"/>
        <rFont val="Calibri"/>
      </rPr>
      <t>-a always,exit -F arch=b64 -S rename -F exit=-EACCES -F auid&gt;=1000 -F auid!=unset -F key=access</t>
    </r>
    <r>
      <rPr>
        <sz val="11"/>
        <color rgb="FF000000"/>
        <rFont val="Calibri"/>
      </rPr>
      <t xml:space="preserve">
</t>
    </r>
    <r>
      <rPr>
        <sz val="11"/>
        <color rgb="FF000000"/>
        <rFont val="Calibri"/>
      </rPr>
      <t>-a always,exit -F arch=b64 -S rename -F exit=-EPERM -F auid&gt;=1000 -F auid!=unset -F key=access</t>
    </r>
    <r>
      <rPr>
        <sz val="11"/>
        <color rgb="FF000000"/>
        <rFont val="Calibri"/>
      </rPr>
      <t xml:space="preserve">
</t>
    </r>
    <r>
      <rPr>
        <sz val="11"/>
        <color rgb="FF000000"/>
        <rFont val="Calibri"/>
      </rPr>
      <t>-a always,exit -F arch=b32 -S rename -F exit=-EACCES -F auid&gt;=1000 -F auid!=unset -F key=access</t>
    </r>
    <r>
      <rPr>
        <sz val="11"/>
        <color rgb="FF000000"/>
        <rFont val="Calibri"/>
      </rPr>
      <t xml:space="preserve">
</t>
    </r>
    <r>
      <rPr>
        <sz val="11"/>
        <color rgb="FF000000"/>
        <rFont val="Calibri"/>
      </rPr>
      <t>-a always,exit -F arch=b32 -S rename -F exit=-EPERM -F auid&gt;=1000 -F auid!=unset -F key=access</t>
    </r>
    <r>
      <rPr>
        <sz val="11"/>
        <color rgb="FF000000"/>
        <rFont val="Calibri"/>
      </rPr>
      <t xml:space="preserve">
</t>
    </r>
    <r>
      <rPr>
        <sz val="11"/>
        <color rgb="FF000000"/>
        <rFont val="Calibri"/>
      </rPr>
      <t>-a always,exit -F arch=b32 -S rmdir -F auid&gt;=1000 -F auid!=unset -F key=delete</t>
    </r>
    <r>
      <rPr>
        <sz val="11"/>
        <color rgb="FF000000"/>
        <rFont val="Calibri"/>
      </rPr>
      <t xml:space="preserve">
</t>
    </r>
    <r>
      <rPr>
        <sz val="11"/>
        <color rgb="FF000000"/>
        <rFont val="Calibri"/>
      </rPr>
      <t>-a always,exit -F arch=b64 -S rmdir -F auid&gt;=1000 -F auid!=unset -F key=delete</t>
    </r>
    <r>
      <rPr>
        <sz val="11"/>
        <color rgb="FF000000"/>
        <rFont val="Calibri"/>
      </rPr>
      <t xml:space="preserve">
</t>
    </r>
    <r>
      <rPr>
        <sz val="11"/>
        <color rgb="FF000000"/>
        <rFont val="Calibri"/>
      </rPr>
      <t>-a always,exit -F arch=b32 -S setxattr -F auid&gt;=1000 -F auid!=unset -F key=perm_mod</t>
    </r>
    <r>
      <rPr>
        <sz val="11"/>
        <color rgb="FF000000"/>
        <rFont val="Calibri"/>
      </rPr>
      <t xml:space="preserve">
</t>
    </r>
    <r>
      <rPr>
        <sz val="11"/>
        <color rgb="FF000000"/>
        <rFont val="Calibri"/>
      </rPr>
      <t>-a always,exit -F arch=b64 -S setxattr -F auid&gt;=1000 -F auid!=unset -F key=perm_mod</t>
    </r>
    <r>
      <rPr>
        <sz val="11"/>
        <color rgb="FF000000"/>
        <rFont val="Calibri"/>
      </rPr>
      <t xml:space="preserve">
</t>
    </r>
    <r>
      <rPr>
        <sz val="11"/>
        <color rgb="FF000000"/>
        <rFont val="Calibri"/>
      </rPr>
      <t>-a always,exit -F arch=b32 -S umount2 -F auid&gt;=1000 -F auid!=unset -F key=perm_mod</t>
    </r>
    <r>
      <rPr>
        <sz val="11"/>
        <color rgb="FF000000"/>
        <rFont val="Calibri"/>
      </rPr>
      <t xml:space="preserve">
</t>
    </r>
    <r>
      <rPr>
        <sz val="11"/>
        <color rgb="FF000000"/>
        <rFont val="Calibri"/>
      </rPr>
      <t>-a always,exit -F arch=b64 -S umount2 -F auid&gt;=1000 -F auid!=unset -F key=perm_mod</t>
    </r>
    <r>
      <rPr>
        <sz val="11"/>
        <color rgb="FF000000"/>
        <rFont val="Calibri"/>
      </rPr>
      <t xml:space="preserve">
</t>
    </r>
    <r>
      <rPr>
        <sz val="11"/>
        <color rgb="FF000000"/>
        <rFont val="Calibri"/>
      </rPr>
      <t>-a always,exit -F arch=b32 -S unlinkat -F auid&gt;=1000 -F auid!=unset -F key=delete</t>
    </r>
    <r>
      <rPr>
        <sz val="11"/>
        <color rgb="FF000000"/>
        <rFont val="Calibri"/>
      </rPr>
      <t xml:space="preserve">
</t>
    </r>
    <r>
      <rPr>
        <sz val="11"/>
        <color rgb="FF000000"/>
        <rFont val="Calibri"/>
      </rPr>
      <t>-a always,exit -F arch=b64 -S unlinkat -F auid&gt;=1000 -F auid!=unset -F key=delete</t>
    </r>
    <r>
      <rPr>
        <sz val="11"/>
        <color rgb="FF000000"/>
        <rFont val="Calibri"/>
      </rPr>
      <t xml:space="preserve">
</t>
    </r>
    <r>
      <rPr>
        <sz val="11"/>
        <color rgb="FF000000"/>
        <rFont val="Calibri"/>
      </rPr>
      <t>-a always,exit -F arch=b64 -S unlinkat -F exit=-EACCES -F auid&gt;=1000 -F auid!=unset -F key=access</t>
    </r>
    <r>
      <rPr>
        <sz val="11"/>
        <color rgb="FF000000"/>
        <rFont val="Calibri"/>
      </rPr>
      <t xml:space="preserve">
</t>
    </r>
    <r>
      <rPr>
        <sz val="11"/>
        <color rgb="FF000000"/>
        <rFont val="Calibri"/>
      </rPr>
      <t>-a always,exit -F arch=b64 -S unlinkat -F exit=-EPERM -F auid&gt;=1000 -F auid!=unset -F key=access</t>
    </r>
    <r>
      <rPr>
        <sz val="11"/>
        <color rgb="FF000000"/>
        <rFont val="Calibri"/>
      </rPr>
      <t xml:space="preserve">
</t>
    </r>
    <r>
      <rPr>
        <sz val="11"/>
        <color rgb="FF000000"/>
        <rFont val="Calibri"/>
      </rPr>
      <t>-a always,exit -F arch=b32 -S unlinkat -F exit=-EACCES -F auid&gt;=1000 -F auid!=unset -F key=access</t>
    </r>
    <r>
      <rPr>
        <sz val="11"/>
        <color rgb="FF000000"/>
        <rFont val="Calibri"/>
      </rPr>
      <t xml:space="preserve">
</t>
    </r>
    <r>
      <rPr>
        <sz val="11"/>
        <color rgb="FF000000"/>
        <rFont val="Calibri"/>
      </rPr>
      <t>-a always,exit -F arch=b32 -S unlinkat -F exit=-EPERM -F auid&gt;=1000 -F auid!=unset -F key=access</t>
    </r>
    <r>
      <rPr>
        <sz val="11"/>
        <color rgb="FF000000"/>
        <rFont val="Calibri"/>
      </rPr>
      <t xml:space="preserve">
</t>
    </r>
    <r>
      <rPr>
        <sz val="11"/>
        <color rgb="FF000000"/>
        <rFont val="Calibri"/>
      </rPr>
      <t>-a always,exit -F arch=b32 -S unlink -F auid&gt;=1000 -F auid!=unset -F key=delete</t>
    </r>
    <r>
      <rPr>
        <sz val="11"/>
        <color rgb="FF000000"/>
        <rFont val="Calibri"/>
      </rPr>
      <t xml:space="preserve">
</t>
    </r>
    <r>
      <rPr>
        <sz val="11"/>
        <color rgb="FF000000"/>
        <rFont val="Calibri"/>
      </rPr>
      <t>-a always,exit -F arch=b64 -S unlink -F auid&gt;=1000 -F auid!=unset -F key=delete</t>
    </r>
    <r>
      <rPr>
        <sz val="11"/>
        <color rgb="FF000000"/>
        <rFont val="Calibri"/>
      </rPr>
      <t xml:space="preserve">
</t>
    </r>
    <r>
      <rPr>
        <sz val="11"/>
        <color rgb="FF000000"/>
        <rFont val="Calibri"/>
      </rPr>
      <t>-a always,exit -F arch=b64 -S unlink -F exit=-EACCES -F auid&gt;=1000 -F auid!=unset -F key=access</t>
    </r>
    <r>
      <rPr>
        <sz val="11"/>
        <color rgb="FF000000"/>
        <rFont val="Calibri"/>
      </rPr>
      <t xml:space="preserve">
</t>
    </r>
    <r>
      <rPr>
        <sz val="11"/>
        <color rgb="FF000000"/>
        <rFont val="Calibri"/>
      </rPr>
      <t>-a always,exit -F arch=b64 -S unlink -F exit=-EPERM -F auid&gt;=1000 -F auid!=unset -F key=access</t>
    </r>
    <r>
      <rPr>
        <sz val="11"/>
        <color rgb="FF000000"/>
        <rFont val="Calibri"/>
      </rPr>
      <t xml:space="preserve">
</t>
    </r>
    <r>
      <rPr>
        <sz val="11"/>
        <color rgb="FF000000"/>
        <rFont val="Calibri"/>
      </rPr>
      <t>-a always,exit -F arch=b32 -S unlink -F exit=-EACCES -F auid&gt;=1000 -F auid!=unset -F key=access</t>
    </r>
    <r>
      <rPr>
        <sz val="11"/>
        <color rgb="FF000000"/>
        <rFont val="Calibri"/>
      </rPr>
      <t xml:space="preserve">
</t>
    </r>
    <r>
      <rPr>
        <sz val="11"/>
        <color rgb="FF000000"/>
        <rFont val="Calibri"/>
      </rPr>
      <t>-a always,exit -F arch=b32 -S unlink -F exit=-EPERM -F auid&gt;=1000 -F auid!=unset -F key=access</t>
    </r>
    <r>
      <rPr>
        <sz val="11"/>
        <color rgb="FF000000"/>
        <rFont val="Calibri"/>
      </rPr>
      <t xml:space="preserve">
</t>
    </r>
    <r>
      <rPr>
        <sz val="11"/>
        <color rgb="FF000000"/>
        <rFont val="Calibri"/>
      </rPr>
      <t>-a always,exit -F path=/usr/bin/chage -F auid&gt;=1000 -F auid!=unset -F key=privileged</t>
    </r>
    <r>
      <rPr>
        <sz val="11"/>
        <color rgb="FF000000"/>
        <rFont val="Calibri"/>
      </rPr>
      <t xml:space="preserve">
</t>
    </r>
    <r>
      <rPr>
        <sz val="11"/>
        <color rgb="FF000000"/>
        <rFont val="Calibri"/>
      </rPr>
      <t>-a always,exit -F path=/usr/bin/chcon -F auid&gt;=1000 -F auid!=unset -F key=privileged</t>
    </r>
    <r>
      <rPr>
        <sz val="11"/>
        <color rgb="FF000000"/>
        <rFont val="Calibri"/>
      </rPr>
      <t xml:space="preserve">
</t>
    </r>
    <r>
      <rPr>
        <sz val="11"/>
        <color rgb="FF000000"/>
        <rFont val="Calibri"/>
      </rPr>
      <t>-a always,exit -F path=/usr/bin/chsh -F auid&gt;=1000 -F auid!=unset -F key=privileged</t>
    </r>
    <r>
      <rPr>
        <sz val="11"/>
        <color rgb="FF000000"/>
        <rFont val="Calibri"/>
      </rPr>
      <t xml:space="preserve">
</t>
    </r>
    <r>
      <rPr>
        <sz val="11"/>
        <color rgb="FF000000"/>
        <rFont val="Calibri"/>
      </rPr>
      <t>-a always,exit -F path=/usr/bin/crontab -F auid&gt;=1000 -F auid!=unset -F key=privileged</t>
    </r>
    <r>
      <rPr>
        <sz val="11"/>
        <color rgb="FF000000"/>
        <rFont val="Calibri"/>
      </rPr>
      <t xml:space="preserve">
</t>
    </r>
    <r>
      <rPr>
        <sz val="11"/>
        <color rgb="FF000000"/>
        <rFont val="Calibri"/>
      </rPr>
      <t>-a always,exit -F path=/usr/bin/gpasswd -F auid&gt;=1000 -F auid!=unset -F key=privileged</t>
    </r>
    <r>
      <rPr>
        <sz val="11"/>
        <color rgb="FF000000"/>
        <rFont val="Calibri"/>
      </rPr>
      <t xml:space="preserve">
</t>
    </r>
    <r>
      <rPr>
        <sz val="11"/>
        <color rgb="FF000000"/>
        <rFont val="Calibri"/>
      </rPr>
      <t>-a always,exit -F path=/usr/bin/newgrp -F auid&gt;=1000 -F auid!=unset -F key=privileged</t>
    </r>
    <r>
      <rPr>
        <sz val="11"/>
        <color rgb="FF000000"/>
        <rFont val="Calibri"/>
      </rPr>
      <t xml:space="preserve">
</t>
    </r>
    <r>
      <rPr>
        <sz val="11"/>
        <color rgb="FF000000"/>
        <rFont val="Calibri"/>
      </rPr>
      <t>-a always,exit -F path=/usr/bin/passwd -F auid&gt;=1000 -F auid!=unset -F key=privileged</t>
    </r>
    <r>
      <rPr>
        <sz val="11"/>
        <color rgb="FF000000"/>
        <rFont val="Calibri"/>
      </rPr>
      <t xml:space="preserve">
</t>
    </r>
    <r>
      <rPr>
        <sz val="11"/>
        <color rgb="FF000000"/>
        <rFont val="Calibri"/>
      </rPr>
      <t>-a always,exit -F path=/usr/bin/sudoedit -F auid&gt;=1000 -F auid!=unset -F key=privileged</t>
    </r>
    <r>
      <rPr>
        <sz val="11"/>
        <color rgb="FF000000"/>
        <rFont val="Calibri"/>
      </rPr>
      <t xml:space="preserve">
</t>
    </r>
    <r>
      <rPr>
        <sz val="11"/>
        <color rgb="FF000000"/>
        <rFont val="Calibri"/>
      </rPr>
      <t>-a always,exit -F path=/usr/bin/sudo -F auid&gt;=1000 -F auid!=unset -F key=privileged</t>
    </r>
    <r>
      <rPr>
        <sz val="11"/>
        <color rgb="FF000000"/>
        <rFont val="Calibri"/>
      </rPr>
      <t xml:space="preserve">
</t>
    </r>
    <r>
      <rPr>
        <sz val="11"/>
        <color rgb="FF000000"/>
        <rFont val="Calibri"/>
      </rPr>
      <t>-a always,exit -F path=/usr/bin/su -F auid&gt;=1000 -F auid!=unset -F key=privileged</t>
    </r>
    <r>
      <rPr>
        <sz val="11"/>
        <color rgb="FF000000"/>
        <rFont val="Calibri"/>
      </rPr>
      <t xml:space="preserve">
</t>
    </r>
    <r>
      <rPr>
        <sz val="11"/>
        <color rgb="FF000000"/>
        <rFont val="Calibri"/>
      </rPr>
      <t>-a always,exit -F path=/usr/bin/umount -F auid&gt;=1000 -F auid!=unset -F key=privileged</t>
    </r>
    <r>
      <rPr>
        <sz val="11"/>
        <color rgb="FF000000"/>
        <rFont val="Calibri"/>
      </rPr>
      <t xml:space="preserve">
</t>
    </r>
    <r>
      <rPr>
        <sz val="11"/>
        <color rgb="FF000000"/>
        <rFont val="Calibri"/>
      </rPr>
      <t>-a always,exit -F path=/usr/libexec/openssh/ssh-keysign -F auid&gt;=1000 -F auid!=unset -F key=privileged</t>
    </r>
    <r>
      <rPr>
        <sz val="11"/>
        <color rgb="FF000000"/>
        <rFont val="Calibri"/>
      </rPr>
      <t xml:space="preserve">
</t>
    </r>
    <r>
      <rPr>
        <sz val="11"/>
        <color rgb="FF000000"/>
        <rFont val="Calibri"/>
      </rPr>
      <t>-a always,exit -F path=/usr/libexec/pt_chown -F auid&gt;=1000 -F auid!=unset -F key=privileged</t>
    </r>
    <r>
      <rPr>
        <sz val="11"/>
        <color rgb="FF000000"/>
        <rFont val="Calibri"/>
      </rPr>
      <t xml:space="preserve">
</t>
    </r>
    <r>
      <rPr>
        <sz val="11"/>
        <color rgb="FF000000"/>
        <rFont val="Calibri"/>
      </rPr>
      <t>-a always,exit -F path=/usr/sbin/pam_timestamp_check -F auid&gt;=1000 -F auid!=unset -F key=privileged</t>
    </r>
    <r>
      <rPr>
        <sz val="11"/>
        <color rgb="FF000000"/>
        <rFont val="Calibri"/>
      </rPr>
      <t xml:space="preserve">
</t>
    </r>
    <r>
      <rPr>
        <sz val="11"/>
        <color rgb="FF000000"/>
        <rFont val="Calibri"/>
      </rPr>
      <t>-a always,exit -F path=/usr/sbin/postdrop -F auid&gt;=1000 -F auid!=unset -F key=privileged</t>
    </r>
    <r>
      <rPr>
        <sz val="11"/>
        <color rgb="FF000000"/>
        <rFont val="Calibri"/>
      </rPr>
      <t xml:space="preserve">
</t>
    </r>
    <r>
      <rPr>
        <sz val="11"/>
        <color rgb="FF000000"/>
        <rFont val="Calibri"/>
      </rPr>
      <t>-a always,exit -F path=/usr/sbin/postqueue -F auid&gt;=1000 -F auid!=unset -F key=privileged</t>
    </r>
    <r>
      <rPr>
        <sz val="11"/>
        <color rgb="FF000000"/>
        <rFont val="Calibri"/>
      </rPr>
      <t xml:space="preserve">
</t>
    </r>
    <r>
      <rPr>
        <sz val="11"/>
        <color rgb="FF000000"/>
        <rFont val="Calibri"/>
      </rPr>
      <t>-a always,exit -F path=/usr/sbin/semanage -F auid&gt;=1000 -F auid!=unset -F key=privileged</t>
    </r>
    <r>
      <rPr>
        <sz val="11"/>
        <color rgb="FF000000"/>
        <rFont val="Calibri"/>
      </rPr>
      <t xml:space="preserve">
</t>
    </r>
    <r>
      <rPr>
        <sz val="11"/>
        <color rgb="FF000000"/>
        <rFont val="Calibri"/>
      </rPr>
      <t>-a always,exit -F path=/usr/sbin/setfiles -F auid&gt;=1000 -F auid!=unset -F key=privileged</t>
    </r>
    <r>
      <rPr>
        <sz val="11"/>
        <color rgb="FF000000"/>
        <rFont val="Calibri"/>
      </rPr>
      <t xml:space="preserve">
</t>
    </r>
    <r>
      <rPr>
        <sz val="11"/>
        <color rgb="FF000000"/>
        <rFont val="Calibri"/>
      </rPr>
      <t>-a always,exit -F path=/usr/sbin/setsebool -F auid&gt;=1000 -F auid!=unset -F key=privileged</t>
    </r>
    <r>
      <rPr>
        <sz val="11"/>
        <color rgb="FF000000"/>
        <rFont val="Calibri"/>
      </rPr>
      <t xml:space="preserve">
</t>
    </r>
    <r>
      <rPr>
        <sz val="11"/>
        <color rgb="FF000000"/>
        <rFont val="Calibri"/>
      </rPr>
      <t>-a always,exit -F path=/usr/sbin/unix_chkpwd -F auid&gt;=1000 -F auid!=unset -F key=privileged</t>
    </r>
    <r>
      <rPr>
        <sz val="11"/>
        <color rgb="FF000000"/>
        <rFont val="Calibri"/>
      </rPr>
      <t xml:space="preserve">
</t>
    </r>
    <r>
      <rPr>
        <sz val="11"/>
        <color rgb="FF000000"/>
        <rFont val="Calibri"/>
      </rPr>
      <t>-a always,exit -F path=/usr/sbin/userhelper -F auid&gt;=1000 -F auid!=unset -F key=privileged</t>
    </r>
    <r>
      <rPr>
        <sz val="11"/>
        <color rgb="FF000000"/>
        <rFont val="Calibri"/>
      </rPr>
      <t xml:space="preserve">
</t>
    </r>
    <r>
      <rPr>
        <sz val="11"/>
        <color rgb="FF000000"/>
        <rFont val="Calibri"/>
      </rPr>
      <t>If the above rules are not listed on each node, this is a finding.</t>
    </r>
  </si>
  <si>
    <t>V-257579</t>
  </si>
  <si>
    <r>
      <rPr>
        <sz val="11"/>
        <rFont val="Calibri"/>
      </rPr>
      <t>OpenShift must generate audit records when successful/unsuccessful logon attempts occur.</t>
    </r>
  </si>
  <si>
    <r>
      <rPr>
        <sz val="11"/>
        <color rgb="FF000000"/>
        <rFont val="Calibri"/>
      </rPr>
      <t>Apply the machine config to audit logons by executing the following:</t>
    </r>
    <r>
      <rPr>
        <sz val="11"/>
        <color rgb="FF000000"/>
        <rFont val="Calibri"/>
      </rPr>
      <t xml:space="preserve">
</t>
    </r>
    <r>
      <rPr>
        <sz val="11"/>
        <color rgb="FF000000"/>
        <rFont val="Calibri"/>
      </rPr>
      <t>for mcpool in $(oc get mcp -oname | sed "s:.*/::" ); do</t>
    </r>
    <r>
      <rPr>
        <sz val="11"/>
        <color rgb="FF000000"/>
        <rFont val="Calibri"/>
      </rPr>
      <t xml:space="preserve">
</t>
    </r>
    <r>
      <rPr>
        <sz val="11"/>
        <color rgb="FF000000"/>
        <rFont val="Calibri"/>
      </rPr>
      <t>echo "apiVersion: machineconfiguration.openshift.io/v1</t>
    </r>
    <r>
      <rPr>
        <sz val="11"/>
        <color rgb="FF000000"/>
        <rFont val="Calibri"/>
      </rPr>
      <t xml:space="preserve">
</t>
    </r>
    <r>
      <rPr>
        <sz val="11"/>
        <color rgb="FF000000"/>
        <rFont val="Calibri"/>
      </rPr>
      <t>kind: MachineConfig</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75-logon-attempts-rules-$mcpool</t>
    </r>
    <r>
      <rPr>
        <sz val="11"/>
        <color rgb="FF000000"/>
        <rFont val="Calibri"/>
      </rPr>
      <t xml:space="preserve">
</t>
    </r>
    <r>
      <rPr>
        <sz val="11"/>
        <color rgb="FF000000"/>
        <rFont val="Calibri"/>
      </rPr>
      <t xml:space="preserve">  labels:</t>
    </r>
    <r>
      <rPr>
        <sz val="11"/>
        <color rgb="FF000000"/>
        <rFont val="Calibri"/>
      </rPr>
      <t xml:space="preserve">
</t>
    </r>
    <r>
      <rPr>
        <sz val="11"/>
        <color rgb="FF000000"/>
        <rFont val="Calibri"/>
      </rPr>
      <t xml:space="preserve">    machineconfiguration.openshift.io/role: $mcpool</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config:</t>
    </r>
    <r>
      <rPr>
        <sz val="11"/>
        <color rgb="FF000000"/>
        <rFont val="Calibri"/>
      </rPr>
      <t xml:space="preserve">
</t>
    </r>
    <r>
      <rPr>
        <sz val="11"/>
        <color rgb="FF000000"/>
        <rFont val="Calibri"/>
      </rPr>
      <t xml:space="preserve">    ignition:</t>
    </r>
    <r>
      <rPr>
        <sz val="11"/>
        <color rgb="FF000000"/>
        <rFont val="Calibri"/>
      </rPr>
      <t xml:space="preserve">
</t>
    </r>
    <r>
      <rPr>
        <sz val="11"/>
        <color rgb="FF000000"/>
        <rFont val="Calibri"/>
      </rPr>
      <t xml:space="preserve">      version: 3.1.0</t>
    </r>
    <r>
      <rPr>
        <sz val="11"/>
        <color rgb="FF000000"/>
        <rFont val="Calibri"/>
      </rPr>
      <t xml:space="preserve">
</t>
    </r>
    <r>
      <rPr>
        <sz val="11"/>
        <color rgb="FF000000"/>
        <rFont val="Calibri"/>
      </rPr>
      <t xml:space="preserve">    storage:</t>
    </r>
    <r>
      <rPr>
        <sz val="11"/>
        <color rgb="FF000000"/>
        <rFont val="Calibri"/>
      </rPr>
      <t xml:space="preserve">
</t>
    </r>
    <r>
      <rPr>
        <sz val="11"/>
        <color rgb="FF000000"/>
        <rFont val="Calibri"/>
      </rPr>
      <t xml:space="preserve">      files:</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data:,-w%20/var/run/faillock%20-p%20wa%20-k%20logins%0A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/etc/audit/rules.d/75-faillock_login_events.rules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data:,-w%20/var/log/lastlog%20-p%20wa%20-k%20logins%0A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/etc/audit/rules.d/75-lastlog_login_events.rules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data:,-w%20/etc/sudoers.d/%20-p%20wa%20-k%20actions%0A-w%20/etc/sudoers%20-p%20wa%20-k%20actions%0A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/etc/audit/rules.d/75-audit-sysadmin-actions.rules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data:,-w%20/etc/group%20-p%20wa%20-k%20audit_rules_usergroup_modification%0A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/etc/audit/rules.d/30-etc_group_usergroup_modification.rules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data:,-w%20/etc/gshadow%20-p%20wa%20-k%20audit_rules_usergroup_modification%0A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/etc/audit/rules.d/30-etc_gshadow_usergroup_modification.rules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data:,-w%20/etc/security/opasswd%20-p%20wa%20-k%20audit_rules_usergroup_modification%0A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/etc/audit/rules.d/30-etc_security_opasswd_usergroup_modification.rules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data:,-w%20/etc/passwd%20-p%20wa%20-k%20audit_rules_usergroup_modification%0A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/etc/audit/rules.d/30-etc_passwd_usergroup_modification.rules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data:,-w%20/etc/shadow%20-p%20wa%20-k%20audit_rules_usergroup_modification%0A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/etc/audit/rules.d/30-etc_shadow_usergroup_modification.rules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 oc apply -f -</t>
    </r>
    <r>
      <rPr>
        <sz val="11"/>
        <color rgb="FF000000"/>
        <rFont val="Calibri"/>
      </rPr>
      <t xml:space="preserve">
</t>
    </r>
    <r>
      <rPr>
        <sz val="11"/>
        <color rgb="FF000000"/>
        <rFont val="Calibri"/>
      </rPr>
      <t>done</t>
    </r>
  </si>
  <si>
    <r>
      <rPr>
        <sz val="11"/>
        <color rgb="FF000000"/>
        <rFont val="Calibri"/>
      </rPr>
      <t>Audit records provide valuable information for security monitoring and intrusion detection. By generating audit logs for logon attempts, OpenShift enables administrators and security teams to track and investigate any unauthorized or suspicious access attempts. These records serve as a vital source of information for detecting and responding to potential security breaches or unauthorized logon activities.</t>
    </r>
    <r>
      <rPr>
        <sz val="11"/>
        <color rgb="FF000000"/>
        <rFont val="Calibri"/>
      </rPr>
      <t xml:space="preserve">
</t>
    </r>
    <r>
      <rPr>
        <sz val="11"/>
        <color rgb="FF000000"/>
        <rFont val="Calibri"/>
      </rPr>
      <t>Generating audit records for logon attempts supports user accountability. Audit logs provide a trail of logon activities, allowing administrators to attribute specific logon events to individual users or entities. This promotes accountability and helps in identifying any unauthorized access attempts or suspicious behavior by specific users.</t>
    </r>
    <r>
      <rPr>
        <sz val="11"/>
        <color rgb="FF000000"/>
        <rFont val="Calibri"/>
      </rPr>
      <t xml:space="preserve">
</t>
    </r>
    <r>
      <rPr>
        <sz val="11"/>
        <color rgb="FF000000"/>
        <rFont val="Calibri"/>
      </rPr>
      <t>By monitoring logon activity logs, administrators and security teams can identify unusual or suspicious patterns of logon attempts. Forensic analysts can examine these records to reconstruct the timeline of logon activities and determine the scope and nature of the incident.</t>
    </r>
  </si>
  <si>
    <r>
      <rPr>
        <sz val="11"/>
        <color rgb="FF000000"/>
        <rFont val="Calibri"/>
      </rPr>
      <t>Verify that logons are audited by executing the following:</t>
    </r>
    <r>
      <rPr>
        <sz val="11"/>
        <color rgb="FF000000"/>
        <rFont val="Calibri"/>
      </rPr>
      <t xml:space="preserve">
</t>
    </r>
    <r>
      <rPr>
        <sz val="11"/>
        <color rgb="FF000000"/>
        <rFont val="Calibri"/>
      </rPr>
      <t>for node in $(oc get node -oname); do oc debug $node -- chroot /host /bin/bash -c 'echo -n ""$HOSTNAME ""; grep ""logins"" /etc/audit/audit.rules /etc/audit/rules.d/*' 2&gt;/dev/null; done</t>
    </r>
    <r>
      <rPr>
        <sz val="11"/>
        <color rgb="FF000000"/>
        <rFont val="Calibri"/>
      </rPr>
      <t xml:space="preserve">
</t>
    </r>
    <r>
      <rPr>
        <sz val="11"/>
        <color rgb="FF000000"/>
        <rFont val="Calibri"/>
      </rPr>
      <t>The output will look similar to:</t>
    </r>
    <r>
      <rPr>
        <sz val="11"/>
        <color rgb="FF000000"/>
        <rFont val="Calibri"/>
      </rPr>
      <t xml:space="preserve">
</t>
    </r>
    <r>
      <rPr>
        <sz val="11"/>
        <color rgb="FF000000"/>
        <rFont val="Calibri"/>
      </rPr>
      <t>node-name /etc/audit/&lt;file&gt;:-w /var/run/faillock -p wa -k logins</t>
    </r>
    <r>
      <rPr>
        <sz val="11"/>
        <color rgb="FF000000"/>
        <rFont val="Calibri"/>
      </rPr>
      <t xml:space="preserve">
</t>
    </r>
    <r>
      <rPr>
        <sz val="11"/>
        <color rgb="FF000000"/>
        <rFont val="Calibri"/>
      </rPr>
      <t>/etc/audit/&lt;file&gt;:-w /var/log/lastlog -p wa -k logins</t>
    </r>
    <r>
      <rPr>
        <sz val="11"/>
        <color rgb="FF000000"/>
        <rFont val="Calibri"/>
      </rPr>
      <t xml:space="preserve">
</t>
    </r>
    <r>
      <rPr>
        <sz val="11"/>
        <color rgb="FF000000"/>
        <rFont val="Calibri"/>
      </rPr>
      <t>If the two rules above are not found on each node, this is a finding.</t>
    </r>
  </si>
  <si>
    <t>V-257580</t>
  </si>
  <si>
    <r>
      <rPr>
        <sz val="11"/>
        <rFont val="Calibri"/>
      </rPr>
      <t>Red Hat Enterprise Linux CoreOS (RHCOS) must be configured to audit the loading and unloading of dynamic kernel modules.</t>
    </r>
  </si>
  <si>
    <r>
      <rPr>
        <sz val="11"/>
        <color rgb="FF000000"/>
        <rFont val="Calibri"/>
      </rPr>
      <t>Apply the machine config for audit rules capture by executing the following:</t>
    </r>
    <r>
      <rPr>
        <sz val="11"/>
        <color rgb="FF000000"/>
        <rFont val="Calibri"/>
      </rPr>
      <t xml:space="preserve">
</t>
    </r>
    <r>
      <rPr>
        <sz val="11"/>
        <color rgb="FF000000"/>
        <rFont val="Calibri"/>
      </rPr>
      <t>for mcpool in $(oc get mcp -oname | sed "s:.*/::" ); do</t>
    </r>
    <r>
      <rPr>
        <sz val="11"/>
        <color rgb="FF000000"/>
        <rFont val="Calibri"/>
      </rPr>
      <t xml:space="preserve">
</t>
    </r>
    <r>
      <rPr>
        <sz val="11"/>
        <color rgb="FF000000"/>
        <rFont val="Calibri"/>
      </rPr>
      <t>echo "apiVersion: machineconfiguration.openshift.io/v1</t>
    </r>
    <r>
      <rPr>
        <sz val="11"/>
        <color rgb="FF000000"/>
        <rFont val="Calibri"/>
      </rPr>
      <t xml:space="preserve">
</t>
    </r>
    <r>
      <rPr>
        <sz val="11"/>
        <color rgb="FF000000"/>
        <rFont val="Calibri"/>
      </rPr>
      <t>kind: MachineConfig</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75-kernel-modules-rules-$mcpool</t>
    </r>
    <r>
      <rPr>
        <sz val="11"/>
        <color rgb="FF000000"/>
        <rFont val="Calibri"/>
      </rPr>
      <t xml:space="preserve">
</t>
    </r>
    <r>
      <rPr>
        <sz val="11"/>
        <color rgb="FF000000"/>
        <rFont val="Calibri"/>
      </rPr>
      <t xml:space="preserve">  labels:</t>
    </r>
    <r>
      <rPr>
        <sz val="11"/>
        <color rgb="FF000000"/>
        <rFont val="Calibri"/>
      </rPr>
      <t xml:space="preserve">
</t>
    </r>
    <r>
      <rPr>
        <sz val="11"/>
        <color rgb="FF000000"/>
        <rFont val="Calibri"/>
      </rPr>
      <t xml:space="preserve">    machineconfiguration.openshift.io/role: $mcpool</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config:</t>
    </r>
    <r>
      <rPr>
        <sz val="11"/>
        <color rgb="FF000000"/>
        <rFont val="Calibri"/>
      </rPr>
      <t xml:space="preserve">
</t>
    </r>
    <r>
      <rPr>
        <sz val="11"/>
        <color rgb="FF000000"/>
        <rFont val="Calibri"/>
      </rPr>
      <t xml:space="preserve">    ignition:</t>
    </r>
    <r>
      <rPr>
        <sz val="11"/>
        <color rgb="FF000000"/>
        <rFont val="Calibri"/>
      </rPr>
      <t xml:space="preserve">
</t>
    </r>
    <r>
      <rPr>
        <sz val="11"/>
        <color rgb="FF000000"/>
        <rFont val="Calibri"/>
      </rPr>
      <t xml:space="preserve">      version: 3.1.0</t>
    </r>
    <r>
      <rPr>
        <sz val="11"/>
        <color rgb="FF000000"/>
        <rFont val="Calibri"/>
      </rPr>
      <t xml:space="preserve">
</t>
    </r>
    <r>
      <rPr>
        <sz val="11"/>
        <color rgb="FF000000"/>
        <rFont val="Calibri"/>
      </rPr>
      <t xml:space="preserve">    storage:</t>
    </r>
    <r>
      <rPr>
        <sz val="11"/>
        <color rgb="FF000000"/>
        <rFont val="Calibri"/>
      </rPr>
      <t xml:space="preserve">
</t>
    </r>
    <r>
      <rPr>
        <sz val="11"/>
        <color rgb="FF000000"/>
        <rFont val="Calibri"/>
      </rPr>
      <t xml:space="preserve">      files:</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23%23%20These%20rules%20watch%20for%20kernel%20module%20insertion.%20By%20monitoring%0A%23%23%20the%20syscall%2C%20we%20do%20not%20need%20any%20watches%20on%20programs.%0A-a%20always%2Cexit%20-F%20arch%3Db32%20-S%20init_module%2Cfinit_module%20-F%20key%3Dmodule-load%0A-a%20always%2Cexit%20-F%20arch%3Db64%20-S%20init_module%2Cfinit_module%20-F%20key%3Dmodule-load%0A-a%20always%2Cexit%20-F%20arch%3Db32%20-S%20delete_module%20-F%20key%3Dmodule-unload%0A-a%20always%2Cexit%20-F%20arch%3Db64%20-S%20delete_module%20-F%20key%3Dmodule-unload%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/etc/audit/rules.d/43-module-load.rules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data:,-a%20always%2Cexit%20-F%20arch%3Db32%20-S%20delete_module%20-k%20module-change%0A-a%20always%2Cexit%20-F%20arch%3Db64%20-S%20delete_module%20-k%20module-change%0A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/etc/audit/rules.d/75-kernel-module-loading-delete.rules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data:,-a%20always%2Cexit%20-F%20arch%3Db32%20-S%20finit_module%20-k%20module-change%0A-a%20always%2Cexit%20-F%20arch%3Db64%20-S%20finit_module%20-k%20module-change%0A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/etc/audit/rules.d/75-kernel-module-loading-finit.rules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data:,-a%20always%2Cexit%20-F%20arch%3Db32%20-S%20init_module%20-k%20module-change%0A-a%20always%2Cexit%20-F%20arch%3Db64%20-S%20init_module%20-k%20module-change%0A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/etc/audit/rules.d/75-kernel-module-loading-init.rules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 oc apply -f -</t>
    </r>
    <r>
      <rPr>
        <sz val="11"/>
        <color rgb="FF000000"/>
        <rFont val="Calibri"/>
      </rPr>
      <t xml:space="preserve">
</t>
    </r>
    <r>
      <rPr>
        <sz val="11"/>
        <color rgb="FF000000"/>
        <rFont val="Calibri"/>
      </rPr>
      <t>done</t>
    </r>
  </si>
  <si>
    <r>
      <rPr>
        <sz val="11"/>
        <color rgb="FF000000"/>
        <rFont val="Calibri"/>
      </rPr>
      <t>By generating audit logs for the loading and unloading of dynamic kernel modules, OpenShift enables administrators and security teams to track and investigate any unauthorized or suspicious changes to the kernel modules. These records serve as a vital source of information for detecting and responding to potential security breaches or unauthorized module manipulations.</t>
    </r>
    <r>
      <rPr>
        <sz val="11"/>
        <color rgb="FF000000"/>
        <rFont val="Calibri"/>
      </rPr>
      <t xml:space="preserve">
</t>
    </r>
    <r>
      <rPr>
        <sz val="11"/>
        <color rgb="FF000000"/>
        <rFont val="Calibri"/>
      </rPr>
      <t>Audit records play a crucial role in forensic analysis and investigation. In the event of a security incident or suspected compromise, audit logs for dynamic kernel module loading and unloading provide valuable information for understanding the sequence of events and identifying any unauthorized or malicious module manipulations.</t>
    </r>
    <r>
      <rPr>
        <sz val="11"/>
        <color rgb="FF000000"/>
        <rFont val="Calibri"/>
      </rPr>
      <t xml:space="preserve">
</t>
    </r>
    <r>
      <rPr>
        <sz val="11"/>
        <color rgb="FF000000"/>
        <rFont val="Calibri"/>
      </rPr>
      <t>Audit records for module loading and unloading can be used for system performance analysis and troubleshooting. By reviewing these records, administrators can identify any problematic or misbehaving modules that may affect system performance or stability. This helps in diagnosing and resolving issues related to kernel modules more effectively.</t>
    </r>
  </si>
  <si>
    <r>
      <rPr>
        <sz val="11"/>
        <color rgb="FF000000"/>
        <rFont val="Calibri"/>
      </rPr>
      <t>Verify the audit rules capture loading and unloading of kernel modules by executing the following: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for node in $(oc get node -oname); do oc debug $node -- chroot /host /bin/bash -c 'echo -n "$HOSTNAME "; grep -e module-load -e module-unload -e module-change /etc/audit/rules.d/* /etc/audit/audit.rules' 2&gt;/dev/null; done</t>
    </r>
    <r>
      <rPr>
        <sz val="11"/>
        <color rgb="FF000000"/>
        <rFont val="Calibri"/>
      </rPr>
      <t xml:space="preserve">
</t>
    </r>
    <r>
      <rPr>
        <sz val="11"/>
        <color rgb="FF000000"/>
        <rFont val="Calibri"/>
      </rPr>
      <t>Confirm the following rules exist on each node.</t>
    </r>
    <r>
      <rPr>
        <sz val="11"/>
        <color rgb="FF000000"/>
        <rFont val="Calibri"/>
      </rPr>
      <t xml:space="preserve">
</t>
    </r>
    <r>
      <rPr>
        <sz val="11"/>
        <color rgb="FF000000"/>
        <rFont val="Calibri"/>
      </rPr>
      <t>-a always,exit -F arch=b32 -S init_module,finit_module -F key=module-load</t>
    </r>
    <r>
      <rPr>
        <sz val="11"/>
        <color rgb="FF000000"/>
        <rFont val="Calibri"/>
      </rPr>
      <t xml:space="preserve">
</t>
    </r>
    <r>
      <rPr>
        <sz val="11"/>
        <color rgb="FF000000"/>
        <rFont val="Calibri"/>
      </rPr>
      <t>-a always,exit -F arch=b64 -S init_module,finit_module -F key=module-load</t>
    </r>
    <r>
      <rPr>
        <sz val="11"/>
        <color rgb="FF000000"/>
        <rFont val="Calibri"/>
      </rPr>
      <t xml:space="preserve">
</t>
    </r>
    <r>
      <rPr>
        <sz val="11"/>
        <color rgb="FF000000"/>
        <rFont val="Calibri"/>
      </rPr>
      <t>-a always,exit -F arch=b32 -S delete_module -F key=module-unload</t>
    </r>
    <r>
      <rPr>
        <sz val="11"/>
        <color rgb="FF000000"/>
        <rFont val="Calibri"/>
      </rPr>
      <t xml:space="preserve">
</t>
    </r>
    <r>
      <rPr>
        <sz val="11"/>
        <color rgb="FF000000"/>
        <rFont val="Calibri"/>
      </rPr>
      <t>-a always,exit -F arch=b64 -S delete_module -F key=module-unload</t>
    </r>
    <r>
      <rPr>
        <sz val="11"/>
        <color rgb="FF000000"/>
        <rFont val="Calibri"/>
      </rPr>
      <t xml:space="preserve">
</t>
    </r>
    <r>
      <rPr>
        <sz val="11"/>
        <color rgb="FF000000"/>
        <rFont val="Calibri"/>
      </rPr>
      <t>-a always,exit -F arch=b32 -S delete_module -k module-change</t>
    </r>
    <r>
      <rPr>
        <sz val="11"/>
        <color rgb="FF000000"/>
        <rFont val="Calibri"/>
      </rPr>
      <t xml:space="preserve">
</t>
    </r>
    <r>
      <rPr>
        <sz val="11"/>
        <color rgb="FF000000"/>
        <rFont val="Calibri"/>
      </rPr>
      <t>-a always,exit -F arch=b64 -S delete_module -k module-change</t>
    </r>
    <r>
      <rPr>
        <sz val="11"/>
        <color rgb="FF000000"/>
        <rFont val="Calibri"/>
      </rPr>
      <t xml:space="preserve">
</t>
    </r>
    <r>
      <rPr>
        <sz val="11"/>
        <color rgb="FF000000"/>
        <rFont val="Calibri"/>
      </rPr>
      <t>-a always,exit -F arch=b32 -S finit_module -k module-change</t>
    </r>
    <r>
      <rPr>
        <sz val="11"/>
        <color rgb="FF000000"/>
        <rFont val="Calibri"/>
      </rPr>
      <t xml:space="preserve">
</t>
    </r>
    <r>
      <rPr>
        <sz val="11"/>
        <color rgb="FF000000"/>
        <rFont val="Calibri"/>
      </rPr>
      <t>-a always,exit -F arch=b64 -S finit_module -k module-change</t>
    </r>
    <r>
      <rPr>
        <sz val="11"/>
        <color rgb="FF000000"/>
        <rFont val="Calibri"/>
      </rPr>
      <t xml:space="preserve">
</t>
    </r>
    <r>
      <rPr>
        <sz val="11"/>
        <color rgb="FF000000"/>
        <rFont val="Calibri"/>
      </rPr>
      <t>-a always,exit -F arch=b32 -S init_module -k module-change</t>
    </r>
    <r>
      <rPr>
        <sz val="11"/>
        <color rgb="FF000000"/>
        <rFont val="Calibri"/>
      </rPr>
      <t xml:space="preserve">
</t>
    </r>
    <r>
      <rPr>
        <sz val="11"/>
        <color rgb="FF000000"/>
        <rFont val="Calibri"/>
      </rPr>
      <t>-a always,exit -F arch=b64 -S init_module -k module-change</t>
    </r>
    <r>
      <rPr>
        <sz val="11"/>
        <color rgb="FF000000"/>
        <rFont val="Calibri"/>
      </rPr>
      <t xml:space="preserve">
</t>
    </r>
    <r>
      <rPr>
        <sz val="11"/>
        <color rgb="FF000000"/>
        <rFont val="Calibri"/>
      </rPr>
      <t>If the above rules are not listed for each node, this is a finding.</t>
    </r>
  </si>
  <si>
    <t>V-257581</t>
  </si>
  <si>
    <r>
      <rPr>
        <sz val="11"/>
        <rFont val="Calibri"/>
      </rPr>
      <t>OpenShift audit records must record user access start and end times.</t>
    </r>
  </si>
  <si>
    <r>
      <rPr>
        <sz val="11"/>
        <color rgb="FF000000"/>
        <rFont val="Calibri"/>
      </rPr>
      <t>Apply the machine config for user access times by executing the following:</t>
    </r>
    <r>
      <rPr>
        <sz val="11"/>
        <color rgb="FF000000"/>
        <rFont val="Calibri"/>
      </rPr>
      <t xml:space="preserve">
</t>
    </r>
    <r>
      <rPr>
        <sz val="11"/>
        <color rgb="FF000000"/>
        <rFont val="Calibri"/>
      </rPr>
      <t>for mcpool in $(oc get mcp -oname | sed "s:.*/::" ); do</t>
    </r>
    <r>
      <rPr>
        <sz val="11"/>
        <color rgb="FF000000"/>
        <rFont val="Calibri"/>
      </rPr>
      <t xml:space="preserve">
</t>
    </r>
    <r>
      <rPr>
        <sz val="11"/>
        <color rgb="FF000000"/>
        <rFont val="Calibri"/>
      </rPr>
      <t>echo "apiVersion: machineconfiguration.openshift.io/v1</t>
    </r>
    <r>
      <rPr>
        <sz val="11"/>
        <color rgb="FF000000"/>
        <rFont val="Calibri"/>
      </rPr>
      <t xml:space="preserve">
</t>
    </r>
    <r>
      <rPr>
        <sz val="11"/>
        <color rgb="FF000000"/>
        <rFont val="Calibri"/>
      </rPr>
      <t>kind: MachineConfig</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75-session-start-end-time-$mcpool</t>
    </r>
    <r>
      <rPr>
        <sz val="11"/>
        <color rgb="FF000000"/>
        <rFont val="Calibri"/>
      </rPr>
      <t xml:space="preserve">
</t>
    </r>
    <r>
      <rPr>
        <sz val="11"/>
        <color rgb="FF000000"/>
        <rFont val="Calibri"/>
      </rPr>
      <t xml:space="preserve">  labels:</t>
    </r>
    <r>
      <rPr>
        <sz val="11"/>
        <color rgb="FF000000"/>
        <rFont val="Calibri"/>
      </rPr>
      <t xml:space="preserve">
</t>
    </r>
    <r>
      <rPr>
        <sz val="11"/>
        <color rgb="FF000000"/>
        <rFont val="Calibri"/>
      </rPr>
      <t xml:space="preserve">    machineconfiguration.openshift.io/role: $mcpool</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config:</t>
    </r>
    <r>
      <rPr>
        <sz val="11"/>
        <color rgb="FF000000"/>
        <rFont val="Calibri"/>
      </rPr>
      <t xml:space="preserve">
</t>
    </r>
    <r>
      <rPr>
        <sz val="11"/>
        <color rgb="FF000000"/>
        <rFont val="Calibri"/>
      </rPr>
      <t xml:space="preserve">    ignition:</t>
    </r>
    <r>
      <rPr>
        <sz val="11"/>
        <color rgb="FF000000"/>
        <rFont val="Calibri"/>
      </rPr>
      <t xml:space="preserve">
</t>
    </r>
    <r>
      <rPr>
        <sz val="11"/>
        <color rgb="FF000000"/>
        <rFont val="Calibri"/>
      </rPr>
      <t xml:space="preserve">      version: 3.1.0</t>
    </r>
    <r>
      <rPr>
        <sz val="11"/>
        <color rgb="FF000000"/>
        <rFont val="Calibri"/>
      </rPr>
      <t xml:space="preserve">
</t>
    </r>
    <r>
      <rPr>
        <sz val="11"/>
        <color rgb="FF000000"/>
        <rFont val="Calibri"/>
      </rPr>
      <t xml:space="preserve">    storage:</t>
    </r>
    <r>
      <rPr>
        <sz val="11"/>
        <color rgb="FF000000"/>
        <rFont val="Calibri"/>
      </rPr>
      <t xml:space="preserve">
</t>
    </r>
    <r>
      <rPr>
        <sz val="11"/>
        <color rgb="FF000000"/>
        <rFont val="Calibri"/>
      </rPr>
      <t xml:space="preserve">      files:</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data:,-w%20/var/log/btmp%20-p%20wa%20-k%20session%0A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/etc/audit/rules.d/75-var_log_btmp_write_events.rules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data:,-w%20/var/log/utmp%20-p%20wa%20-k%20session%0A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/etc/audit/rules.d/75-var_log_utmp_write_events.rules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 oc apply -f -</t>
    </r>
    <r>
      <rPr>
        <sz val="11"/>
        <color rgb="FF000000"/>
        <rFont val="Calibri"/>
      </rPr>
      <t xml:space="preserve">
</t>
    </r>
    <r>
      <rPr>
        <sz val="11"/>
        <color rgb="FF000000"/>
        <rFont val="Calibri"/>
      </rPr>
      <t>done</t>
    </r>
  </si>
  <si>
    <r>
      <rPr>
        <sz val="11"/>
        <color rgb="FF000000"/>
        <rFont val="Calibri"/>
      </rPr>
      <t>OpenShift must generate audit records showing start and end times for users and services acting on behalf of a user accessing the registry and keystore. These components must use the same standard so that the events can be tied together to understand what took place within the overall container platform. This must establish, correlate, and help assist with investigating the events relating to an incident, or identify those responsible.</t>
    </r>
  </si>
  <si>
    <r>
      <rPr>
        <sz val="11"/>
        <color rgb="FF000000"/>
        <rFont val="Calibri"/>
      </rPr>
      <t>Verify the Red Hat Enterprise Linux CoreOS (RHCOS) is configured to generate audit records showing starting and ending times for user access by executing the following: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for node in $(oc get node -oname); do oc debug $node -- chroot /host /bin/bash -c 'echo -n "$HOSTNAME "; grep -e "-k session" /etc/audit/audit.rules' 2&gt;/dev/null; done</t>
    </r>
    <r>
      <rPr>
        <sz val="11"/>
        <color rgb="FF000000"/>
        <rFont val="Calibri"/>
      </rPr>
      <t xml:space="preserve">
</t>
    </r>
    <r>
      <rPr>
        <sz val="11"/>
        <color rgb="FF000000"/>
        <rFont val="Calibri"/>
      </rPr>
      <t>Confirm the following rules exist on each node:</t>
    </r>
    <r>
      <rPr>
        <sz val="11"/>
        <color rgb="FF000000"/>
        <rFont val="Calibri"/>
      </rPr>
      <t xml:space="preserve">
</t>
    </r>
    <r>
      <rPr>
        <sz val="11"/>
        <color rgb="FF000000"/>
        <rFont val="Calibri"/>
      </rPr>
      <t xml:space="preserve"> -w /var/log/btmp -p wa -k session</t>
    </r>
    <r>
      <rPr>
        <sz val="11"/>
        <color rgb="FF000000"/>
        <rFont val="Calibri"/>
      </rPr>
      <t xml:space="preserve">
</t>
    </r>
    <r>
      <rPr>
        <sz val="11"/>
        <color rgb="FF000000"/>
        <rFont val="Calibri"/>
      </rPr>
      <t>-w /var/log/utmp -p wa -k session</t>
    </r>
    <r>
      <rPr>
        <sz val="11"/>
        <color rgb="FF000000"/>
        <rFont val="Calibri"/>
      </rPr>
      <t xml:space="preserve">
</t>
    </r>
    <r>
      <rPr>
        <sz val="11"/>
        <color rgb="FF000000"/>
        <rFont val="Calibri"/>
      </rPr>
      <t>If the above rules are not listed on each node, this is a finding.</t>
    </r>
  </si>
  <si>
    <t>V-257582</t>
  </si>
  <si>
    <r>
      <rPr>
        <sz val="11"/>
        <rFont val="Calibri"/>
      </rPr>
      <t>OpenShift must generate audit records when concurrent logons from different workstations and systems occur.</t>
    </r>
  </si>
  <si>
    <r>
      <rPr>
        <sz val="11"/>
        <color rgb="FF000000"/>
        <rFont val="Calibri"/>
      </rPr>
      <t>Apply the machine config so concurrent logons are audited by executing the following:</t>
    </r>
    <r>
      <rPr>
        <sz val="11"/>
        <color rgb="FF000000"/>
        <rFont val="Calibri"/>
      </rPr>
      <t xml:space="preserve">
</t>
    </r>
    <r>
      <rPr>
        <sz val="11"/>
        <color rgb="FF000000"/>
        <rFont val="Calibri"/>
      </rPr>
      <t>for mcpool in $(oc get mcp -oname | sed "s:.*/::" ); do</t>
    </r>
    <r>
      <rPr>
        <sz val="11"/>
        <color rgb="FF000000"/>
        <rFont val="Calibri"/>
      </rPr>
      <t xml:space="preserve">
</t>
    </r>
    <r>
      <rPr>
        <sz val="11"/>
        <color rgb="FF000000"/>
        <rFont val="Calibri"/>
      </rPr>
      <t>echo "apiVersion: machineconfiguration.openshift.io/v1</t>
    </r>
    <r>
      <rPr>
        <sz val="11"/>
        <color rgb="FF000000"/>
        <rFont val="Calibri"/>
      </rPr>
      <t xml:space="preserve">
</t>
    </r>
    <r>
      <rPr>
        <sz val="11"/>
        <color rgb="FF000000"/>
        <rFont val="Calibri"/>
      </rPr>
      <t>kind: MachineConfig</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75-concurrent-logons-rules</t>
    </r>
    <r>
      <rPr>
        <sz val="11"/>
        <color rgb="FF000000"/>
        <rFont val="Calibri"/>
      </rPr>
      <t xml:space="preserve">
</t>
    </r>
    <r>
      <rPr>
        <sz val="11"/>
        <color rgb="FF000000"/>
        <rFont val="Calibri"/>
      </rPr>
      <t xml:space="preserve">  labels:</t>
    </r>
    <r>
      <rPr>
        <sz val="11"/>
        <color rgb="FF000000"/>
        <rFont val="Calibri"/>
      </rPr>
      <t xml:space="preserve">
</t>
    </r>
    <r>
      <rPr>
        <sz val="11"/>
        <color rgb="FF000000"/>
        <rFont val="Calibri"/>
      </rPr>
      <t xml:space="preserve">    machineconfiguration.openshift.io/role: $mcpool</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config:</t>
    </r>
    <r>
      <rPr>
        <sz val="11"/>
        <color rgb="FF000000"/>
        <rFont val="Calibri"/>
      </rPr>
      <t xml:space="preserve">
</t>
    </r>
    <r>
      <rPr>
        <sz val="11"/>
        <color rgb="FF000000"/>
        <rFont val="Calibri"/>
      </rPr>
      <t xml:space="preserve">    ignition:</t>
    </r>
    <r>
      <rPr>
        <sz val="11"/>
        <color rgb="FF000000"/>
        <rFont val="Calibri"/>
      </rPr>
      <t xml:space="preserve">
</t>
    </r>
    <r>
      <rPr>
        <sz val="11"/>
        <color rgb="FF000000"/>
        <rFont val="Calibri"/>
      </rPr>
      <t xml:space="preserve">      version: 3.1.0</t>
    </r>
    <r>
      <rPr>
        <sz val="11"/>
        <color rgb="FF000000"/>
        <rFont val="Calibri"/>
      </rPr>
      <t xml:space="preserve">
</t>
    </r>
    <r>
      <rPr>
        <sz val="11"/>
        <color rgb="FF000000"/>
        <rFont val="Calibri"/>
      </rPr>
      <t xml:space="preserve">    storage:</t>
    </r>
    <r>
      <rPr>
        <sz val="11"/>
        <color rgb="FF000000"/>
        <rFont val="Calibri"/>
      </rPr>
      <t xml:space="preserve">
</t>
    </r>
    <r>
      <rPr>
        <sz val="11"/>
        <color rgb="FF000000"/>
        <rFont val="Calibri"/>
      </rPr>
      <t xml:space="preserve">      files:</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data:,-w%20/var/run/faillock%20-p%20wa%20-k%20logins%0A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/etc/audit/rules.d/75-faillock_login_events.rules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data:,-w%20/var/log/lastlog%20-p%20wa%20-k%20logins%0A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/etc/audit/rules.d/75-lastlog_login_events.rules</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 oc apply -f -</t>
    </r>
    <r>
      <rPr>
        <sz val="11"/>
        <color rgb="FF000000"/>
        <rFont val="Calibri"/>
      </rPr>
      <t xml:space="preserve">
</t>
    </r>
    <r>
      <rPr>
        <sz val="11"/>
        <color rgb="FF000000"/>
        <rFont val="Calibri"/>
      </rPr>
      <t>done</t>
    </r>
  </si>
  <si>
    <r>
      <rPr>
        <sz val="11"/>
        <color rgb="FF000000"/>
        <rFont val="Calibri"/>
      </rPr>
      <t>OpenShift and its components must generate audit records for concurrent logons from workstations perform remote maintenance, runtime instances, connectivity to the container registry, and keystore. All the components must use the same standard so the events can be tied together to understand what took place within the overall container platform. This must establish, correlate, and help assist with investigating the events relating to an incident, or identify those responsible.</t>
    </r>
  </si>
  <si>
    <r>
      <rPr>
        <sz val="11"/>
        <color rgb="FF000000"/>
        <rFont val="Calibri"/>
      </rPr>
      <t>Verify that concurrent logons are audited by executing the following:</t>
    </r>
    <r>
      <rPr>
        <sz val="11"/>
        <color rgb="FF000000"/>
        <rFont val="Calibri"/>
      </rPr>
      <t xml:space="preserve">
</t>
    </r>
    <r>
      <rPr>
        <sz val="11"/>
        <color rgb="FF000000"/>
        <rFont val="Calibri"/>
      </rPr>
      <t>for node in $(oc get node -oname); do oc debug $node -- chroot /host /bin/bash -c 'echo -n "$HOSTNAME "; grep "logins" /etc/audit/audit.rules /etc/audit/rules.d/*' 2&gt;/dev/null; done</t>
    </r>
    <r>
      <rPr>
        <sz val="11"/>
        <color rgb="FF000000"/>
        <rFont val="Calibri"/>
      </rPr>
      <t xml:space="preserve">
</t>
    </r>
    <r>
      <rPr>
        <sz val="11"/>
        <color rgb="FF000000"/>
        <rFont val="Calibri"/>
      </rPr>
      <t>The output will look similar to:</t>
    </r>
    <r>
      <rPr>
        <sz val="11"/>
        <color rgb="FF000000"/>
        <rFont val="Calibri"/>
      </rPr>
      <t xml:space="preserve">
</t>
    </r>
    <r>
      <rPr>
        <sz val="11"/>
        <color rgb="FF000000"/>
        <rFont val="Calibri"/>
      </rPr>
      <t>node-name /etc/audit/&lt;file&gt;:-w /var/run/faillock -p wa -k logins</t>
    </r>
    <r>
      <rPr>
        <sz val="11"/>
        <color rgb="FF000000"/>
        <rFont val="Calibri"/>
      </rPr>
      <t xml:space="preserve">
</t>
    </r>
    <r>
      <rPr>
        <sz val="11"/>
        <color rgb="FF000000"/>
        <rFont val="Calibri"/>
      </rPr>
      <t>/etc/audit/&lt;file&gt;:-w /var/log/lastlog -p wa -k logins</t>
    </r>
    <r>
      <rPr>
        <sz val="11"/>
        <color rgb="FF000000"/>
        <rFont val="Calibri"/>
      </rPr>
      <t xml:space="preserve">
</t>
    </r>
    <r>
      <rPr>
        <sz val="11"/>
        <color rgb="FF000000"/>
        <rFont val="Calibri"/>
      </rPr>
      <t>If the two rules above are not found on each node, this is a finding.</t>
    </r>
  </si>
  <si>
    <t>V-257583</t>
  </si>
  <si>
    <r>
      <rPr>
        <sz val="11"/>
        <rFont val="Calibri"/>
      </rPr>
      <t>Red Hat Enterprise Linux CoreOS (RHCOS) must disable SSHD service.</t>
    </r>
  </si>
  <si>
    <r>
      <rPr>
        <sz val="11"/>
        <color rgb="FF000000"/>
        <rFont val="Calibri"/>
      </rPr>
      <t xml:space="preserve">Apply the machine config to disable SSHD service by executing following: </t>
    </r>
    <r>
      <rPr>
        <sz val="11"/>
        <color rgb="FF000000"/>
        <rFont val="Calibri"/>
      </rPr>
      <t xml:space="preserve">
</t>
    </r>
    <r>
      <rPr>
        <sz val="11"/>
        <color rgb="FF000000"/>
        <rFont val="Calibri"/>
      </rPr>
      <t xml:space="preserve">for mcpool in $(oc get mcp -oname | sed "s:.*/::" ); do </t>
    </r>
    <r>
      <rPr>
        <sz val="11"/>
        <color rgb="FF000000"/>
        <rFont val="Calibri"/>
      </rPr>
      <t xml:space="preserve">
</t>
    </r>
    <r>
      <rPr>
        <sz val="11"/>
        <color rgb="FF000000"/>
        <rFont val="Calibri"/>
      </rPr>
      <t>echo "apiVersion: machineconfiguration.openshift.io/v1</t>
    </r>
    <r>
      <rPr>
        <sz val="11"/>
        <color rgb="FF000000"/>
        <rFont val="Calibri"/>
      </rPr>
      <t xml:space="preserve">
</t>
    </r>
    <r>
      <rPr>
        <sz val="11"/>
        <color rgb="FF000000"/>
        <rFont val="Calibri"/>
      </rPr>
      <t>kind: MachineConfig</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80-sshd-service-disable-$mcpool</t>
    </r>
    <r>
      <rPr>
        <sz val="11"/>
        <color rgb="FF000000"/>
        <rFont val="Calibri"/>
      </rPr>
      <t xml:space="preserve">
</t>
    </r>
    <r>
      <rPr>
        <sz val="11"/>
        <color rgb="FF000000"/>
        <rFont val="Calibri"/>
      </rPr>
      <t xml:space="preserve">  labels:</t>
    </r>
    <r>
      <rPr>
        <sz val="11"/>
        <color rgb="FF000000"/>
        <rFont val="Calibri"/>
      </rPr>
      <t xml:space="preserve">
</t>
    </r>
    <r>
      <rPr>
        <sz val="11"/>
        <color rgb="FF000000"/>
        <rFont val="Calibri"/>
      </rPr>
      <t xml:space="preserve">    machineconfiguration.openshift.io/role: $mcpool</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config:</t>
    </r>
    <r>
      <rPr>
        <sz val="11"/>
        <color rgb="FF000000"/>
        <rFont val="Calibri"/>
      </rPr>
      <t xml:space="preserve">
</t>
    </r>
    <r>
      <rPr>
        <sz val="11"/>
        <color rgb="FF000000"/>
        <rFont val="Calibri"/>
      </rPr>
      <t xml:space="preserve">    ignition:</t>
    </r>
    <r>
      <rPr>
        <sz val="11"/>
        <color rgb="FF000000"/>
        <rFont val="Calibri"/>
      </rPr>
      <t xml:space="preserve">
</t>
    </r>
    <r>
      <rPr>
        <sz val="11"/>
        <color rgb="FF000000"/>
        <rFont val="Calibri"/>
      </rPr>
      <t xml:space="preserve">      version: 3.1.0</t>
    </r>
    <r>
      <rPr>
        <sz val="11"/>
        <color rgb="FF000000"/>
        <rFont val="Calibri"/>
      </rPr>
      <t xml:space="preserve">
</t>
    </r>
    <r>
      <rPr>
        <sz val="11"/>
        <color rgb="FF000000"/>
        <rFont val="Calibri"/>
      </rPr>
      <t xml:space="preserve">    systemd:</t>
    </r>
    <r>
      <rPr>
        <sz val="11"/>
        <color rgb="FF000000"/>
        <rFont val="Calibri"/>
      </rPr>
      <t xml:space="preserve">
</t>
    </r>
    <r>
      <rPr>
        <sz val="11"/>
        <color rgb="FF000000"/>
        <rFont val="Calibri"/>
      </rPr>
      <t xml:space="preserve">      units:</t>
    </r>
    <r>
      <rPr>
        <sz val="11"/>
        <color rgb="FF000000"/>
        <rFont val="Calibri"/>
      </rPr>
      <t xml:space="preserve">
</t>
    </r>
    <r>
      <rPr>
        <sz val="11"/>
        <color rgb="FF000000"/>
        <rFont val="Calibri"/>
      </rPr>
      <t xml:space="preserve">      - name: sshd.service</t>
    </r>
    <r>
      <rPr>
        <sz val="11"/>
        <color rgb="FF000000"/>
        <rFont val="Calibri"/>
      </rPr>
      <t xml:space="preserve">
</t>
    </r>
    <r>
      <rPr>
        <sz val="11"/>
        <color rgb="FF000000"/>
        <rFont val="Calibri"/>
      </rPr>
      <t xml:space="preserve">        enabled: false</t>
    </r>
    <r>
      <rPr>
        <sz val="11"/>
        <color rgb="FF000000"/>
        <rFont val="Calibri"/>
      </rPr>
      <t xml:space="preserve">
</t>
    </r>
    <r>
      <rPr>
        <sz val="11"/>
        <color rgb="FF000000"/>
        <rFont val="Calibri"/>
      </rPr>
      <t>" | oc apply -f -</t>
    </r>
    <r>
      <rPr>
        <sz val="11"/>
        <color rgb="FF000000"/>
        <rFont val="Calibri"/>
      </rPr>
      <t xml:space="preserve">
</t>
    </r>
    <r>
      <rPr>
        <sz val="11"/>
        <color rgb="FF000000"/>
        <rFont val="Calibri"/>
      </rPr>
      <t>done</t>
    </r>
  </si>
  <si>
    <r>
      <rPr>
        <sz val="11"/>
        <color rgb="FF000000"/>
        <rFont val="Calibri"/>
      </rPr>
      <t xml:space="preserve">Any direct remote access to the RHCOS nodes is not allowed. RHCOS is a single-purpose container operating system and is only supported as a component of the OpenShift Container Platform. Remote management of the RHCOS nodes is performed at the OpenShift Container Platform API level. </t>
    </r>
    <r>
      <rPr>
        <sz val="11"/>
        <color rgb="FF000000"/>
        <rFont val="Calibri"/>
      </rPr>
      <t xml:space="preserve">
</t>
    </r>
    <r>
      <rPr>
        <sz val="11"/>
        <color rgb="FF000000"/>
        <rFont val="Calibri"/>
      </rPr>
      <t>Disabling the SSHD service reduces the attack surface and potential vulnerabilities associated with SSH access. SSH is a commonly targeted vector by malicious actors, and disabling the service eliminates the potential risks associated with unauthorized SSH access or exploitation of SSH-related vulnerabilities.</t>
    </r>
    <r>
      <rPr>
        <sz val="11"/>
        <color rgb="FF000000"/>
        <rFont val="Calibri"/>
      </rPr>
      <t xml:space="preserve">
</t>
    </r>
    <r>
      <rPr>
        <sz val="11"/>
        <color rgb="FF000000"/>
        <rFont val="Calibri"/>
      </rPr>
      <t>By disabling SSHD, OpenShift can restrict access to the platform to only authorized channels and protocols. This helps mitigate the risk of unauthorized access attempts and reduces the exposure to potential brute-force attacks or password-guessing attacks against SSH.</t>
    </r>
    <r>
      <rPr>
        <sz val="11"/>
        <color rgb="FF000000"/>
        <rFont val="Calibri"/>
      </rPr>
      <t xml:space="preserve">
</t>
    </r>
    <r>
      <rPr>
        <sz val="11"/>
        <color rgb="FF000000"/>
        <rFont val="Calibri"/>
      </rPr>
      <t>Disabling SSHD encourages the use of more secure and controlled access mechanisms, such as API-based access or secure remote management tools provided by OpenShift. These mechanisms offer better access control and auditing capabilities, allowing administrators to manage and monitor access to the platform more effectively.</t>
    </r>
    <r>
      <rPr>
        <sz val="11"/>
        <color rgb="FF000000"/>
        <rFont val="Calibri"/>
      </rPr>
      <t xml:space="preserve">
</t>
    </r>
    <r>
      <rPr>
        <sz val="11"/>
        <color rgb="FF000000"/>
        <rFont val="Calibri"/>
      </rPr>
      <t>Satisfies: SRG-APP-000141-CTR-000315, SRG-APP-000185-CTR-000490</t>
    </r>
  </si>
  <si>
    <r>
      <rPr>
        <sz val="11"/>
        <color rgb="FF000000"/>
        <rFont val="Calibri"/>
      </rPr>
      <t>Verify the SSHD service is inactive and disabled by executing the following:</t>
    </r>
    <r>
      <rPr>
        <sz val="11"/>
        <color rgb="FF000000"/>
        <rFont val="Calibri"/>
      </rPr>
      <t xml:space="preserve">
</t>
    </r>
    <r>
      <rPr>
        <sz val="11"/>
        <color rgb="FF000000"/>
        <rFont val="Calibri"/>
      </rPr>
      <t xml:space="preserve">for node in $(oc get node -oname); do oc debug $node -- chroot /host /bin/bash -c 'echo -n "$HOSTNAME "; systemctl is-enabled sshd.service; systemctl is-active sshd.service' 2&gt;/dev/null; done </t>
    </r>
    <r>
      <rPr>
        <sz val="11"/>
        <color rgb="FF000000"/>
        <rFont val="Calibri"/>
      </rPr>
      <t xml:space="preserve">
</t>
    </r>
    <r>
      <rPr>
        <sz val="11"/>
        <color rgb="FF000000"/>
        <rFont val="Calibri"/>
      </rPr>
      <t>If the SSHD service is either active or enabled this is a finding.</t>
    </r>
  </si>
  <si>
    <t>V-257584</t>
  </si>
  <si>
    <r>
      <rPr>
        <sz val="11"/>
        <rFont val="Calibri"/>
      </rPr>
      <t>Red Hat Enterprise Linux CoreOS (RHCOS) must disable USB Storage kernel module.</t>
    </r>
  </si>
  <si>
    <r>
      <rPr>
        <sz val="11"/>
        <color rgb="FF000000"/>
        <rFont val="Calibri"/>
      </rPr>
      <t>Apply the machine config to disable USB Storage to load USB Storage kernel module by executing the following: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for mcpool in $(oc get mcp -oname | sed &amp;#039;s:.*/::&amp;#039; ); do</t>
    </r>
    <r>
      <rPr>
        <sz val="11"/>
        <color rgb="FF000000"/>
        <rFont val="Calibri"/>
      </rPr>
      <t xml:space="preserve">
</t>
    </r>
    <r>
      <rPr>
        <sz val="11"/>
        <color rgb="FF000000"/>
        <rFont val="Calibri"/>
      </rPr>
      <t xml:space="preserve"> echo &amp;#039;apiVersion: machineconfiguration.openshift.io/v1</t>
    </r>
    <r>
      <rPr>
        <sz val="11"/>
        <color rgb="FF000000"/>
        <rFont val="Calibri"/>
      </rPr>
      <t xml:space="preserve">
</t>
    </r>
    <r>
      <rPr>
        <sz val="11"/>
        <color rgb="FF000000"/>
        <rFont val="Calibri"/>
      </rPr>
      <t xml:space="preserve"> kind: MachineConfig</t>
    </r>
    <r>
      <rPr>
        <sz val="11"/>
        <color rgb="FF000000"/>
        <rFont val="Calibri"/>
      </rPr>
      <t xml:space="preserve">
</t>
    </r>
    <r>
      <rPr>
        <sz val="11"/>
        <color rgb="FF000000"/>
        <rFont val="Calibri"/>
      </rPr>
      <t xml:space="preserve"> metadata:</t>
    </r>
    <r>
      <rPr>
        <sz val="11"/>
        <color rgb="FF000000"/>
        <rFont val="Calibri"/>
      </rPr>
      <t xml:space="preserve">
</t>
    </r>
    <r>
      <rPr>
        <sz val="11"/>
        <color rgb="FF000000"/>
        <rFont val="Calibri"/>
      </rPr>
      <t xml:space="preserve">  name: 80-kernmod-usb-storage-disable-$mcpool</t>
    </r>
    <r>
      <rPr>
        <sz val="11"/>
        <color rgb="FF000000"/>
        <rFont val="Calibri"/>
      </rPr>
      <t xml:space="preserve">
</t>
    </r>
    <r>
      <rPr>
        <sz val="11"/>
        <color rgb="FF000000"/>
        <rFont val="Calibri"/>
      </rPr>
      <t xml:space="preserve">  labels:</t>
    </r>
    <r>
      <rPr>
        <sz val="11"/>
        <color rgb="FF000000"/>
        <rFont val="Calibri"/>
      </rPr>
      <t xml:space="preserve">
</t>
    </r>
    <r>
      <rPr>
        <sz val="11"/>
        <color rgb="FF000000"/>
        <rFont val="Calibri"/>
      </rPr>
      <t xml:space="preserve">  machineconfiguration.openshift.io/role: $mcpool</t>
    </r>
    <r>
      <rPr>
        <sz val="11"/>
        <color rgb="FF000000"/>
        <rFont val="Calibri"/>
      </rPr>
      <t xml:space="preserve">
</t>
    </r>
    <r>
      <rPr>
        <sz val="11"/>
        <color rgb="FF000000"/>
        <rFont val="Calibri"/>
      </rPr>
      <t xml:space="preserve"> spec:</t>
    </r>
    <r>
      <rPr>
        <sz val="11"/>
        <color rgb="FF000000"/>
        <rFont val="Calibri"/>
      </rPr>
      <t xml:space="preserve">
</t>
    </r>
    <r>
      <rPr>
        <sz val="11"/>
        <color rgb="FF000000"/>
        <rFont val="Calibri"/>
      </rPr>
      <t xml:space="preserve">  config:</t>
    </r>
    <r>
      <rPr>
        <sz val="11"/>
        <color rgb="FF000000"/>
        <rFont val="Calibri"/>
      </rPr>
      <t xml:space="preserve">
</t>
    </r>
    <r>
      <rPr>
        <sz val="11"/>
        <color rgb="FF000000"/>
        <rFont val="Calibri"/>
      </rPr>
      <t xml:space="preserve">  ignition:</t>
    </r>
    <r>
      <rPr>
        <sz val="11"/>
        <color rgb="FF000000"/>
        <rFont val="Calibri"/>
      </rPr>
      <t xml:space="preserve">
</t>
    </r>
    <r>
      <rPr>
        <sz val="11"/>
        <color rgb="FF000000"/>
        <rFont val="Calibri"/>
      </rPr>
      <t xml:space="preserve">  version: 3.1.0</t>
    </r>
    <r>
      <rPr>
        <sz val="11"/>
        <color rgb="FF000000"/>
        <rFont val="Calibri"/>
      </rPr>
      <t xml:space="preserve">
</t>
    </r>
    <r>
      <rPr>
        <sz val="11"/>
        <color rgb="FF000000"/>
        <rFont val="Calibri"/>
      </rPr>
      <t xml:space="preserve">  storage:</t>
    </r>
    <r>
      <rPr>
        <sz val="11"/>
        <color rgb="FF000000"/>
        <rFont val="Calibri"/>
      </rPr>
      <t xml:space="preserve">
</t>
    </r>
    <r>
      <rPr>
        <sz val="11"/>
        <color rgb="FF000000"/>
        <rFont val="Calibri"/>
      </rPr>
      <t xml:space="preserve">  files:</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data:,install%20usb-storage%20/bin/true%0A</t>
    </r>
    <r>
      <rPr>
        <sz val="11"/>
        <color rgb="FF000000"/>
        <rFont val="Calibri"/>
      </rPr>
      <t xml:space="preserve">
</t>
    </r>
    <r>
      <rPr>
        <sz val="11"/>
        <color rgb="FF000000"/>
        <rFont val="Calibri"/>
      </rPr>
      <t xml:space="preserve">  mode: 0644</t>
    </r>
    <r>
      <rPr>
        <sz val="11"/>
        <color rgb="FF000000"/>
        <rFont val="Calibri"/>
      </rPr>
      <t xml:space="preserve">
</t>
    </r>
    <r>
      <rPr>
        <sz val="11"/>
        <color rgb="FF000000"/>
        <rFont val="Calibri"/>
      </rPr>
      <t xml:space="preserve">  path: /etc/modprobe.d/75-kernel_module_usb-storage_disabled.conf</t>
    </r>
    <r>
      <rPr>
        <sz val="11"/>
        <color rgb="FF000000"/>
        <rFont val="Calibri"/>
      </rPr>
      <t xml:space="preserve">
</t>
    </r>
    <r>
      <rPr>
        <sz val="11"/>
        <color rgb="FF000000"/>
        <rFont val="Calibri"/>
      </rPr>
      <t xml:space="preserve">  overwrite: true</t>
    </r>
    <r>
      <rPr>
        <sz val="11"/>
        <color rgb="FF000000"/>
        <rFont val="Calibri"/>
      </rPr>
      <t xml:space="preserve">
</t>
    </r>
    <r>
      <rPr>
        <sz val="11"/>
        <color rgb="FF000000"/>
        <rFont val="Calibri"/>
      </rPr>
      <t xml:space="preserve"> &amp;#039; | oc apply -f -</t>
    </r>
    <r>
      <rPr>
        <sz val="11"/>
        <color rgb="FF000000"/>
        <rFont val="Calibri"/>
      </rPr>
      <t xml:space="preserve">
</t>
    </r>
    <r>
      <rPr>
        <sz val="11"/>
        <color rgb="FF000000"/>
        <rFont val="Calibri"/>
      </rPr>
      <t xml:space="preserve"> done</t>
    </r>
    <r>
      <rPr>
        <sz val="11"/>
        <color rgb="FF000000"/>
        <rFont val="Calibri"/>
      </rPr>
      <t xml:space="preserve">
</t>
    </r>
    <r>
      <rPr>
        <sz val="11"/>
        <color rgb="FF000000"/>
        <rFont val="Calibri"/>
      </rPr>
      <t>Where OpenShift Virtualization is enabled:</t>
    </r>
    <r>
      <rPr>
        <sz val="11"/>
        <color rgb="FF000000"/>
        <rFont val="Calibri"/>
      </rPr>
      <t xml:space="preserve">
</t>
    </r>
    <r>
      <rPr>
        <sz val="11"/>
        <color rgb="FF000000"/>
        <rFont val="Calibri"/>
      </rPr>
      <t>Remove individual devices (e.g. DEVICE_A at index 0):</t>
    </r>
    <r>
      <rPr>
        <sz val="11"/>
        <color rgb="FF000000"/>
        <rFont val="Calibri"/>
      </rPr>
      <t xml:space="preserve">
</t>
    </r>
    <r>
      <rPr>
        <sz val="11"/>
        <color rgb="FF000000"/>
        <rFont val="Calibri"/>
      </rPr>
      <t>$ oc patch hyperconverged kubevirt-hyperconverged -n openshift-cnv</t>
    </r>
    <r>
      <rPr>
        <sz val="11"/>
        <color rgb="FF000000"/>
        <rFont val="Calibri"/>
      </rPr>
      <t xml:space="preserve">
</t>
    </r>
    <r>
      <rPr>
        <sz val="11"/>
        <color rgb="FF000000"/>
        <rFont val="Calibri"/>
      </rPr>
      <t>--type='json' -p='[</t>
    </r>
    <r>
      <rPr>
        <sz val="11"/>
        <color rgb="FF000000"/>
        <rFont val="Calibri"/>
      </rPr>
      <t xml:space="preserve">
</t>
    </r>
    <r>
      <rPr>
        <sz val="11"/>
        <color rgb="FF000000"/>
        <rFont val="Calibri"/>
      </rPr>
      <t>{"op": "remove", "path":</t>
    </r>
    <r>
      <rPr>
        <sz val="11"/>
        <color rgb="FF000000"/>
        <rFont val="Calibri"/>
      </rPr>
      <t xml:space="preserve">
</t>
    </r>
    <r>
      <rPr>
        <sz val="11"/>
        <color rgb="FF000000"/>
        <rFont val="Calibri"/>
      </rPr>
      <t>"/spec/permittedHostDevices/pciHostDevices/0"},</t>
    </r>
    <r>
      <rPr>
        <sz val="11"/>
        <color rgb="FF000000"/>
        <rFont val="Calibri"/>
      </rPr>
      <t xml:space="preserve">
</t>
    </r>
    <r>
      <rPr>
        <sz val="11"/>
        <color rgb="FF000000"/>
        <rFont val="Calibri"/>
      </rPr>
      <t>]'</t>
    </r>
    <r>
      <rPr>
        <sz val="11"/>
        <color rgb="FF000000"/>
        <rFont val="Calibri"/>
      </rPr>
      <t xml:space="preserve">
</t>
    </r>
    <r>
      <rPr>
        <sz val="11"/>
        <color rgb="FF000000"/>
        <rFont val="Calibri"/>
      </rPr>
      <t>Remove all devices:</t>
    </r>
    <r>
      <rPr>
        <sz val="11"/>
        <color rgb="FF000000"/>
        <rFont val="Calibri"/>
      </rPr>
      <t xml:space="preserve">
</t>
    </r>
    <r>
      <rPr>
        <sz val="11"/>
        <color rgb="FF000000"/>
        <rFont val="Calibri"/>
      </rPr>
      <t>$ oc patch hyperconverged kubevirt-hyperconverged -n openshift-cnv</t>
    </r>
    <r>
      <rPr>
        <sz val="11"/>
        <color rgb="FF000000"/>
        <rFont val="Calibri"/>
      </rPr>
      <t xml:space="preserve">
</t>
    </r>
    <r>
      <rPr>
        <sz val="11"/>
        <color rgb="FF000000"/>
        <rFont val="Calibri"/>
      </rPr>
      <t>--type='json' -p='[</t>
    </r>
    <r>
      <rPr>
        <sz val="11"/>
        <color rgb="FF000000"/>
        <rFont val="Calibri"/>
      </rPr>
      <t xml:space="preserve">
</t>
    </r>
    <r>
      <rPr>
        <sz val="11"/>
        <color rgb="FF000000"/>
        <rFont val="Calibri"/>
      </rPr>
      <t>{"op": "remove", "path": "/spec/permittedHostDevices"},</t>
    </r>
    <r>
      <rPr>
        <sz val="11"/>
        <color rgb="FF000000"/>
        <rFont val="Calibri"/>
      </rPr>
      <t xml:space="preserve">
</t>
    </r>
    <r>
      <rPr>
        <sz val="11"/>
        <color rgb="FF000000"/>
        <rFont val="Calibri"/>
      </rPr>
      <t>]'</t>
    </r>
  </si>
  <si>
    <r>
      <rPr>
        <sz val="11"/>
        <color rgb="FF000000"/>
        <rFont val="Calibri"/>
      </rPr>
      <t>Disabling the USB Storage kernel module helps protect against potential data exfiltration or unauthorized access to sensitive data. USB storage devices can be used to transfer data in and out of the system, which poses a risk if unauthorized or untrusted devices are connected. By disabling the USB Storage kernel module, OpenShift can prevent the use of USB storage devices and reduce the risk of data breaches or unauthorized data transfers.</t>
    </r>
    <r>
      <rPr>
        <sz val="11"/>
        <color rgb="FF000000"/>
        <rFont val="Calibri"/>
      </rPr>
      <t xml:space="preserve">
</t>
    </r>
    <r>
      <rPr>
        <sz val="11"/>
        <color rgb="FF000000"/>
        <rFont val="Calibri"/>
      </rPr>
      <t>USB storage devices can potentially introduce malware or malicious code into the system. Disabling the USB Storage kernel module helps mitigate the risk of malware infections or the introduction of malicious software from external storage devices. It prevents unauthorized execution of code from USB storage devices, reducing the attack surface and protecting the system from potential security threats.</t>
    </r>
    <r>
      <rPr>
        <sz val="11"/>
        <color rgb="FF000000"/>
        <rFont val="Calibri"/>
      </rPr>
      <t xml:space="preserve">
</t>
    </r>
    <r>
      <rPr>
        <sz val="11"/>
        <color rgb="FF000000"/>
        <rFont val="Calibri"/>
      </rPr>
      <t>Disabling USB storage prevents unauthorized data transfers to and from the system. This helps enforce data loss prevention (DLP) policies and mitigates the risk of sensitive or confidential data being copied or stolen using USB storage devices. It adds an additional layer of control to protect against data leakage or unauthorized data movement.</t>
    </r>
  </si>
  <si>
    <r>
      <rPr>
        <sz val="11"/>
        <color rgb="FF000000"/>
        <rFont val="Calibri"/>
      </rPr>
      <t>Verify the operating system disables the ability to load the USB Storage kernel module by executing the following:</t>
    </r>
    <r>
      <rPr>
        <sz val="11"/>
        <color rgb="FF000000"/>
        <rFont val="Calibri"/>
      </rPr>
      <t xml:space="preserve">
</t>
    </r>
    <r>
      <rPr>
        <sz val="11"/>
        <color rgb="FF000000"/>
        <rFont val="Calibri"/>
      </rPr>
      <t xml:space="preserve">  for node in $(oc get node -oname); do oc debug $node -- chroot /host /bin/bash -c &amp;#039;echo -n &amp;#039;$HOSTNAME &amp;#039;; grep -r usb-storage /etc/modprobe.d/* | grep -i &amp;#039;/bin/true&amp;#039;&amp;#039; 2&amp;gt;/dev/null; done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install usb-storage /bin/true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command does not return any output, or the line is commented out, and use of USB Storage is not documented with the information system security officer (ISSO) as an operational requirement, this is a finding.</t>
    </r>
    <r>
      <rPr>
        <sz val="11"/>
        <color rgb="FF000000"/>
        <rFont val="Calibri"/>
      </rPr>
      <t xml:space="preserve">
</t>
    </r>
    <r>
      <rPr>
        <sz val="11"/>
        <color rgb="FF000000"/>
        <rFont val="Calibri"/>
      </rPr>
      <t>Where OpenShift Virtualization is enabled:</t>
    </r>
    <r>
      <rPr>
        <sz val="11"/>
        <color rgb="FF000000"/>
        <rFont val="Calibri"/>
      </rPr>
      <t xml:space="preserve">
</t>
    </r>
    <r>
      <rPr>
        <sz val="11"/>
        <color rgb="FF000000"/>
        <rFont val="Calibri"/>
      </rPr>
      <t>$ oc get hyperconverged kubevirt-hyperconverged -n openshift-cnv</t>
    </r>
    <r>
      <rPr>
        <sz val="11"/>
        <color rgb="FF000000"/>
        <rFont val="Calibri"/>
      </rPr>
      <t xml:space="preserve">
</t>
    </r>
    <r>
      <rPr>
        <sz val="11"/>
        <color rgb="FF000000"/>
        <rFont val="Calibri"/>
      </rPr>
      <t>-ojsonpath='{.spec.permittedHostDevices}'</t>
    </r>
    <r>
      <rPr>
        <sz val="11"/>
        <color rgb="FF000000"/>
        <rFont val="Calibri"/>
      </rPr>
      <t xml:space="preserve">
</t>
    </r>
    <r>
      <rPr>
        <sz val="11"/>
        <color rgb="FF000000"/>
        <rFont val="Calibri"/>
      </rPr>
      <t>If unapproved devices are listed, this is a finding.</t>
    </r>
  </si>
  <si>
    <t>V-257585</t>
  </si>
  <si>
    <r>
      <rPr>
        <sz val="11"/>
        <rFont val="Calibri"/>
      </rPr>
      <t>Red Hat Enterprise Linux CoreOS (RHCOS) must use USBGuard for hosts that include a USB Controller.</t>
    </r>
  </si>
  <si>
    <r>
      <rPr>
        <sz val="11"/>
        <color rgb="FF000000"/>
        <rFont val="Calibri"/>
      </rPr>
      <t>If there is not a USB Controller, this requirement is Not Applicable.</t>
    </r>
    <r>
      <rPr>
        <sz val="11"/>
        <color rgb="FF000000"/>
        <rFont val="Calibri"/>
      </rPr>
      <t xml:space="preserve">
</t>
    </r>
    <r>
      <rPr>
        <sz val="11"/>
        <color rgb="FF000000"/>
        <rFont val="Calibri"/>
      </rPr>
      <t>1. Install the service by executing the following:</t>
    </r>
    <r>
      <rPr>
        <sz val="11"/>
        <color rgb="FF000000"/>
        <rFont val="Calibri"/>
      </rPr>
      <t xml:space="preserve">
</t>
    </r>
    <r>
      <rPr>
        <sz val="11"/>
        <color rgb="FF000000"/>
        <rFont val="Calibri"/>
      </rPr>
      <t>for mcpool in $(oc get mcp -oname | sed "s:.*/::" ); do</t>
    </r>
    <r>
      <rPr>
        <sz val="11"/>
        <color rgb="FF000000"/>
        <rFont val="Calibri"/>
      </rPr>
      <t xml:space="preserve">
</t>
    </r>
    <r>
      <rPr>
        <sz val="11"/>
        <color rgb="FF000000"/>
        <rFont val="Calibri"/>
      </rPr>
      <t>echo "apiVersion: machineconfiguration.openshift.io/v1</t>
    </r>
    <r>
      <rPr>
        <sz val="11"/>
        <color rgb="FF000000"/>
        <rFont val="Calibri"/>
      </rPr>
      <t xml:space="preserve">
</t>
    </r>
    <r>
      <rPr>
        <sz val="11"/>
        <color rgb="FF000000"/>
        <rFont val="Calibri"/>
      </rPr>
      <t>kind: MachineConfig</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80-usbguard-extensions-$mcpool</t>
    </r>
    <r>
      <rPr>
        <sz val="11"/>
        <color rgb="FF000000"/>
        <rFont val="Calibri"/>
      </rPr>
      <t xml:space="preserve">
</t>
    </r>
    <r>
      <rPr>
        <sz val="11"/>
        <color rgb="FF000000"/>
        <rFont val="Calibri"/>
      </rPr>
      <t xml:space="preserve">  labels:</t>
    </r>
    <r>
      <rPr>
        <sz val="11"/>
        <color rgb="FF000000"/>
        <rFont val="Calibri"/>
      </rPr>
      <t xml:space="preserve">
</t>
    </r>
    <r>
      <rPr>
        <sz val="11"/>
        <color rgb="FF000000"/>
        <rFont val="Calibri"/>
      </rPr>
      <t xml:space="preserve">    machineconfiguration.openshift.io/role: $mcpool</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config:</t>
    </r>
    <r>
      <rPr>
        <sz val="11"/>
        <color rgb="FF000000"/>
        <rFont val="Calibri"/>
      </rPr>
      <t xml:space="preserve">
</t>
    </r>
    <r>
      <rPr>
        <sz val="11"/>
        <color rgb="FF000000"/>
        <rFont val="Calibri"/>
      </rPr>
      <t xml:space="preserve">    ignition:</t>
    </r>
    <r>
      <rPr>
        <sz val="11"/>
        <color rgb="FF000000"/>
        <rFont val="Calibri"/>
      </rPr>
      <t xml:space="preserve">
</t>
    </r>
    <r>
      <rPr>
        <sz val="11"/>
        <color rgb="FF000000"/>
        <rFont val="Calibri"/>
      </rPr>
      <t xml:space="preserve">      version: 3.1.0</t>
    </r>
    <r>
      <rPr>
        <sz val="11"/>
        <color rgb="FF000000"/>
        <rFont val="Calibri"/>
      </rPr>
      <t xml:space="preserve">
</t>
    </r>
    <r>
      <rPr>
        <sz val="11"/>
        <color rgb="FF000000"/>
        <rFont val="Calibri"/>
      </rPr>
      <t xml:space="preserve">  extensions:</t>
    </r>
    <r>
      <rPr>
        <sz val="11"/>
        <color rgb="FF000000"/>
        <rFont val="Calibri"/>
      </rPr>
      <t xml:space="preserve">
</t>
    </r>
    <r>
      <rPr>
        <sz val="11"/>
        <color rgb="FF000000"/>
        <rFont val="Calibri"/>
      </rPr>
      <t xml:space="preserve">    - usbguard</t>
    </r>
    <r>
      <rPr>
        <sz val="11"/>
        <color rgb="FF000000"/>
        <rFont val="Calibri"/>
      </rPr>
      <t xml:space="preserve">
</t>
    </r>
    <r>
      <rPr>
        <sz val="11"/>
        <color rgb="FF000000"/>
        <rFont val="Calibri"/>
      </rPr>
      <t>" | oc apply -f -</t>
    </r>
    <r>
      <rPr>
        <sz val="11"/>
        <color rgb="FF000000"/>
        <rFont val="Calibri"/>
      </rPr>
      <t xml:space="preserve">
</t>
    </r>
    <r>
      <rPr>
        <sz val="11"/>
        <color rgb="FF000000"/>
        <rFont val="Calibri"/>
      </rPr>
      <t>done</t>
    </r>
    <r>
      <rPr>
        <sz val="11"/>
        <color rgb="FF000000"/>
        <rFont val="Calibri"/>
      </rPr>
      <t xml:space="preserve">
</t>
    </r>
    <r>
      <rPr>
        <sz val="11"/>
        <color rgb="FF000000"/>
        <rFont val="Calibri"/>
      </rPr>
      <t>2. Wait for the nodes to reboot.</t>
    </r>
    <r>
      <rPr>
        <sz val="11"/>
        <color rgb="FF000000"/>
        <rFont val="Calibri"/>
      </rPr>
      <t xml:space="preserve">
</t>
    </r>
    <r>
      <rPr>
        <sz val="11"/>
        <color rgb="FF000000"/>
        <rFont val="Calibri"/>
      </rPr>
      <t>Note: (&gt;oc get mcp) None of the pools should say Updating=true when the update is done.</t>
    </r>
    <r>
      <rPr>
        <sz val="11"/>
        <color rgb="FF000000"/>
        <rFont val="Calibri"/>
      </rPr>
      <t xml:space="preserve">
</t>
    </r>
    <r>
      <rPr>
        <sz val="11"/>
        <color rgb="FF000000"/>
        <rFont val="Calibri"/>
      </rPr>
      <t>3. Enable the service by executing the following:</t>
    </r>
    <r>
      <rPr>
        <sz val="11"/>
        <color rgb="FF000000"/>
        <rFont val="Calibri"/>
      </rPr>
      <t xml:space="preserve">
</t>
    </r>
    <r>
      <rPr>
        <sz val="11"/>
        <color rgb="FF000000"/>
        <rFont val="Calibri"/>
      </rPr>
      <t>for mcpool in $(oc get mcp -oname | sed "s:.*/::" ); do</t>
    </r>
    <r>
      <rPr>
        <sz val="11"/>
        <color rgb="FF000000"/>
        <rFont val="Calibri"/>
      </rPr>
      <t xml:space="preserve">
</t>
    </r>
    <r>
      <rPr>
        <sz val="11"/>
        <color rgb="FF000000"/>
        <rFont val="Calibri"/>
      </rPr>
      <t>echo "apiVersion: machineconfiguration.openshift.io/v1</t>
    </r>
    <r>
      <rPr>
        <sz val="11"/>
        <color rgb="FF000000"/>
        <rFont val="Calibri"/>
      </rPr>
      <t xml:space="preserve">
</t>
    </r>
    <r>
      <rPr>
        <sz val="11"/>
        <color rgb="FF000000"/>
        <rFont val="Calibri"/>
      </rPr>
      <t>kind: MachineConfig</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80-usbguard-service-enable-$mcpool</t>
    </r>
    <r>
      <rPr>
        <sz val="11"/>
        <color rgb="FF000000"/>
        <rFont val="Calibri"/>
      </rPr>
      <t xml:space="preserve">
</t>
    </r>
    <r>
      <rPr>
        <sz val="11"/>
        <color rgb="FF000000"/>
        <rFont val="Calibri"/>
      </rPr>
      <t xml:space="preserve">  labels:</t>
    </r>
    <r>
      <rPr>
        <sz val="11"/>
        <color rgb="FF000000"/>
        <rFont val="Calibri"/>
      </rPr>
      <t xml:space="preserve">
</t>
    </r>
    <r>
      <rPr>
        <sz val="11"/>
        <color rgb="FF000000"/>
        <rFont val="Calibri"/>
      </rPr>
      <t xml:space="preserve">    machineconfiguration.openshift.io/role: $mcpool</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config:</t>
    </r>
    <r>
      <rPr>
        <sz val="11"/>
        <color rgb="FF000000"/>
        <rFont val="Calibri"/>
      </rPr>
      <t xml:space="preserve">
</t>
    </r>
    <r>
      <rPr>
        <sz val="11"/>
        <color rgb="FF000000"/>
        <rFont val="Calibri"/>
      </rPr>
      <t xml:space="preserve">    ignition:</t>
    </r>
    <r>
      <rPr>
        <sz val="11"/>
        <color rgb="FF000000"/>
        <rFont val="Calibri"/>
      </rPr>
      <t xml:space="preserve">
</t>
    </r>
    <r>
      <rPr>
        <sz val="11"/>
        <color rgb="FF000000"/>
        <rFont val="Calibri"/>
      </rPr>
      <t xml:space="preserve">      version: 3.1.0</t>
    </r>
    <r>
      <rPr>
        <sz val="11"/>
        <color rgb="FF000000"/>
        <rFont val="Calibri"/>
      </rPr>
      <t xml:space="preserve">
</t>
    </r>
    <r>
      <rPr>
        <sz val="11"/>
        <color rgb="FF000000"/>
        <rFont val="Calibri"/>
      </rPr>
      <t xml:space="preserve">    systemd:</t>
    </r>
    <r>
      <rPr>
        <sz val="11"/>
        <color rgb="FF000000"/>
        <rFont val="Calibri"/>
      </rPr>
      <t xml:space="preserve">
</t>
    </r>
    <r>
      <rPr>
        <sz val="11"/>
        <color rgb="FF000000"/>
        <rFont val="Calibri"/>
      </rPr>
      <t xml:space="preserve">      units:</t>
    </r>
    <r>
      <rPr>
        <sz val="11"/>
        <color rgb="FF000000"/>
        <rFont val="Calibri"/>
      </rPr>
      <t xml:space="preserve">
</t>
    </r>
    <r>
      <rPr>
        <sz val="11"/>
        <color rgb="FF000000"/>
        <rFont val="Calibri"/>
      </rPr>
      <t xml:space="preserve">      - name: usbguard.service</t>
    </r>
    <r>
      <rPr>
        <sz val="11"/>
        <color rgb="FF000000"/>
        <rFont val="Calibri"/>
      </rPr>
      <t xml:space="preserve">
</t>
    </r>
    <r>
      <rPr>
        <sz val="11"/>
        <color rgb="FF000000"/>
        <rFont val="Calibri"/>
      </rPr>
      <t xml:space="preserve">        enabled: true</t>
    </r>
    <r>
      <rPr>
        <sz val="11"/>
        <color rgb="FF000000"/>
        <rFont val="Calibri"/>
      </rPr>
      <t xml:space="preserve">
</t>
    </r>
    <r>
      <rPr>
        <sz val="11"/>
        <color rgb="FF000000"/>
        <rFont val="Calibri"/>
      </rPr>
      <t>" | oc apply -f -</t>
    </r>
    <r>
      <rPr>
        <sz val="11"/>
        <color rgb="FF000000"/>
        <rFont val="Calibri"/>
      </rPr>
      <t xml:space="preserve">
</t>
    </r>
    <r>
      <rPr>
        <sz val="11"/>
        <color rgb="FF000000"/>
        <rFont val="Calibri"/>
      </rPr>
      <t>done</t>
    </r>
    <r>
      <rPr>
        <sz val="11"/>
        <color rgb="FF000000"/>
        <rFont val="Calibri"/>
      </rPr>
      <t xml:space="preserve">
</t>
    </r>
    <r>
      <rPr>
        <sz val="11"/>
        <color rgb="FF000000"/>
        <rFont val="Calibri"/>
      </rPr>
      <t>4. Configure USBGuard to log to the audit log:</t>
    </r>
    <r>
      <rPr>
        <sz val="11"/>
        <color rgb="FF000000"/>
        <rFont val="Calibri"/>
      </rPr>
      <t xml:space="preserve">
</t>
    </r>
    <r>
      <rPr>
        <sz val="11"/>
        <color rgb="FF000000"/>
        <rFont val="Calibri"/>
      </rPr>
      <t>for mcpool in $(oc get mcp -oname | sed "s:.*/::" ); do</t>
    </r>
    <r>
      <rPr>
        <sz val="11"/>
        <color rgb="FF000000"/>
        <rFont val="Calibri"/>
      </rPr>
      <t xml:space="preserve">
</t>
    </r>
    <r>
      <rPr>
        <sz val="11"/>
        <color rgb="FF000000"/>
        <rFont val="Calibri"/>
      </rPr>
      <t>echo "apiVersion: machineconfiguration.openshift.io/v1</t>
    </r>
    <r>
      <rPr>
        <sz val="11"/>
        <color rgb="FF000000"/>
        <rFont val="Calibri"/>
      </rPr>
      <t xml:space="preserve">
</t>
    </r>
    <r>
      <rPr>
        <sz val="11"/>
        <color rgb="FF000000"/>
        <rFont val="Calibri"/>
      </rPr>
      <t>kind: MachineConfig</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80-usbguard-daemon-conf-$mcpool</t>
    </r>
    <r>
      <rPr>
        <sz val="11"/>
        <color rgb="FF000000"/>
        <rFont val="Calibri"/>
      </rPr>
      <t xml:space="preserve">
</t>
    </r>
    <r>
      <rPr>
        <sz val="11"/>
        <color rgb="FF000000"/>
        <rFont val="Calibri"/>
      </rPr>
      <t xml:space="preserve">   labels:</t>
    </r>
    <r>
      <rPr>
        <sz val="11"/>
        <color rgb="FF000000"/>
        <rFont val="Calibri"/>
      </rPr>
      <t xml:space="preserve">
</t>
    </r>
    <r>
      <rPr>
        <sz val="11"/>
        <color rgb="FF000000"/>
        <rFont val="Calibri"/>
      </rPr>
      <t xml:space="preserve">     machineconfiguration.openshift.io/role: $mcpool</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config:</t>
    </r>
    <r>
      <rPr>
        <sz val="11"/>
        <color rgb="FF000000"/>
        <rFont val="Calibri"/>
      </rPr>
      <t xml:space="preserve">
</t>
    </r>
    <r>
      <rPr>
        <sz val="11"/>
        <color rgb="FF000000"/>
        <rFont val="Calibri"/>
      </rPr>
      <t xml:space="preserve">     ignition:</t>
    </r>
    <r>
      <rPr>
        <sz val="11"/>
        <color rgb="FF000000"/>
        <rFont val="Calibri"/>
      </rPr>
      <t xml:space="preserve">
</t>
    </r>
    <r>
      <rPr>
        <sz val="11"/>
        <color rgb="FF000000"/>
        <rFont val="Calibri"/>
      </rPr>
      <t xml:space="preserve">       version: 3.1.0</t>
    </r>
    <r>
      <rPr>
        <sz val="11"/>
        <color rgb="FF000000"/>
        <rFont val="Calibri"/>
      </rPr>
      <t xml:space="preserve">
</t>
    </r>
    <r>
      <rPr>
        <sz val="11"/>
        <color rgb="FF000000"/>
        <rFont val="Calibri"/>
      </rPr>
      <t xml:space="preserve">     storage:</t>
    </r>
    <r>
      <rPr>
        <sz val="11"/>
        <color rgb="FF000000"/>
        <rFont val="Calibri"/>
      </rPr>
      <t xml:space="preserve">
</t>
    </r>
    <r>
      <rPr>
        <sz val="11"/>
        <color rgb="FF000000"/>
        <rFont val="Calibri"/>
      </rPr>
      <t xml:space="preserve">       files:</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23%0A%23%20Rule%20set%20file%20path.%0A%23%0A%23%20The%20USBGuard%20daemon%20will%20use%20this%20file%20to%20load%20the%20policy%0A%23%20rule%20set%20from%20it%20and%20to%20write%20new%20rules%20received%20via%20the%0A%23%20IPC%20interface.%0A%23%0A%23%20RuleFile%3D%2Fpath%2Fto%2Frules.conf%0A%23%0ARuleFile%3D%2Fetc%2Fusbguard%2Frules.conf%0A%0A%23%0A%23%20Rule%20set%20folder%20path.%0A%23%0A%23%20The%20USBGuard%20daemon%20will%20use%20this%20folder%20to%20load%20the%20policy%0A%23%20rule%20set%20from%20it%20and%20to%20write%20new%20rules%20received%20via%20the%0A%23%20IPC%20interface.%20Usually%2C%20we%20set%20the%20option%20to%0A%23%20%2Fetc%2Fusbguard%2Frules.d%2F.%20The%20USBGuard%20daemon%20is%20supposed%20to%0A%23%20behave%20like%20any%20other%20standard%20Linux%20daemon%20therefore%20it%0A%23%20loads%20rule%20files%20in%20alpha-numeric%20order.%20File%20names%20inside%0A%23%20RuleFolder%20directory%20should%20start%20with%20a%20two-digit%20number%0A%23%20prefix%20indicating%20the%20position%2C%20in%20which%20the%20rules%20are%0A%23%20scanned%20by%20the%20daemon.%0A%23%0A%23%20RuleFolder%3D%2Fpath%2Fto%2Frulesfolder%2F%0A%23%0ARuleFolder%3D%2Fetc%2Fusbguard%2Frules.d%2F%0A%0A%23%0A%23%20Implicit%20policy%20target.%0A%23%0A%23%20How%20to%20treat%20devices%20that%20don%27t%20match%20any%20rule%20in%20the%0A%23%20policy.%20One%20of%3A%0A%23%0A%23%20%2A%20allow%20%20-%20authorize%20the%20device%0A%23%20%2A%20block%20%20-%20block%20the%20device%0A%23%20%2A%20reject%20-%20remove%20the%20device%0A%23%0AImplicitPolicyTarget%3Dblock%0A%0A%23%0A%23%20Present%20device%20policy.%0A%23%0A%23%20How%20to%20treat%20devices%20that%20are%20already%20connected%20when%20the%0A%23%20daemon%20starts.%20One%20of%3A%0A%23%0A%23%20%2A%20allow%20%20%20%20%20%20%20%20-%20authorize%20every%20present%20device%0A%23%20%2A%20block%20%20%20%20%20%20%20%20-%20deauthorize%20every%20present%20device%0A%23%20%2A%20reject%20%20%20%20%20%20%20-%20remove%20every%20present%20device%0A%23%20%2A%20keep%20%20%20%20%20%20%20%20%20-%20just%20sync%20the%20internal%20state%20and%20leave%20it%0A%23%20%2A%20apply-policy%20-%20evaluate%20the%20ruleset%20for%20every%20present%0A%23%20%20%20%20%20%20%20%20%20%20%20%20%20%20%20%20%20%20device%0A%23%0APresentDevicePolicy%3Dapply-policy%0A%0A%23%0A%23%20Present%20controller%20policy.%0A%23%0A%23%20How%20to%20treat%20USB%20controllers%20that%20are%20already%20connected%0A%23%20when%20the%20daemon%20starts.%20One%20of%3A%0A%23%0A%23%20%2A%20allow%20%20%20%20%20%20%20%20-%20authorize%20every%20present%20device%0A%23%20%2A%20block%20%20%20%20%20%20%20%20-%20deauthorize%20every%20present%20device%0A%23%20%2A%20reject%20%20%20%20%20%20%20-%20remove%20every%20present%20device%0A%23%20%2A%20keep%20%20%20%20%20%20%20%20%20-%20just%20sync%20the%20internal%20state%20and%20leave%20it%0A%23%20%2A%20apply-policy%20-%20evaluate%20the%20ruleset%20for%20every%20present%0A%23%20%20%20%20%20%20%20%20%20%20%20%20%20%20%20%20%20%20device%0A%23%0APresentControllerPolicy%3Dkeep%0A%0A%23%0A%23%20Inserted%20device%20policy.%0A%23%0A%23%20How%20to%20treat%20USB%20devices%20that%20are%20already%20connected%0A%23%20%2Aafter%2A%20the%20daemon%20starts.%20One%20of%3A%0A%23%0A%23%20%2A%20block%20%20%20%20%20%20%20%20-%20deauthorize%20every%20present%20device%0A%23%20%2A%20reject%20%20%20%20%20%20%20-%20remove%20every%20present%20device%0A%23%20%2A%20apply-policy%20-%20evaluate%20the%20ruleset%20for%20every%20present%0A%23%20%20%20%20%20%20%20%20%20%20%20%20%20%20%20%20%20%20device%0A%23%0AInsertedDevicePolicy%3Dapply-policy%0A%0A%23%0A%23%20Control%20which%20devices%20are%20authorized%20by%20default.%0A%23%0A%23%20The%20USBGuard%20daemon%20modifies%20some%20the%20default%20authorization%20state%20attributes%0A%23%20of%20controller%20devices.%20This%20setting%2C%20enables%20you%20to%20define%20what%20value%20the%0A%23%20default%20authorization%20is%20set%20to.%0A%23%0A%23%20%2A%20keep%20%20%20%20%20%20%20%20%20-%20do%20not%20change%20the%20authorization%20state%0A%23%20%2A%20none%20%20%20%20%20%20%20%20%20-%20every%20new%20device%20starts%20out%20deauthorized%0A%23%20%2A%20all%20%20%20%20%20%20%20%20%20%20-%20every%20new%20device%20starts%20out%20authorized%0A%23%20%2A%20internal%20%20%20%20%20-%20internal%20devices%20start%20out%20authorized%2C%20external%20devices%20start%0A%23%20%20%20%20%20%20%20%20%20%20%20%20%20%20%20%20%20%20out%20deauthorized%20%28this%20requires%20the%20ACPI%20tables%20to%20properly%0A%23%20%20%20%20%20%20%20%20%20%20%20%20%20%20%20%20%20%20label%20internal%20devices%2C%20and%20kernel%20support%29%0A%23%0A%23AuthorizedDefault%3Dnone%0A%0A%23%0A%23%20Restore%20controller%20device%20state.%0A%23%0A%23%20The%20USBGuard%20daemon%20modifies%20some%20attributes%20of%20controller%0A%23%20devices%20like%20the%20default%20authorization%20state%20of%20new%20child%20device%0A%23%20instances.%20Using%20this%20setting%2C%20you%20can%20control%20whether%20the%0A%23%20daemon%20will%20try%20to%20restore%20the%20attribute%20values%20to%20the%20state%0A%23%20before%20modification%20on%20shutdown.%0A%23%0A%23%20SECURITY%20CONSIDERATIONS%3A%20If%20set%20to%20true%2C%20the%20USB%20authorization%0A%23%20policy%20could%20be%20bypassed%20by%20performing%20some%20sort%20of%20attack%20on%20the%0A%23%20daemon%20%28via%20a%20local%20exploit%20or%20via%20a%20USB%20device%29%20to%20make%20it%20shutdown%0A%23%20and%20restore%20to%20the%20operating-system%20default%20state%20%28known%20to%20be%20permissive%29.%0A%23%0ARestoreControllerDeviceState%3Dfalse%0A%0A%23%0A%23%20Device%20manager%20backend%0A%23%0A%23%20Which%20device%20manager%20backend%20implementation%20to%20use.%20One%20of%3A%0A%23%0A%23%20%2A%20uevent%20%20%20-%20Netlink%20based%20implementation%20which%20uses%20sysfs%20to%20scan%20for%20present%0A%23%20%20%20%20%20%20%20%20%20%20%20%20%20%20devices%20and%20an%20uevent%20netlink%20socket%20for%20receiving%20USB%20device%0A%23%20%20%20%20%20%20%20%20%20%20%20%20%20%20related%20events.%0A%23%20%2A%20umockdev%20-%20umockdev%20based%20device%20manager%20capable%20of%20simulating%20devices%20based%0A%23%20%20%20%20%20%20%20%20%20%20%20%20%20%20on%20umockdev-record%20files.%20Useful%20for%20testing.%0A%23%0ADeviceManagerBackend%3Duevent%0A%0A%23%21%21%21%20WARNING%3A%20It%27s%20good%20practice%20to%20set%20at%20least%20one%20of%20the%20%21%21%21%0A%23%21%21%21%20%20%20%20%20%20%20%20%20%20two%20options%20bellow.%20If%20none%20of%20them%20are%20set%2C%20%20%21%21%21%0A%23%21%21%21%20%20%20%20%20%20%20%20%20%20the%20daemon%20will%20accept%20IPC%20connections%20from%20%20%20%21%21%21%0A%23%21%21%21%20%20%20%20%20%20%20%20%20%20anyone%2C%20thus%20allowing%20anyone%20to%20modify%20the%20%20%20%20%21%21%21%0A%23%21%21%21%20%20%20%20%20%20%20%20%20%20rule%20set%20and%20%28de%29authorize%20USB%20devices.%20%20%20%20%20%20%20%21%21%21%0A%0A%23%0A%23%20Users%20allowed%20to%20use%20the%20IPC%20interface.%0A%23%0A%23%20A%20space%20delimited%20list%20of%20usernames%20that%20the%20daemon%20will%0A%23%20accept%20IPC%20connections%20from.%0A%23%0A%23%20IPCAllowedUsers%3Dusername1%20username2%20...%0A%23%0AIPCAllowedUsers%3Droot%0A%0A%23%0A%23%20Groups%20allowed%20to%20use%20the%20IPC%20interface.%0A%23%0A%23%20A%20space%20delimited%20list%20of%20groupnames%20that%20the%20daemon%20will%0A%23%20accept%20IPC%20connections%20from.%0A%23%0A%23%20IPCAllowedGroups%3Dgroupname1%20groupname2%20...%0A%23%0AIPCAllowedGroups%3Dwheel%0A%0A%23%0A%23%20IPC%20access%20control%20definition%20files%20path.%0A%23%0A%23%20The%20files%20at%20this%20location%20will%20be%20interpreted%20by%20the%20daemon%0A%23%20as%20access%20control%20definition%20files.%20The%20%28base%29name%20of%20a%20file%0A%23%20should%20be%20in%20the%20form%3A%0A%23%0A%23%20%20%20%5Buser%5D%5B%3A%3Cgroup%3E%5D%0A%23%0A%23%20and%20should%20contain%20lines%20in%20the%20form%3A%0A%23%0A%23%20%20%20%3Csection%3E%3D%5Bprivilege%5D%20...%0A%23%0A%23%20This%20way%20each%20file%20defines%20who%20is%20able%20to%20connect%20to%20the%20IPC%0A%23%20bus%20and%20what%20privileges%20he%20has.%0A%23%0AIPCAccessControlFiles%3D%2Fetc%2Fusbguard%2FIPCAccessControl.d%2F%0A%0A%23%0A%23%20Generate%20device%20specific%20rules%20including%20the%20%22via-port%22%0A%23%20attribute.%0A%23%0A%23%20This%20option%20modifies%20the%20behavior%20of%20the%20allowDevice%0A%23%20action.%20When%20instructed%20to%20generate%20a%20permanent%20rule%2C%0A%23%20the%20action%20can%20generate%20a%20port%20specific%20rule.%20Because%0A%23%20some%20systems%20have%20unstable%20port%20numbering%2C%20the%20generated%0A%23%20rule%20might%20not%20match%20the%20device%20after%20rebooting%20the%20system.%0A%23%0A%23%20If%20set%20to%20false%2C%20the%20generated%20rule%20will%20still%20contain%0A%23%20the%20%22parent-hash%22%20attribute%20which%20also%20defines%20an%20association%0A%23%20to%20the%20parent%20device.%20See%20usbguard-rules.conf%285%29%20for%20more%0A%23%20details.%0A%23%0ADeviceRulesWithPort%3Dfalse%0A%0A%23%0A%23%20USBGuard%20Audit%20events%20log%20backend%0A%23%0A%23%20One%20of%3A%0A%23%0A%23%20%2A%20FileAudit%20-%20Log%20audit%20events%20into%20a%20file%20specified%20by%0A%23%20%20%20%20%20%20%20%20%20%20%20%20%20%20%20AuditFilePath%20setting%20%28see%20below%29%0A%23%20%2A%20LinuxAudit%20-%20Log%20audit%20events%20using%20the%20Linux%20Audit%0A%23%20%20%20%20%20%20%20%20%20%20%20%20%20%20%20%20subsystem%20%28using%20audit_log_user_message%29%0A%23%0AAuditBackend%3DLinuxAudit%0A%0A%23%0A%23%20USBGuard%20audit%20events%20log%20file%20path.%0A%23%0A%23AuditFilePath%3D%2Fvar%2Flog%2Fusbguard%2Fusbguard-audit.log%0A%0A%23%0A%23%20Hides%20personally%20identifiable%20information%20such%20as%20device%20serial%20numbers%20and%0A%23%20hashes%20of%20descriptors%20%28which%20include%20the%20serial%20number%29%20from%20audit%20entries.%0A%23%0A%23HidePII%3Dfalse</t>
    </r>
    <r>
      <rPr>
        <sz val="11"/>
        <color rgb="FF000000"/>
        <rFont val="Calibri"/>
      </rPr>
      <t xml:space="preserve">
</t>
    </r>
    <r>
      <rPr>
        <sz val="11"/>
        <color rgb="FF000000"/>
        <rFont val="Calibri"/>
      </rPr>
      <t xml:space="preserve">         mode: 0600</t>
    </r>
    <r>
      <rPr>
        <sz val="11"/>
        <color rgb="FF000000"/>
        <rFont val="Calibri"/>
      </rPr>
      <t xml:space="preserve">
</t>
    </r>
    <r>
      <rPr>
        <sz val="11"/>
        <color rgb="FF000000"/>
        <rFont val="Calibri"/>
      </rPr>
      <t xml:space="preserve">         path: /etc/usbguard/usbguard-daemon.conf</t>
    </r>
    <r>
      <rPr>
        <sz val="11"/>
        <color rgb="FF000000"/>
        <rFont val="Calibri"/>
      </rPr>
      <t xml:space="preserve">
</t>
    </r>
    <r>
      <rPr>
        <sz val="11"/>
        <color rgb="FF000000"/>
        <rFont val="Calibri"/>
      </rPr>
      <t xml:space="preserve">         overwrite: true </t>
    </r>
    <r>
      <rPr>
        <sz val="11"/>
        <color rgb="FF000000"/>
        <rFont val="Calibri"/>
      </rPr>
      <t xml:space="preserve">
</t>
    </r>
    <r>
      <rPr>
        <sz val="11"/>
        <color rgb="FF000000"/>
        <rFont val="Calibri"/>
      </rPr>
      <t xml:space="preserve">" | oc apply -f - </t>
    </r>
    <r>
      <rPr>
        <sz val="11"/>
        <color rgb="FF000000"/>
        <rFont val="Calibri"/>
      </rPr>
      <t xml:space="preserve">
</t>
    </r>
    <r>
      <rPr>
        <sz val="11"/>
        <color rgb="FF000000"/>
        <rFont val="Calibri"/>
      </rPr>
      <t xml:space="preserve">done </t>
    </r>
    <r>
      <rPr>
        <sz val="11"/>
        <color rgb="FF000000"/>
        <rFont val="Calibri"/>
      </rPr>
      <t xml:space="preserve">
</t>
    </r>
    <r>
      <rPr>
        <sz val="11"/>
        <color rgb="FF000000"/>
        <rFont val="Calibri"/>
      </rPr>
      <t>5. Create a USBGuard policy:</t>
    </r>
    <r>
      <rPr>
        <sz val="11"/>
        <color rgb="FF000000"/>
        <rFont val="Calibri"/>
      </rPr>
      <t xml:space="preserve">
</t>
    </r>
    <r>
      <rPr>
        <sz val="11"/>
        <color rgb="FF000000"/>
        <rFont val="Calibri"/>
      </rPr>
      <t>Below is an example policy. Replace the string in files.contents.source.data with an organizationally approved policy:</t>
    </r>
    <r>
      <rPr>
        <sz val="11"/>
        <color rgb="FF000000"/>
        <rFont val="Calibri"/>
      </rPr>
      <t xml:space="preserve">
</t>
    </r>
    <r>
      <rPr>
        <sz val="11"/>
        <color rgb="FF000000"/>
        <rFont val="Calibri"/>
      </rPr>
      <t>for mcpool in $(oc get mcp -oname | sed "s:.*/::" ); do</t>
    </r>
    <r>
      <rPr>
        <sz val="11"/>
        <color rgb="FF000000"/>
        <rFont val="Calibri"/>
      </rPr>
      <t xml:space="preserve">
</t>
    </r>
    <r>
      <rPr>
        <sz val="11"/>
        <color rgb="FF000000"/>
        <rFont val="Calibri"/>
      </rPr>
      <t>echo "apiVersion: machineconfiguration.openshift.io/v1</t>
    </r>
    <r>
      <rPr>
        <sz val="11"/>
        <color rgb="FF000000"/>
        <rFont val="Calibri"/>
      </rPr>
      <t xml:space="preserve">
</t>
    </r>
    <r>
      <rPr>
        <sz val="11"/>
        <color rgb="FF000000"/>
        <rFont val="Calibri"/>
      </rPr>
      <t>kind: MachineConfig</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80-usbguard-rules-conf-$mcpool</t>
    </r>
    <r>
      <rPr>
        <sz val="11"/>
        <color rgb="FF000000"/>
        <rFont val="Calibri"/>
      </rPr>
      <t xml:space="preserve">
</t>
    </r>
    <r>
      <rPr>
        <sz val="11"/>
        <color rgb="FF000000"/>
        <rFont val="Calibri"/>
      </rPr>
      <t xml:space="preserve">   labels:</t>
    </r>
    <r>
      <rPr>
        <sz val="11"/>
        <color rgb="FF000000"/>
        <rFont val="Calibri"/>
      </rPr>
      <t xml:space="preserve">
</t>
    </r>
    <r>
      <rPr>
        <sz val="11"/>
        <color rgb="FF000000"/>
        <rFont val="Calibri"/>
      </rPr>
      <t xml:space="preserve">     machineconfiguration.openshift.io/role: $mcpool</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config:</t>
    </r>
    <r>
      <rPr>
        <sz val="11"/>
        <color rgb="FF000000"/>
        <rFont val="Calibri"/>
      </rPr>
      <t xml:space="preserve">
</t>
    </r>
    <r>
      <rPr>
        <sz val="11"/>
        <color rgb="FF000000"/>
        <rFont val="Calibri"/>
      </rPr>
      <t xml:space="preserve">     ignition:</t>
    </r>
    <r>
      <rPr>
        <sz val="11"/>
        <color rgb="FF000000"/>
        <rFont val="Calibri"/>
      </rPr>
      <t xml:space="preserve">
</t>
    </r>
    <r>
      <rPr>
        <sz val="11"/>
        <color rgb="FF000000"/>
        <rFont val="Calibri"/>
      </rPr>
      <t xml:space="preserve">       version: 3.1.0</t>
    </r>
    <r>
      <rPr>
        <sz val="11"/>
        <color rgb="FF000000"/>
        <rFont val="Calibri"/>
      </rPr>
      <t xml:space="preserve">
</t>
    </r>
    <r>
      <rPr>
        <sz val="11"/>
        <color rgb="FF000000"/>
        <rFont val="Calibri"/>
      </rPr>
      <t xml:space="preserve">     storage:</t>
    </r>
    <r>
      <rPr>
        <sz val="11"/>
        <color rgb="FF000000"/>
        <rFont val="Calibri"/>
      </rPr>
      <t xml:space="preserve">
</t>
    </r>
    <r>
      <rPr>
        <sz val="11"/>
        <color rgb="FF000000"/>
        <rFont val="Calibri"/>
      </rPr>
      <t xml:space="preserve">       files:</t>
    </r>
    <r>
      <rPr>
        <sz val="11"/>
        <color rgb="FF000000"/>
        <rFont val="Calibri"/>
      </rPr>
      <t xml:space="preserve">
</t>
    </r>
    <r>
      <rPr>
        <sz val="11"/>
        <color rgb="FF000000"/>
        <rFont val="Calibri"/>
      </rPr>
      <t xml:space="preserve">       - contents:</t>
    </r>
    <r>
      <rPr>
        <sz val="11"/>
        <color rgb="FF000000"/>
        <rFont val="Calibri"/>
      </rPr>
      <t xml:space="preserve">
</t>
    </r>
    <r>
      <rPr>
        <sz val="11"/>
        <color rgb="FF000000"/>
        <rFont val="Calibri"/>
      </rPr>
      <t xml:space="preserve">           source: data:,allow%20with-interface%20one-of%20%7B%2003%3A00%3A01%2003%3A01%3A01%20%7D%20if%20%21allowed-matches%28with-interface%20one-of%20%7B%2003%3A00%3A01%2003%3A01%3A01%20%7D%29</t>
    </r>
    <r>
      <rPr>
        <sz val="11"/>
        <color rgb="FF000000"/>
        <rFont val="Calibri"/>
      </rPr>
      <t xml:space="preserve">
</t>
    </r>
    <r>
      <rPr>
        <sz val="11"/>
        <color rgb="FF000000"/>
        <rFont val="Calibri"/>
      </rPr>
      <t xml:space="preserve">         mode: 0600</t>
    </r>
    <r>
      <rPr>
        <sz val="11"/>
        <color rgb="FF000000"/>
        <rFont val="Calibri"/>
      </rPr>
      <t xml:space="preserve">
</t>
    </r>
    <r>
      <rPr>
        <sz val="11"/>
        <color rgb="FF000000"/>
        <rFont val="Calibri"/>
      </rPr>
      <t xml:space="preserve">         path: /etc/usbguard/rules.conf</t>
    </r>
    <r>
      <rPr>
        <sz val="11"/>
        <color rgb="FF000000"/>
        <rFont val="Calibri"/>
      </rPr>
      <t xml:space="preserve">
</t>
    </r>
    <r>
      <rPr>
        <sz val="11"/>
        <color rgb="FF000000"/>
        <rFont val="Calibri"/>
      </rPr>
      <t xml:space="preserve">         overwrite: true </t>
    </r>
    <r>
      <rPr>
        <sz val="11"/>
        <color rgb="FF000000"/>
        <rFont val="Calibri"/>
      </rPr>
      <t xml:space="preserve">
</t>
    </r>
    <r>
      <rPr>
        <sz val="11"/>
        <color rgb="FF000000"/>
        <rFont val="Calibri"/>
      </rPr>
      <t xml:space="preserve">" | oc apply -f - </t>
    </r>
    <r>
      <rPr>
        <sz val="11"/>
        <color rgb="FF000000"/>
        <rFont val="Calibri"/>
      </rPr>
      <t xml:space="preserve">
</t>
    </r>
    <r>
      <rPr>
        <sz val="11"/>
        <color rgb="FF000000"/>
        <rFont val="Calibri"/>
      </rPr>
      <t>done</t>
    </r>
  </si>
  <si>
    <r>
      <rPr>
        <sz val="11"/>
        <color rgb="FF000000"/>
        <rFont val="Calibri"/>
      </rPr>
      <t>USBGuard adds an extra layer of security to the overall OpenShift infrastructure. It provides an additional control mechanism to prevent potential security threats originating from USB devices. By monitoring and controlling USB access, USBGuard helps mitigate risks associated with unauthorized or malicious devices that may attempt to exploit vulnerabilities within the system.</t>
    </r>
  </si>
  <si>
    <r>
      <rPr>
        <sz val="11"/>
        <color rgb="FF000000"/>
        <rFont val="Calibri"/>
      </rPr>
      <t>1. Determine if the host devices include a USB Controller by executing the following:</t>
    </r>
    <r>
      <rPr>
        <sz val="11"/>
        <color rgb="FF000000"/>
        <rFont val="Calibri"/>
      </rPr>
      <t xml:space="preserve">
</t>
    </r>
    <r>
      <rPr>
        <sz val="11"/>
        <color rgb="FF000000"/>
        <rFont val="Calibri"/>
      </rPr>
      <t>for node in $(oc get node -oname); do oc debug $node -- chroot /host /bin/bash -c 'echo -n "$HOSTNAME "; lspci' 2&gt;/dev/null; done</t>
    </r>
    <r>
      <rPr>
        <sz val="11"/>
        <color rgb="FF000000"/>
        <rFont val="Calibri"/>
      </rPr>
      <t xml:space="preserve">
</t>
    </r>
    <r>
      <rPr>
        <sz val="11"/>
        <color rgb="FF000000"/>
        <rFont val="Calibri"/>
      </rPr>
      <t>If there is not a USB Controller, then this requirement is Not Applicable.</t>
    </r>
    <r>
      <rPr>
        <sz val="11"/>
        <color rgb="FF000000"/>
        <rFont val="Calibri"/>
      </rPr>
      <t xml:space="preserve">
</t>
    </r>
    <r>
      <rPr>
        <sz val="11"/>
        <color rgb="FF000000"/>
        <rFont val="Calibri"/>
      </rPr>
      <t>2. Verify the USBGuard service is installed by executing the following:</t>
    </r>
    <r>
      <rPr>
        <sz val="11"/>
        <color rgb="FF000000"/>
        <rFont val="Calibri"/>
      </rPr>
      <t xml:space="preserve">
</t>
    </r>
    <r>
      <rPr>
        <sz val="11"/>
        <color rgb="FF000000"/>
        <rFont val="Calibri"/>
      </rPr>
      <t>for node in $(oc get node -oname); do oc debug $node -- chroot /host /bin/bash -c 'echo -n "$HOSTNAME "; rpm -q usbguard' 2&gt;/dev/null; done</t>
    </r>
    <r>
      <rPr>
        <sz val="11"/>
        <color rgb="FF000000"/>
        <rFont val="Calibri"/>
      </rPr>
      <t xml:space="preserve">
</t>
    </r>
    <r>
      <rPr>
        <sz val="11"/>
        <color rgb="FF000000"/>
        <rFont val="Calibri"/>
      </rPr>
      <t>If the output returns "package usbguard is not installed", this is a finding.</t>
    </r>
    <r>
      <rPr>
        <sz val="11"/>
        <color rgb="FF000000"/>
        <rFont val="Calibri"/>
      </rPr>
      <t xml:space="preserve">
</t>
    </r>
    <r>
      <rPr>
        <sz val="11"/>
        <color rgb="FF000000"/>
        <rFont val="Calibri"/>
      </rPr>
      <t>3. Verify that USBGuard is set up to log into the Linux audit log.</t>
    </r>
    <r>
      <rPr>
        <sz val="11"/>
        <color rgb="FF000000"/>
        <rFont val="Calibri"/>
      </rPr>
      <t xml:space="preserve">
</t>
    </r>
    <r>
      <rPr>
        <sz val="11"/>
        <color rgb="FF000000"/>
        <rFont val="Calibri"/>
      </rPr>
      <t>for node in $(oc get node -oname); do oc debug $node -- chroot /host /bin/bash -c 'echo -n "$HOSTNAME "; grep -r AuditBackend /etc/usbguard/usbguard-daemon.conf' 2&gt;/dev/null; done</t>
    </r>
    <r>
      <rPr>
        <sz val="11"/>
        <color rgb="FF000000"/>
        <rFont val="Calibri"/>
      </rPr>
      <t xml:space="preserve">
</t>
    </r>
    <r>
      <rPr>
        <sz val="11"/>
        <color rgb="FF000000"/>
        <rFont val="Calibri"/>
      </rPr>
      <t>The output should return:</t>
    </r>
    <r>
      <rPr>
        <sz val="11"/>
        <color rgb="FF000000"/>
        <rFont val="Calibri"/>
      </rPr>
      <t xml:space="preserve">
</t>
    </r>
    <r>
      <rPr>
        <sz val="11"/>
        <color rgb="FF000000"/>
        <rFont val="Calibri"/>
      </rPr>
      <t>"AuditBackend=LinuxAudit". If it does not, this is a finding.</t>
    </r>
    <r>
      <rPr>
        <sz val="11"/>
        <color rgb="FF000000"/>
        <rFont val="Calibri"/>
      </rPr>
      <t xml:space="preserve">
</t>
    </r>
    <r>
      <rPr>
        <sz val="11"/>
        <color rgb="FF000000"/>
        <rFont val="Calibri"/>
      </rPr>
      <t>4. Verify the USBGuard has a policy configured with by executing the following:</t>
    </r>
    <r>
      <rPr>
        <sz val="11"/>
        <color rgb="FF000000"/>
        <rFont val="Calibri"/>
      </rPr>
      <t xml:space="preserve">
</t>
    </r>
    <r>
      <rPr>
        <sz val="11"/>
        <color rgb="FF000000"/>
        <rFont val="Calibri"/>
      </rPr>
      <t>for node in $(oc get node -oname); do oc debug $node -- chroot /host /bin/bash -c 'echo -n "$HOSTNAME "; usbguard list-rules' 2&gt;/dev/null; done</t>
    </r>
    <r>
      <rPr>
        <sz val="11"/>
        <color rgb="FF000000"/>
        <rFont val="Calibri"/>
      </rPr>
      <t xml:space="preserve">
</t>
    </r>
    <r>
      <rPr>
        <sz val="11"/>
        <color rgb="FF000000"/>
        <rFont val="Calibri"/>
      </rPr>
      <t>If USBGuard is not found or the results do not match the organizationally defined rules, this is a finding.</t>
    </r>
  </si>
  <si>
    <t>V-257586</t>
  </si>
  <si>
    <r>
      <rPr>
        <sz val="11"/>
        <rFont val="Calibri"/>
      </rPr>
      <t>OpenShift must continuously scan components, containers, and images for vulnerabilities.</t>
    </r>
  </si>
  <si>
    <r>
      <rPr>
        <sz val="11"/>
        <color rgb="FF000000"/>
        <rFont val="Calibri"/>
      </rPr>
      <t>Vulnerability scanning can be performed by the Container Security Operator, Red Hat Advanced Cluster Security (formerly StackRox) or by external applications. Follow instructions from the application vendor if using external tool for vulnerability scanning. To install the Container Security Operator into the cluster, run the following:</t>
    </r>
    <r>
      <rPr>
        <sz val="11"/>
        <color rgb="FF000000"/>
        <rFont val="Calibri"/>
      </rPr>
      <t xml:space="preserve">
</t>
    </r>
    <r>
      <rPr>
        <sz val="11"/>
        <color rgb="FF000000"/>
        <rFont val="Calibri"/>
      </rPr>
      <t>oc apply -f - &lt;&lt; 'EOF'</t>
    </r>
    <r>
      <rPr>
        <sz val="11"/>
        <color rgb="FF000000"/>
        <rFont val="Calibri"/>
      </rPr>
      <t xml:space="preserve">
</t>
    </r>
    <r>
      <rPr>
        <sz val="11"/>
        <color rgb="FF000000"/>
        <rFont val="Calibri"/>
      </rPr>
      <t>---</t>
    </r>
    <r>
      <rPr>
        <sz val="11"/>
        <color rgb="FF000000"/>
        <rFont val="Calibri"/>
      </rPr>
      <t xml:space="preserve">
</t>
    </r>
    <r>
      <rPr>
        <sz val="11"/>
        <color rgb="FF000000"/>
        <rFont val="Calibri"/>
      </rPr>
      <t>apiVersion: operators.coreos.com/v1alpha1</t>
    </r>
    <r>
      <rPr>
        <sz val="11"/>
        <color rgb="FF000000"/>
        <rFont val="Calibri"/>
      </rPr>
      <t xml:space="preserve">
</t>
    </r>
    <r>
      <rPr>
        <sz val="11"/>
        <color rgb="FF000000"/>
        <rFont val="Calibri"/>
      </rPr>
      <t>kind: Subscription</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labels:</t>
    </r>
    <r>
      <rPr>
        <sz val="11"/>
        <color rgb="FF000000"/>
        <rFont val="Calibri"/>
      </rPr>
      <t xml:space="preserve">
</t>
    </r>
    <r>
      <rPr>
        <sz val="11"/>
        <color rgb="FF000000"/>
        <rFont val="Calibri"/>
      </rPr>
      <t xml:space="preserve">    operators.coreos.com/container-security-operator.openshift-operators: ''</t>
    </r>
    <r>
      <rPr>
        <sz val="11"/>
        <color rgb="FF000000"/>
        <rFont val="Calibri"/>
      </rPr>
      <t xml:space="preserve">
</t>
    </r>
    <r>
      <rPr>
        <sz val="11"/>
        <color rgb="FF000000"/>
        <rFont val="Calibri"/>
      </rPr>
      <t xml:space="preserve">  name: container-security-operator</t>
    </r>
    <r>
      <rPr>
        <sz val="11"/>
        <color rgb="FF000000"/>
        <rFont val="Calibri"/>
      </rPr>
      <t xml:space="preserve">
</t>
    </r>
    <r>
      <rPr>
        <sz val="11"/>
        <color rgb="FF000000"/>
        <rFont val="Calibri"/>
      </rPr>
      <t xml:space="preserve">  namespace: openshift-operators</t>
    </r>
    <r>
      <rPr>
        <sz val="11"/>
        <color rgb="FF000000"/>
        <rFont val="Calibri"/>
      </rPr>
      <t xml:space="preserve">
</t>
    </r>
    <r>
      <rPr>
        <sz val="11"/>
        <color rgb="FF000000"/>
        <rFont val="Calibri"/>
      </rPr>
      <t>spec:</t>
    </r>
    <r>
      <rPr>
        <sz val="11"/>
        <color rgb="FF000000"/>
        <rFont val="Calibri"/>
      </rPr>
      <t xml:space="preserve">
</t>
    </r>
    <r>
      <rPr>
        <sz val="11"/>
        <color rgb="FF000000"/>
        <rFont val="Calibri"/>
      </rPr>
      <t xml:space="preserve">  channel: stable-3.8</t>
    </r>
    <r>
      <rPr>
        <sz val="11"/>
        <color rgb="FF000000"/>
        <rFont val="Calibri"/>
      </rPr>
      <t xml:space="preserve">
</t>
    </r>
    <r>
      <rPr>
        <sz val="11"/>
        <color rgb="FF000000"/>
        <rFont val="Calibri"/>
      </rPr>
      <t xml:space="preserve">  installPlanApproval: Automatic</t>
    </r>
    <r>
      <rPr>
        <sz val="11"/>
        <color rgb="FF000000"/>
        <rFont val="Calibri"/>
      </rPr>
      <t xml:space="preserve">
</t>
    </r>
    <r>
      <rPr>
        <sz val="11"/>
        <color rgb="FF000000"/>
        <rFont val="Calibri"/>
      </rPr>
      <t xml:space="preserve">  name: container-security-operator</t>
    </r>
    <r>
      <rPr>
        <sz val="11"/>
        <color rgb="FF000000"/>
        <rFont val="Calibri"/>
      </rPr>
      <t xml:space="preserve">
</t>
    </r>
    <r>
      <rPr>
        <sz val="11"/>
        <color rgb="FF000000"/>
        <rFont val="Calibri"/>
      </rPr>
      <t xml:space="preserve">  source: redhat-operators</t>
    </r>
    <r>
      <rPr>
        <sz val="11"/>
        <color rgb="FF000000"/>
        <rFont val="Calibri"/>
      </rPr>
      <t xml:space="preserve">
</t>
    </r>
    <r>
      <rPr>
        <sz val="11"/>
        <color rgb="FF000000"/>
        <rFont val="Calibri"/>
      </rPr>
      <t xml:space="preserve">  sourceNamespace: openshift-marketplace</t>
    </r>
    <r>
      <rPr>
        <sz val="11"/>
        <color rgb="FF000000"/>
        <rFont val="Calibri"/>
      </rPr>
      <t xml:space="preserve">
</t>
    </r>
    <r>
      <rPr>
        <sz val="11"/>
        <color rgb="FF000000"/>
        <rFont val="Calibri"/>
      </rPr>
      <t>EOF</t>
    </r>
  </si>
  <si>
    <r>
      <rPr>
        <sz val="11"/>
        <color rgb="FF000000"/>
        <rFont val="Calibri"/>
      </rPr>
      <t>Finding vulnerabilities quickly within the container platform and within containers deployed within the platform is important to keep the overall platform secure. When a vulnerability within a component or container is unknown or allowed to remain unpatched, other containers and customers within the platform become vulnerability. The vulnerability can lead to the loss of application data, organizational infrastructure data, and Denial-of-Service (DoS) to hosted applications.</t>
    </r>
    <r>
      <rPr>
        <sz val="11"/>
        <color rgb="FF000000"/>
        <rFont val="Calibri"/>
      </rPr>
      <t xml:space="preserve">
</t>
    </r>
    <r>
      <rPr>
        <sz val="11"/>
        <color rgb="FF000000"/>
        <rFont val="Calibri"/>
      </rPr>
      <t>Vulnerability scanning can be performed by the container platform or by external applications.</t>
    </r>
  </si>
  <si>
    <r>
      <rPr>
        <sz val="11"/>
        <color rgb="FF000000"/>
        <rFont val="Calibri"/>
      </rPr>
      <t>To check if the Container Security Operator is running, execute the following:</t>
    </r>
    <r>
      <rPr>
        <sz val="11"/>
        <color rgb="FF000000"/>
        <rFont val="Calibri"/>
      </rPr>
      <t xml:space="preserve">
</t>
    </r>
    <r>
      <rPr>
        <sz val="11"/>
        <color rgb="FF000000"/>
        <rFont val="Calibri"/>
      </rPr>
      <t>oc get deploy -n openshift-operators container-security-operator -ojsonpath='{.status.readyReplicas}'</t>
    </r>
    <r>
      <rPr>
        <sz val="11"/>
        <color rgb="FF000000"/>
        <rFont val="Calibri"/>
      </rPr>
      <t xml:space="preserve">
</t>
    </r>
    <r>
      <rPr>
        <sz val="11"/>
        <color rgb="FF000000"/>
        <rFont val="Calibri"/>
      </rPr>
      <t>If this command returns an error or the number 0, and a separate tool is not being used to perform continuous vulnerability scans of components, containers, and container images, this is a finding.</t>
    </r>
  </si>
  <si>
    <t>V-257587</t>
  </si>
  <si>
    <r>
      <rPr>
        <sz val="11"/>
        <rFont val="Calibri"/>
      </rPr>
      <t>OpenShift must use FIPS-validated SHA-2 or higher hash function for digital signature generation and verification (nonlegacy use).</t>
    </r>
  </si>
  <si>
    <r>
      <rPr>
        <sz val="11"/>
        <color rgb="FF000000"/>
        <rFont val="Calibri"/>
      </rPr>
      <t>Reinstall the OpenShift cluster in FIPS mode. The file install-config.yaml has a top-level key that enables FIPS mode for all nodes and the cluster platform layer. If the install-config.yaml was not backed up prior to consumption as part of the installation, it must be recreated. An example install-config.yaml with some sections trimmed out for brevity, and the "fips: true" key applied at the top level is shown below:</t>
    </r>
    <r>
      <rPr>
        <sz val="11"/>
        <color rgb="FF000000"/>
        <rFont val="Calibri"/>
      </rPr>
      <t xml:space="preserve">
</t>
    </r>
    <r>
      <rPr>
        <sz val="11"/>
        <color rgb="FF000000"/>
        <rFont val="Calibri"/>
      </rPr>
      <t>apiVersion: v1</t>
    </r>
    <r>
      <rPr>
        <sz val="11"/>
        <color rgb="FF000000"/>
        <rFont val="Calibri"/>
      </rPr>
      <t xml:space="preserve">
</t>
    </r>
    <r>
      <rPr>
        <sz val="11"/>
        <color rgb="FF000000"/>
        <rFont val="Calibri"/>
      </rPr>
      <t>baseDomain: example.com</t>
    </r>
    <r>
      <rPr>
        <sz val="11"/>
        <color rgb="FF000000"/>
        <rFont val="Calibri"/>
      </rPr>
      <t xml:space="preserve">
</t>
    </r>
    <r>
      <rPr>
        <sz val="11"/>
        <color rgb="FF000000"/>
        <rFont val="Calibri"/>
      </rPr>
      <t>controlPlane:</t>
    </r>
    <r>
      <rPr>
        <sz val="11"/>
        <color rgb="FF000000"/>
        <rFont val="Calibri"/>
      </rPr>
      <t xml:space="preserve">
</t>
    </r>
    <r>
      <rPr>
        <sz val="11"/>
        <color rgb="FF000000"/>
        <rFont val="Calibri"/>
      </rPr>
      <t xml:space="preserve">  name: master</t>
    </r>
    <r>
      <rPr>
        <sz val="11"/>
        <color rgb="FF000000"/>
        <rFont val="Calibri"/>
      </rPr>
      <t xml:space="preserve">
</t>
    </r>
    <r>
      <rPr>
        <sz val="11"/>
        <color rgb="FF000000"/>
        <rFont val="Calibri"/>
      </rPr>
      <t xml:space="preserve">  platform:</t>
    </r>
    <r>
      <rPr>
        <sz val="11"/>
        <color rgb="FF000000"/>
        <rFont val="Calibri"/>
      </rPr>
      <t xml:space="preserve">
</t>
    </r>
    <r>
      <rPr>
        <sz val="11"/>
        <color rgb="FF000000"/>
        <rFont val="Calibri"/>
      </rPr>
      <t xml:space="preserve">    aws: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replicas: 3</t>
    </r>
    <r>
      <rPr>
        <sz val="11"/>
        <color rgb="FF000000"/>
        <rFont val="Calibri"/>
      </rPr>
      <t xml:space="preserve">
</t>
    </r>
    <r>
      <rPr>
        <sz val="11"/>
        <color rgb="FF000000"/>
        <rFont val="Calibri"/>
      </rPr>
      <t>compute:</t>
    </r>
    <r>
      <rPr>
        <sz val="11"/>
        <color rgb="FF000000"/>
        <rFont val="Calibri"/>
      </rPr>
      <t xml:space="preserve">
</t>
    </r>
    <r>
      <rPr>
        <sz val="11"/>
        <color rgb="FF000000"/>
        <rFont val="Calibri"/>
      </rPr>
      <t>- name: worker</t>
    </r>
    <r>
      <rPr>
        <sz val="11"/>
        <color rgb="FF000000"/>
        <rFont val="Calibri"/>
      </rPr>
      <t xml:space="preserve">
</t>
    </r>
    <r>
      <rPr>
        <sz val="11"/>
        <color rgb="FF000000"/>
        <rFont val="Calibri"/>
      </rPr>
      <t xml:space="preserve">  platform:</t>
    </r>
    <r>
      <rPr>
        <sz val="11"/>
        <color rgb="FF000000"/>
        <rFont val="Calibri"/>
      </rPr>
      <t xml:space="preserve">
</t>
    </r>
    <r>
      <rPr>
        <sz val="11"/>
        <color rgb="FF000000"/>
        <rFont val="Calibri"/>
      </rPr>
      <t xml:space="preserve">    aws:</t>
    </r>
    <r>
      <rPr>
        <sz val="11"/>
        <color rgb="FF000000"/>
        <rFont val="Calibri"/>
      </rPr>
      <t xml:space="preserve">
</t>
    </r>
    <r>
      <rPr>
        <sz val="11"/>
        <color rgb="FF000000"/>
        <rFont val="Calibri"/>
      </rPr>
      <t xml:space="preserve">  replicas: 3</t>
    </r>
    <r>
      <rPr>
        <sz val="11"/>
        <color rgb="FF000000"/>
        <rFont val="Calibri"/>
      </rPr>
      <t xml:space="preserve">
</t>
    </r>
    <r>
      <rPr>
        <sz val="11"/>
        <color rgb="FF000000"/>
        <rFont val="Calibri"/>
      </rPr>
      <t>metadata:</t>
    </r>
    <r>
      <rPr>
        <sz val="11"/>
        <color rgb="FF000000"/>
        <rFont val="Calibri"/>
      </rPr>
      <t xml:space="preserve">
</t>
    </r>
    <r>
      <rPr>
        <sz val="11"/>
        <color rgb="FF000000"/>
        <rFont val="Calibri"/>
      </rPr>
      <t xml:space="preserve">  name: fips-cluster</t>
    </r>
    <r>
      <rPr>
        <sz val="11"/>
        <color rgb="FF000000"/>
        <rFont val="Calibri"/>
      </rPr>
      <t xml:space="preserve">
</t>
    </r>
    <r>
      <rPr>
        <sz val="11"/>
        <color rgb="FF000000"/>
        <rFont val="Calibri"/>
      </rPr>
      <t>networking: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platform:</t>
    </r>
    <r>
      <rPr>
        <sz val="11"/>
        <color rgb="FF000000"/>
        <rFont val="Calibri"/>
      </rPr>
      <t xml:space="preserve">
</t>
    </r>
    <r>
      <rPr>
        <sz val="11"/>
        <color rgb="FF000000"/>
        <rFont val="Calibri"/>
      </rPr>
      <t xml:space="preserve">  aws: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sshKey: ssh-ed25519 AAAA...</t>
    </r>
    <r>
      <rPr>
        <sz val="11"/>
        <color rgb="FF000000"/>
        <rFont val="Calibri"/>
      </rPr>
      <t xml:space="preserve">
</t>
    </r>
    <r>
      <rPr>
        <sz val="11"/>
        <color rgb="FF000000"/>
        <rFont val="Calibri"/>
      </rPr>
      <t>pullSecret: '{"auths": ...}'</t>
    </r>
    <r>
      <rPr>
        <sz val="11"/>
        <color rgb="FF000000"/>
        <rFont val="Calibri"/>
      </rPr>
      <t xml:space="preserve">
</t>
    </r>
    <r>
      <rPr>
        <sz val="11"/>
        <color rgb="FF000000"/>
        <rFont val="Calibri"/>
      </rPr>
      <t>fips: true</t>
    </r>
    <r>
      <rPr>
        <sz val="11"/>
        <color rgb="FF000000"/>
        <rFont val="Calibri"/>
      </rPr>
      <t xml:space="preserve">
</t>
    </r>
    <r>
      <rPr>
        <sz val="11"/>
        <color rgb="FF000000"/>
        <rFont val="Calibri"/>
      </rPr>
      <t>After saving the install-config.yaml with the corresponding correct information, run the installer to create a cluster that uses FIPS-validated Modules in Process cryptographic libraries. The command to install a cluster and consume the install-config.yaml is:</t>
    </r>
    <r>
      <rPr>
        <sz val="11"/>
        <color rgb="FF000000"/>
        <rFont val="Calibri"/>
      </rPr>
      <t xml:space="preserve">
</t>
    </r>
    <r>
      <rPr>
        <sz val="11"/>
        <color rgb="FF000000"/>
        <rFont val="Calibri"/>
      </rPr>
      <t>&gt; ./openshift-install create cluster --dir=&lt;installation_directory&gt; --log-level=info</t>
    </r>
    <r>
      <rPr>
        <sz val="11"/>
        <color rgb="FF000000"/>
        <rFont val="Calibri"/>
      </rPr>
      <t xml:space="preserve">
</t>
    </r>
    <r>
      <rPr>
        <sz val="11"/>
        <color rgb="FF000000"/>
        <rFont val="Calibri"/>
      </rPr>
      <t>Where &lt;installation_directory&gt; is the directory that contains install-config.yaml</t>
    </r>
    <r>
      <rPr>
        <sz val="11"/>
        <color rgb="FF000000"/>
        <rFont val="Calibri"/>
      </rPr>
      <t xml:space="preserve">
</t>
    </r>
    <r>
      <rPr>
        <sz val="11"/>
        <color rgb="FF000000"/>
        <rFont val="Calibri"/>
      </rPr>
      <t>Additional details can be found here: https://docs.openshift.com/container-platform/4.8/installing/installing-fips.html</t>
    </r>
  </si>
  <si>
    <r>
      <rPr>
        <sz val="11"/>
        <color rgb="FF000000"/>
        <rFont val="Calibri"/>
      </rPr>
      <t>Using a FIPS-validated SHA-2 or higher hash function for digital signature generation and verification in OpenShift ensures strong cryptographic security, compliance with industry standards, and protection against known attacks. It promotes the integrity, authenticity, and nonrepudiation of digital signatures, which are essential for secure communication and data exchange in the OpenShift platform.</t>
    </r>
    <r>
      <rPr>
        <sz val="11"/>
        <color rgb="FF000000"/>
        <rFont val="Calibri"/>
      </rPr>
      <t xml:space="preserve">
</t>
    </r>
    <r>
      <rPr>
        <sz val="11"/>
        <color rgb="FF000000"/>
        <rFont val="Calibri"/>
      </rPr>
      <t>SHA1 is disabled in digital signatures when FIPS mode is enabled. OpenShift must verify that the certificates in /etc/kubernetes and /etc/pki are using sha256 signatures.</t>
    </r>
  </si>
  <si>
    <r>
      <rPr>
        <sz val="11"/>
        <color rgb="FF000000"/>
        <rFont val="Calibri"/>
      </rPr>
      <t>Verify the use of a FIPS-compliant hash function for digital signature generation and validation, by executing and reviewing the following commands:</t>
    </r>
    <r>
      <rPr>
        <sz val="11"/>
        <color rgb="FF000000"/>
        <rFont val="Calibri"/>
      </rPr>
      <t xml:space="preserve">
</t>
    </r>
    <r>
      <rPr>
        <sz val="11"/>
        <color rgb="FF000000"/>
        <rFont val="Calibri"/>
      </rPr>
      <t>update-crypto-policies --show</t>
    </r>
    <r>
      <rPr>
        <sz val="11"/>
        <color rgb="FF000000"/>
        <rFont val="Calibri"/>
      </rPr>
      <t xml:space="preserve">
</t>
    </r>
    <r>
      <rPr>
        <sz val="11"/>
        <color rgb="FF000000"/>
        <rFont val="Calibri"/>
      </rPr>
      <t>If the return is not "FIPS", this is a finding.</t>
    </r>
    <r>
      <rPr>
        <sz val="11"/>
        <color rgb="FF000000"/>
        <rFont val="Calibri"/>
      </rPr>
      <t xml:space="preserve">
</t>
    </r>
    <r>
      <rPr>
        <sz val="11"/>
        <color rgb="FF000000"/>
        <rFont val="Calibri"/>
      </rPr>
      <t>Verify the crypto-policies by executing the following:</t>
    </r>
    <r>
      <rPr>
        <sz val="11"/>
        <color rgb="FF000000"/>
        <rFont val="Calibri"/>
      </rPr>
      <t xml:space="preserve">
</t>
    </r>
    <r>
      <rPr>
        <sz val="11"/>
        <color rgb="FF000000"/>
        <rFont val="Calibri"/>
      </rPr>
      <t>openssl x509 -in /etc/kubernetes/kubelet-ca.crt -noout -text | grep Algorithm</t>
    </r>
    <r>
      <rPr>
        <sz val="11"/>
        <color rgb="FF000000"/>
        <rFont val="Calibri"/>
      </rPr>
      <t xml:space="preserve">
</t>
    </r>
    <r>
      <rPr>
        <sz val="11"/>
        <color rgb="FF000000"/>
        <rFont val="Calibri"/>
      </rPr>
      <t>openssl x509 -in /etc/kubernetes/ca.crt -noout -text | grep Algorithm</t>
    </r>
    <r>
      <rPr>
        <sz val="11"/>
        <color rgb="FF000000"/>
        <rFont val="Calibri"/>
      </rPr>
      <t xml:space="preserve">
</t>
    </r>
    <r>
      <rPr>
        <sz val="11"/>
        <color rgb="FF000000"/>
        <rFont val="Calibri"/>
      </rPr>
      <t>If any of the crypto-policies listed are not FIPS compliant, this is a finding. Details of algorithms can be reviewed at the following knowledge base article:</t>
    </r>
    <r>
      <rPr>
        <sz val="11"/>
        <color rgb="FF000000"/>
        <rFont val="Calibri"/>
      </rPr>
      <t xml:space="preserve">
</t>
    </r>
    <r>
      <rPr>
        <sz val="11"/>
        <color rgb="FF000000"/>
        <rFont val="Calibri"/>
      </rPr>
      <t>https://access.redhat.com/articles/3642912</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</si>
  <si>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</si>
  <si>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</si>
  <si>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</si>
  <si>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</si>
  <si>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</si>
  <si>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</si>
  <si>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</si>
  <si>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</si>
  <si>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</si>
  <si>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</si>
  <si>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</si>
  <si>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</si>
  <si>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</si>
  <si>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</si>
  <si>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</si>
  <si>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</si>
  <si>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</si>
  <si>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</si>
  <si>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</si>
  <si>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</si>
  <si>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</si>
  <si>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</si>
  <si>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</si>
  <si>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</si>
  <si>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</si>
  <si>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</si>
  <si>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</si>
  <si>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</si>
  <si>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</si>
  <si>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Red Hat OpenShift Container Platform 4.x Security Technical Implementation Guide V2R5</t>
  </si>
  <si>
    <t>Developed By:</t>
  </si>
  <si>
    <t>Red Hat and Defense Information Systems Agency (DISA) for the US DoD</t>
  </si>
  <si>
    <t>Release Information:</t>
  </si>
  <si>
    <r>
      <rPr>
        <b/>
        <sz val="11"/>
        <color rgb="FF000000"/>
        <rFont val="Calibri"/>
      </rPr>
      <t>Version:</t>
    </r>
    <r>
      <rPr>
        <sz val="11"/>
        <color rgb="FF000000"/>
        <rFont val="Calibri"/>
      </rPr>
      <t xml:space="preserve"> V2R5    </t>
    </r>
    <r>
      <rPr>
        <b/>
        <sz val="11"/>
        <color rgb="FF000000"/>
        <rFont val="Calibri"/>
      </rPr>
      <t>Date:</t>
    </r>
    <r>
      <rPr>
        <sz val="11"/>
        <color rgb="FF000000"/>
        <rFont val="Calibri"/>
      </rPr>
      <t xml:space="preserve"> 05 January 2026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83</t>
    </r>
  </si>
  <si>
    <t>Download Url:</t>
  </si>
  <si>
    <t>https://www.cyber.mil/stigs</t>
  </si>
  <si>
    <t>Guide Overview:</t>
  </si>
  <si>
    <r>
      <rPr>
        <sz val="11"/>
        <color rgb="FF000000"/>
        <rFont val="Calibri"/>
      </rPr>
      <t>The Red Hat OpenShift Container Platform 4.x Security Technical Implementation Guide (STIG) is published as a tool to improve the security of Department of Defense (DOD) information systems. This document is meant for use in conjunction with other STIGs and SRGs, such as the AAA SRG, Central Log Server SRG, Network Infrastructure Policy STIG, and other appropriate SRGs and STIGs.</t>
    </r>
    <r>
      <rPr>
        <sz val="11"/>
        <color rgb="FF000000"/>
        <rFont val="Calibri"/>
      </rPr>
      <t xml:space="preserve">
</t>
    </r>
    <r>
      <rPr>
        <sz val="11"/>
        <color rgb="FF000000"/>
        <rFont val="Calibri"/>
      </rPr>
      <t>This STIG applies to the Red Hat product OpenShift version 4.x. It assumes this product is installed and configured in accordance with the documented installation instructions provided by Red Hat. This STIG also assumes delegation of certain security control implementation to external, integrated enterprise systems, including a central identity and access management system, central logging management system, and others as noted below.</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</si>
  <si>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</si>
  <si>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</si>
  <si>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</si>
  <si>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</si>
  <si>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</si>
  <si>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</si>
  <si>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</si>
  <si>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</si>
  <si>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</si>
  <si>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</si>
  <si>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</si>
  <si>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</si>
  <si>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</si>
  <si>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</si>
  <si>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</si>
  <si>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</si>
  <si>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</si>
  <si>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</si>
  <si>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</si>
  <si>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</si>
  <si>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</si>
  <si>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</si>
  <si>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</si>
  <si>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</si>
  <si>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</si>
  <si>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</si>
  <si>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</si>
  <si>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</si>
  <si>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</si>
  <si>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</si>
  <si>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</si>
  <si>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</si>
  <si>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</si>
  <si>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</si>
  <si>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</si>
  <si>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</si>
  <si>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</si>
  <si>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</si>
  <si>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</si>
  <si>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</si>
  <si>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</si>
  <si>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</si>
  <si>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</si>
  <si>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</si>
  <si>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Red Hat OpenShift Container Platform 4.x Security Technical Implementation Guide V2R5</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</si>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</sst>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288">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3"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4" fillId="4" borderId="11" xfId="0" applyNumberFormat="1" applyFont="1" applyFill="1" applyBorder="1" applyAlignment="1" applyProtection="1">
      <alignment horizontal="left"/>
    </xf>
    <xf numFmtId="0" fontId="14" fillId="4" borderId="11" xfId="0" applyNumberFormat="1" applyFont="1" applyFill="1" applyBorder="1" applyAlignment="1" applyProtection="1">
      <alignment horizontal="center"/>
    </xf>
    <xf numFmtId="164" fontId="14" fillId="4" borderId="11" xfId="0" applyNumberFormat="1" applyFont="1" applyFill="1" applyBorder="1" applyAlignment="1" applyProtection="1">
      <alignment horizontal="center"/>
    </xf>
    <xf numFmtId="0" fontId="15" fillId="3" borderId="0" xfId="0" applyNumberFormat="1" applyFont="1" applyFill="1" applyProtection="1"/>
    <xf numFmtId="0" fontId="13"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7" fillId="3" borderId="0" xfId="0" applyNumberFormat="1" applyFont="1" applyFill="1" applyProtection="1"/>
    <xf numFmtId="0" fontId="18" fillId="3" borderId="13" xfId="0" applyNumberFormat="1" applyFont="1" applyFill="1" applyBorder="1" applyAlignment="1" applyProtection="1">
      <alignment horizontal="right" vertical="center"/>
    </xf>
    <xf numFmtId="0" fontId="19"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3" fillId="2" borderId="11" xfId="0" applyNumberFormat="1" applyFont="1" applyFill="1" applyBorder="1" applyAlignment="1" applyProtection="1">
      <alignment horizontal="center" vertical="center" wrapText="1"/>
    </xf>
    <xf numFmtId="0" fontId="20"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3"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2" fillId="14" borderId="11" xfId="0" applyNumberFormat="1" applyFont="1" applyFill="1" applyBorder="1" applyAlignment="1" applyProtection="1">
      <alignment horizontal="center" vertical="center" wrapText="1"/>
    </xf>
    <xf numFmtId="0" fontId="22" fillId="15" borderId="11" xfId="0" applyNumberFormat="1" applyFont="1" applyFill="1" applyBorder="1" applyAlignment="1" applyProtection="1">
      <alignment horizontal="center" vertical="center" wrapText="1"/>
    </xf>
    <xf numFmtId="0" fontId="22" fillId="16" borderId="11" xfId="0" applyNumberFormat="1" applyFont="1" applyFill="1" applyBorder="1" applyAlignment="1" applyProtection="1">
      <alignment horizontal="center" vertical="center" wrapText="1"/>
    </xf>
    <xf numFmtId="0" fontId="22" fillId="17" borderId="11" xfId="0" applyNumberFormat="1" applyFont="1" applyFill="1" applyBorder="1" applyAlignment="1" applyProtection="1">
      <alignment horizontal="center" vertical="center" wrapText="1"/>
    </xf>
    <xf numFmtId="0" fontId="22" fillId="18" borderId="11" xfId="0" applyNumberFormat="1" applyFont="1" applyFill="1" applyBorder="1" applyAlignment="1" applyProtection="1">
      <alignment horizontal="center" vertical="center" wrapText="1"/>
    </xf>
    <xf numFmtId="0" fontId="22" fillId="19" borderId="11" xfId="0" applyNumberFormat="1" applyFont="1" applyFill="1" applyBorder="1" applyAlignment="1" applyProtection="1">
      <alignment horizontal="center" vertical="center" wrapText="1"/>
    </xf>
    <xf numFmtId="0" fontId="23"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4"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5"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5"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xf>
    <xf numFmtId="0" fontId="24"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6"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3"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3"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6" fillId="3" borderId="0" xfId="0" applyNumberFormat="1" applyFont="1" applyFill="1" applyAlignment="1" applyProtection="1">
      <alignment vertical="top" wrapText="1"/>
    </xf>
    <xf numFmtId="3" fontId="21"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1"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3"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78">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D387-4EE3-895D-AB6C1BE80E36}"/>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D387-4EE3-895D-AB6C1BE80E36}"/>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83</c:v>
                </c:pt>
              </c:numCache>
            </c:numRef>
          </c:val>
          <c:extLst>
            <c:ext xmlns:c16="http://schemas.microsoft.com/office/drawing/2014/chart" uri="{C3380CC4-5D6E-409C-BE32-E72D297353CC}">
              <c16:uniqueId val="{00000002-D387-4EE3-895D-AB6C1BE80E36}"/>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42B2-45FC-BFA5-1F9930EFB9A8}"/>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42B2-45FC-BFA5-1F9930EFB9A8}"/>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83</c:v>
                </c:pt>
              </c:numCache>
            </c:numRef>
          </c:val>
          <c:extLst>
            <c:ext xmlns:c16="http://schemas.microsoft.com/office/drawing/2014/chart" uri="{C3380CC4-5D6E-409C-BE32-E72D297353CC}">
              <c16:uniqueId val="{00000002-42B2-45FC-BFA5-1F9930EFB9A8}"/>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6B4A-43D3-935C-A809B8EE96E1}"/>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6B4A-43D3-935C-A809B8EE96E1}"/>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7</c:v>
                </c:pt>
                <c:pt idx="1">
                  <c:v>73</c:v>
                </c:pt>
                <c:pt idx="2">
                  <c:v>3</c:v>
                </c:pt>
              </c:numCache>
            </c:numRef>
          </c:val>
          <c:extLst>
            <c:ext xmlns:c16="http://schemas.microsoft.com/office/drawing/2014/chart" uri="{C3380CC4-5D6E-409C-BE32-E72D297353CC}">
              <c16:uniqueId val="{00000002-6B4A-43D3-935C-A809B8EE96E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A80D-4E14-ADF9-AAAA08FB3028}"/>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A80D-4E14-ADF9-AAAA08FB3028}"/>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83</c:v>
                </c:pt>
              </c:numCache>
            </c:numRef>
          </c:val>
          <c:extLst>
            <c:ext xmlns:c16="http://schemas.microsoft.com/office/drawing/2014/chart" uri="{C3380CC4-5D6E-409C-BE32-E72D297353CC}">
              <c16:uniqueId val="{00000002-A80D-4E14-ADF9-AAAA08FB3028}"/>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6E5D-4BA4-8D45-BA20B491B73A}"/>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6E5D-4BA4-8D45-BA20B491B73A}"/>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83</c:v>
                </c:pt>
              </c:numCache>
            </c:numRef>
          </c:val>
          <c:extLst>
            <c:ext xmlns:c16="http://schemas.microsoft.com/office/drawing/2014/chart" uri="{C3380CC4-5D6E-409C-BE32-E72D297353CC}">
              <c16:uniqueId val="{00000002-6E5D-4BA4-8D45-BA20B491B73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8B7D-4570-8079-217828E373D2}"/>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8B7D-4570-8079-217828E373D2}"/>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8B7D-4570-8079-217828E373D2}"/>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8B7D-4570-8079-217828E373D2}"/>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12E4-4A35-91C0-76957851E2A1}"/>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uiowrr">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0h4a2q">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mh0rwf">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uew3nh">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1ws2cg">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40wtne">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vr3e2r">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84">
  <autoFilter ref="A1:M84"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CRF_v2025" displayName="CRF_v2025" ref="A1:AU481">
  <autoFilter ref="A1:AU481" xr:uid="{00000000-0009-0000-0100-000009000000}"/>
  <tableColumns count="47">
    <tableColumn id="1" xr3:uid="{00000000-0010-0000-0800-000001000000}" name="Category"/>
    <tableColumn id="2" xr3:uid="{00000000-0010-0000-0800-000002000000}" name="Domain"/>
    <tableColumn id="3" xr3:uid="{00000000-0010-0000-0800-000003000000}" name="Id"/>
    <tableColumn id="4" xr3:uid="{00000000-0010-0000-0800-000004000000}" name="Requirement"/>
    <tableColumn id="5" xr3:uid="{00000000-0010-0000-0800-000005000000}" name="Level"/>
    <tableColumn id="6" xr3:uid="{00000000-0010-0000-0800-000006000000}" name="SafeguardSystem"/>
    <tableColumn id="7" xr3:uid="{00000000-0010-0000-0800-000007000000}" name="ImplPct"/>
    <tableColumn id="8" xr3:uid="{00000000-0010-0000-0800-000008000000}" name="Rec1"/>
    <tableColumn id="9" xr3:uid="{00000000-0010-0000-0800-000009000000}" name="Rec2"/>
    <tableColumn id="10" xr3:uid="{00000000-0010-0000-0800-00000A000000}" name="Rec3"/>
    <tableColumn id="11" xr3:uid="{00000000-0010-0000-0800-00000B000000}" name="Rec4"/>
    <tableColumn id="12" xr3:uid="{00000000-0010-0000-0800-00000C000000}" name="Rec5"/>
    <tableColumn id="13" xr3:uid="{00000000-0010-0000-0800-00000D000000}" name="Rec6"/>
    <tableColumn id="14" xr3:uid="{00000000-0010-0000-0800-00000E000000}" name="Rec7"/>
    <tableColumn id="15" xr3:uid="{00000000-0010-0000-0800-00000F000000}" name="Rec8"/>
    <tableColumn id="16" xr3:uid="{00000000-0010-0000-0800-000010000000}" name="Rec9"/>
    <tableColumn id="17" xr3:uid="{00000000-0010-0000-0800-000011000000}" name="Rec10"/>
    <tableColumn id="18" xr3:uid="{00000000-0010-0000-0800-000012000000}" name="Rec11"/>
    <tableColumn id="19" xr3:uid="{00000000-0010-0000-0800-000013000000}" name="Rec12"/>
    <tableColumn id="20" xr3:uid="{00000000-0010-0000-0800-000014000000}" name="Rec13"/>
    <tableColumn id="21" xr3:uid="{00000000-0010-0000-0800-000015000000}" name="Rec14"/>
    <tableColumn id="22" xr3:uid="{00000000-0010-0000-0800-000016000000}" name="Rec15"/>
    <tableColumn id="23" xr3:uid="{00000000-0010-0000-0800-000017000000}" name="Rec16"/>
    <tableColumn id="24" xr3:uid="{00000000-0010-0000-0800-000018000000}" name="Rec17"/>
    <tableColumn id="25" xr3:uid="{00000000-0010-0000-0800-000019000000}" name="Rec18"/>
    <tableColumn id="26" xr3:uid="{00000000-0010-0000-0800-00001A000000}" name="Rec19"/>
    <tableColumn id="27" xr3:uid="{00000000-0010-0000-0800-00001B000000}" name="Rec20"/>
    <tableColumn id="28" xr3:uid="{00000000-0010-0000-0800-00001C000000}" name="Rec21"/>
    <tableColumn id="29" xr3:uid="{00000000-0010-0000-0800-00001D000000}" name="Rec22"/>
    <tableColumn id="30" xr3:uid="{00000000-0010-0000-0800-00001E000000}" name="Rec23"/>
    <tableColumn id="31" xr3:uid="{00000000-0010-0000-0800-00001F000000}" name="Rec24"/>
    <tableColumn id="32" xr3:uid="{00000000-0010-0000-0800-000020000000}" name="Rec25"/>
    <tableColumn id="33" xr3:uid="{00000000-0010-0000-0800-000021000000}" name="Rec26"/>
    <tableColumn id="34" xr3:uid="{00000000-0010-0000-0800-000022000000}" name="Rec27"/>
    <tableColumn id="35" xr3:uid="{00000000-0010-0000-0800-000023000000}" name="Rec28"/>
    <tableColumn id="36" xr3:uid="{00000000-0010-0000-0800-000024000000}" name="Rec29"/>
    <tableColumn id="37" xr3:uid="{00000000-0010-0000-0800-000025000000}" name="Rec30"/>
    <tableColumn id="38" xr3:uid="{00000000-0010-0000-0800-000026000000}" name="Rec31"/>
    <tableColumn id="39" xr3:uid="{00000000-0010-0000-0800-000027000000}" name="Rec32"/>
    <tableColumn id="40" xr3:uid="{00000000-0010-0000-0800-000028000000}" name="Rec33"/>
    <tableColumn id="41" xr3:uid="{00000000-0010-0000-0800-000029000000}" name="Rec34"/>
    <tableColumn id="42" xr3:uid="{00000000-0010-0000-0800-00002A000000}" name="Rec35"/>
    <tableColumn id="43" xr3:uid="{00000000-0010-0000-0800-00002B000000}" name="Rec36"/>
    <tableColumn id="44" xr3:uid="{00000000-0010-0000-0800-00002C000000}" name="Rec37"/>
    <tableColumn id="45" xr3:uid="{00000000-0010-0000-0800-00002D000000}" name="Rec38"/>
    <tableColumn id="46" xr3:uid="{00000000-0010-0000-0800-00002E000000}" name="Rec39"/>
    <tableColumn id="47" xr3:uid="{00000000-0010-0000-0800-00002F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3"/>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431</v>
      </c>
    </row>
    <row r="3" spans="2:3" ht="15" customHeight="1" x14ac:dyDescent="0.35"/>
    <row r="4" spans="2:3" ht="58" x14ac:dyDescent="0.35">
      <c r="B4" s="18" t="s">
        <v>432</v>
      </c>
      <c r="C4" s="19" t="s">
        <v>433</v>
      </c>
    </row>
    <row r="5" spans="2:3" x14ac:dyDescent="0.35">
      <c r="C5" s="19" t="s">
        <v>434</v>
      </c>
    </row>
    <row r="6" spans="2:3" x14ac:dyDescent="0.35">
      <c r="C6" s="16" t="s">
        <v>435</v>
      </c>
    </row>
    <row r="7" spans="2:3" ht="10" customHeight="1" x14ac:dyDescent="0.35"/>
    <row r="8" spans="2:3" ht="232" x14ac:dyDescent="0.35">
      <c r="B8" s="20" t="s">
        <v>436</v>
      </c>
      <c r="C8" s="19" t="s">
        <v>437</v>
      </c>
    </row>
    <row r="9" spans="2:3" ht="10" customHeight="1" x14ac:dyDescent="0.35"/>
    <row r="10" spans="2:3" ht="35" customHeight="1" x14ac:dyDescent="0.35">
      <c r="B10" s="20" t="s">
        <v>438</v>
      </c>
      <c r="C10" s="19" t="s">
        <v>439</v>
      </c>
    </row>
    <row r="11" spans="2:3" ht="75" customHeight="1" x14ac:dyDescent="0.35">
      <c r="B11" s="16" t="s">
        <v>19</v>
      </c>
      <c r="C11" s="19" t="s">
        <v>440</v>
      </c>
    </row>
    <row r="12" spans="2:3" ht="47" customHeight="1" x14ac:dyDescent="0.35">
      <c r="B12" s="16" t="s">
        <v>19</v>
      </c>
      <c r="C12" s="19" t="s">
        <v>441</v>
      </c>
    </row>
    <row r="13" spans="2:3" ht="35" customHeight="1" x14ac:dyDescent="0.35">
      <c r="B13" s="16" t="s">
        <v>19</v>
      </c>
      <c r="C13" s="19" t="s">
        <v>442</v>
      </c>
    </row>
    <row r="14" spans="2:3" ht="32" customHeight="1" x14ac:dyDescent="0.35">
      <c r="B14" s="16" t="s">
        <v>19</v>
      </c>
      <c r="C14" s="19" t="s">
        <v>443</v>
      </c>
    </row>
    <row r="15" spans="2:3" ht="30" customHeight="1" x14ac:dyDescent="0.35">
      <c r="B15" s="16" t="s">
        <v>19</v>
      </c>
      <c r="C15" s="19" t="s">
        <v>444</v>
      </c>
    </row>
    <row r="16" spans="2:3" ht="10" customHeight="1" x14ac:dyDescent="0.35"/>
    <row r="17" spans="1:3" ht="145" customHeight="1" x14ac:dyDescent="0.35">
      <c r="B17" s="20" t="s">
        <v>445</v>
      </c>
      <c r="C17" s="19" t="s">
        <v>446</v>
      </c>
    </row>
    <row r="18" spans="1:3" ht="10" customHeight="1" x14ac:dyDescent="0.35"/>
    <row r="19" spans="1:3" ht="3" customHeight="1" x14ac:dyDescent="0.35">
      <c r="B19" s="21"/>
      <c r="C19" s="21"/>
    </row>
    <row r="20" spans="1:3" ht="12" customHeight="1" x14ac:dyDescent="0.35"/>
    <row r="21" spans="1:3" ht="35" customHeight="1" x14ac:dyDescent="0.35">
      <c r="A21" s="23"/>
      <c r="B21" s="24" t="s">
        <v>447</v>
      </c>
      <c r="C21" s="25" t="s">
        <v>448</v>
      </c>
    </row>
    <row r="22" spans="1:3" ht="18" customHeight="1" x14ac:dyDescent="0.35">
      <c r="A22" s="23"/>
      <c r="B22" s="23" t="s">
        <v>19</v>
      </c>
      <c r="C22" s="25" t="s">
        <v>449</v>
      </c>
    </row>
    <row r="23" spans="1:3" ht="18" customHeight="1" x14ac:dyDescent="0.35">
      <c r="A23" s="23"/>
      <c r="B23" s="23" t="s">
        <v>19</v>
      </c>
      <c r="C23" s="25" t="s">
        <v>450</v>
      </c>
    </row>
    <row r="24" spans="1:3" ht="18" customHeight="1" x14ac:dyDescent="0.35">
      <c r="A24" s="23"/>
      <c r="B24" s="23" t="s">
        <v>19</v>
      </c>
      <c r="C24" s="25" t="s">
        <v>451</v>
      </c>
    </row>
    <row r="25" spans="1:3" ht="18" customHeight="1" x14ac:dyDescent="0.35">
      <c r="A25" s="23"/>
      <c r="B25" s="23" t="s">
        <v>19</v>
      </c>
      <c r="C25" s="25" t="s">
        <v>452</v>
      </c>
    </row>
    <row r="26" spans="1:3" ht="18" customHeight="1" x14ac:dyDescent="0.35">
      <c r="A26" s="23"/>
      <c r="B26" s="23" t="s">
        <v>19</v>
      </c>
      <c r="C26" s="25" t="s">
        <v>453</v>
      </c>
    </row>
    <row r="27" spans="1:3" ht="18" customHeight="1" x14ac:dyDescent="0.35">
      <c r="A27" s="23"/>
      <c r="B27" s="23" t="s">
        <v>19</v>
      </c>
      <c r="C27" s="25" t="s">
        <v>454</v>
      </c>
    </row>
    <row r="28" spans="1:3" ht="18" customHeight="1" x14ac:dyDescent="0.35">
      <c r="A28" s="23"/>
      <c r="B28" s="23" t="s">
        <v>19</v>
      </c>
      <c r="C28" s="25" t="s">
        <v>455</v>
      </c>
    </row>
    <row r="29" spans="1:3" ht="18" customHeight="1" x14ac:dyDescent="0.35">
      <c r="A29" s="23"/>
      <c r="B29" s="23" t="s">
        <v>19</v>
      </c>
      <c r="C29" s="25" t="s">
        <v>456</v>
      </c>
    </row>
    <row r="30" spans="1:3" ht="44" customHeight="1" x14ac:dyDescent="0.35">
      <c r="A30" s="23"/>
      <c r="B30" s="23" t="s">
        <v>19</v>
      </c>
      <c r="C30" s="26" t="s">
        <v>457</v>
      </c>
    </row>
    <row r="31" spans="1:3" ht="10" customHeight="1" x14ac:dyDescent="0.35"/>
    <row r="32" spans="1:3" ht="3" customHeight="1" x14ac:dyDescent="0.35">
      <c r="B32" s="21"/>
      <c r="C32" s="21"/>
    </row>
    <row r="33" spans="2:3" ht="12" customHeight="1" x14ac:dyDescent="0.35"/>
    <row r="34" spans="2:3" ht="24" customHeight="1" x14ac:dyDescent="0.35">
      <c r="B34" s="27" t="s">
        <v>458</v>
      </c>
      <c r="C34" s="28" t="s">
        <v>459</v>
      </c>
    </row>
    <row r="35" spans="2:3" ht="18.5" x14ac:dyDescent="0.35">
      <c r="B35" s="27" t="s">
        <v>460</v>
      </c>
      <c r="C35" s="29" t="s">
        <v>461</v>
      </c>
    </row>
    <row r="36" spans="2:3" ht="27" customHeight="1" x14ac:dyDescent="0.35">
      <c r="B36" s="30" t="s">
        <v>462</v>
      </c>
      <c r="C36" s="22" t="s">
        <v>463</v>
      </c>
    </row>
    <row r="37" spans="2:3" x14ac:dyDescent="0.35">
      <c r="B37" s="27" t="s">
        <v>464</v>
      </c>
      <c r="C37" s="31" t="s">
        <v>465</v>
      </c>
    </row>
    <row r="38" spans="2:3" ht="10" customHeight="1" x14ac:dyDescent="0.35"/>
    <row r="39" spans="2:3" ht="145" x14ac:dyDescent="0.35">
      <c r="B39" s="27" t="s">
        <v>466</v>
      </c>
      <c r="C39" s="32" t="s">
        <v>467</v>
      </c>
    </row>
    <row r="40" spans="2:3" ht="10" customHeight="1" x14ac:dyDescent="0.35"/>
    <row r="41" spans="2:3" ht="43.5" x14ac:dyDescent="0.35">
      <c r="B41" s="27" t="s">
        <v>468</v>
      </c>
      <c r="C41" s="19" t="s">
        <v>469</v>
      </c>
    </row>
    <row r="42" spans="2:3" ht="10" customHeight="1" x14ac:dyDescent="0.35"/>
    <row r="43" spans="2:3" ht="15.5" x14ac:dyDescent="0.35">
      <c r="C43" s="33" t="s">
        <v>58</v>
      </c>
    </row>
    <row r="44" spans="2:3" ht="29" x14ac:dyDescent="0.35">
      <c r="C44" s="19" t="s">
        <v>470</v>
      </c>
    </row>
    <row r="45" spans="2:3" ht="10" customHeight="1" x14ac:dyDescent="0.35"/>
    <row r="46" spans="2:3" ht="15.5" x14ac:dyDescent="0.35">
      <c r="C46" s="34" t="s">
        <v>15</v>
      </c>
    </row>
    <row r="47" spans="2:3" ht="29" x14ac:dyDescent="0.35">
      <c r="C47" s="19" t="s">
        <v>471</v>
      </c>
    </row>
    <row r="48" spans="2:3" ht="10" customHeight="1" x14ac:dyDescent="0.35"/>
    <row r="49" spans="2:3" ht="15.5" x14ac:dyDescent="0.35">
      <c r="C49" s="35" t="s">
        <v>74</v>
      </c>
    </row>
    <row r="50" spans="2:3" ht="29" x14ac:dyDescent="0.35">
      <c r="C50" s="19" t="s">
        <v>472</v>
      </c>
    </row>
    <row r="51" spans="2:3" ht="10" customHeight="1" x14ac:dyDescent="0.35"/>
    <row r="52" spans="2:3" ht="3" customHeight="1" x14ac:dyDescent="0.35">
      <c r="B52" s="21"/>
      <c r="C52" s="21"/>
    </row>
    <row r="53" spans="2:3" ht="12" customHeight="1" x14ac:dyDescent="0.35"/>
    <row r="54" spans="2:3" ht="130.5" x14ac:dyDescent="0.35">
      <c r="B54" s="18" t="s">
        <v>473</v>
      </c>
      <c r="C54" s="19" t="s">
        <v>474</v>
      </c>
    </row>
    <row r="55" spans="2:3" ht="6" customHeight="1" x14ac:dyDescent="0.35"/>
    <row r="56" spans="2:3" ht="217.5" x14ac:dyDescent="0.35">
      <c r="C56" s="19" t="s">
        <v>475</v>
      </c>
    </row>
    <row r="57" spans="2:3" ht="6" customHeight="1" x14ac:dyDescent="0.35"/>
    <row r="58" spans="2:3" ht="43.5" x14ac:dyDescent="0.35">
      <c r="C58" s="19" t="s">
        <v>476</v>
      </c>
    </row>
    <row r="59" spans="2:3" ht="10" customHeight="1" x14ac:dyDescent="0.35"/>
    <row r="60" spans="2:3" ht="3" customHeight="1" x14ac:dyDescent="0.35">
      <c r="B60" s="21"/>
      <c r="C60" s="21"/>
    </row>
    <row r="61" spans="2:3" ht="12" customHeight="1" x14ac:dyDescent="0.35"/>
    <row r="62" spans="2:3" ht="145" x14ac:dyDescent="0.35">
      <c r="B62" s="18" t="s">
        <v>477</v>
      </c>
      <c r="C62" s="19" t="s">
        <v>478</v>
      </c>
    </row>
    <row r="63" spans="2:3" ht="6" customHeight="1" x14ac:dyDescent="0.35"/>
    <row r="64" spans="2:3" ht="203" x14ac:dyDescent="0.35">
      <c r="C64" s="19" t="s">
        <v>479</v>
      </c>
    </row>
    <row r="65" spans="2:3" ht="6" customHeight="1" x14ac:dyDescent="0.35"/>
    <row r="66" spans="2:3" ht="43.5" x14ac:dyDescent="0.35">
      <c r="C66" s="19" t="s">
        <v>480</v>
      </c>
    </row>
    <row r="67" spans="2:3" ht="10" customHeight="1" x14ac:dyDescent="0.35"/>
    <row r="68" spans="2:3" ht="3" customHeight="1" x14ac:dyDescent="0.35">
      <c r="B68" s="21"/>
      <c r="C68" s="21"/>
    </row>
    <row r="69" spans="2:3" ht="12" customHeight="1" x14ac:dyDescent="0.35"/>
    <row r="70" spans="2:3" ht="101.5" x14ac:dyDescent="0.35">
      <c r="B70" s="18" t="s">
        <v>481</v>
      </c>
      <c r="C70" s="19" t="s">
        <v>482</v>
      </c>
    </row>
    <row r="71" spans="2:3" ht="6" customHeight="1" x14ac:dyDescent="0.35"/>
    <row r="72" spans="2:3" ht="145" x14ac:dyDescent="0.35">
      <c r="C72" s="19" t="s">
        <v>483</v>
      </c>
    </row>
    <row r="73" spans="2:3" ht="6" customHeight="1" x14ac:dyDescent="0.35"/>
    <row r="74" spans="2:3" ht="43.5" x14ac:dyDescent="0.35">
      <c r="C74" s="19" t="s">
        <v>484</v>
      </c>
    </row>
    <row r="75" spans="2:3" ht="10" customHeight="1" x14ac:dyDescent="0.35"/>
    <row r="76" spans="2:3" ht="3" customHeight="1" x14ac:dyDescent="0.35">
      <c r="B76" s="21"/>
      <c r="C76" s="21"/>
    </row>
    <row r="77" spans="2:3" ht="12" customHeight="1" x14ac:dyDescent="0.35"/>
    <row r="78" spans="2:3" ht="26" customHeight="1" x14ac:dyDescent="0.35">
      <c r="B78" s="36" t="s">
        <v>485</v>
      </c>
    </row>
    <row r="79" spans="2:3" ht="8" customHeight="1" x14ac:dyDescent="0.35"/>
    <row r="80" spans="2:3" ht="20" customHeight="1" x14ac:dyDescent="0.35">
      <c r="B80" s="27" t="s">
        <v>486</v>
      </c>
      <c r="C80" s="37" t="s">
        <v>487</v>
      </c>
    </row>
    <row r="81" spans="2:3" ht="116" x14ac:dyDescent="0.35">
      <c r="C81" s="19" t="s">
        <v>488</v>
      </c>
    </row>
    <row r="82" spans="2:3" ht="10" customHeight="1" x14ac:dyDescent="0.35"/>
    <row r="83" spans="2:3" ht="20" customHeight="1" x14ac:dyDescent="0.35">
      <c r="B83" s="27" t="s">
        <v>489</v>
      </c>
      <c r="C83" s="37" t="s">
        <v>490</v>
      </c>
    </row>
    <row r="84" spans="2:3" ht="116" x14ac:dyDescent="0.35">
      <c r="C84" s="19" t="s">
        <v>491</v>
      </c>
    </row>
    <row r="85" spans="2:3" ht="10" customHeight="1" x14ac:dyDescent="0.35"/>
    <row r="86" spans="2:3" ht="20" customHeight="1" x14ac:dyDescent="0.35">
      <c r="B86" s="27" t="s">
        <v>492</v>
      </c>
      <c r="C86" s="37" t="s">
        <v>493</v>
      </c>
    </row>
    <row r="87" spans="2:3" ht="130.5" x14ac:dyDescent="0.35">
      <c r="C87" s="19" t="s">
        <v>494</v>
      </c>
    </row>
    <row r="88" spans="2:3" ht="10" customHeight="1" x14ac:dyDescent="0.35"/>
    <row r="89" spans="2:3" ht="20" customHeight="1" x14ac:dyDescent="0.35">
      <c r="B89" s="27" t="s">
        <v>495</v>
      </c>
      <c r="C89" s="37" t="s">
        <v>496</v>
      </c>
    </row>
    <row r="90" spans="2:3" ht="130.5" x14ac:dyDescent="0.35">
      <c r="C90" s="19" t="s">
        <v>497</v>
      </c>
    </row>
    <row r="91" spans="2:3" ht="10" customHeight="1" x14ac:dyDescent="0.35"/>
    <row r="92" spans="2:3" ht="20" customHeight="1" x14ac:dyDescent="0.35">
      <c r="B92" s="27" t="s">
        <v>498</v>
      </c>
      <c r="C92" s="37" t="s">
        <v>499</v>
      </c>
    </row>
    <row r="93" spans="2:3" ht="116" x14ac:dyDescent="0.35">
      <c r="C93" s="19" t="s">
        <v>500</v>
      </c>
    </row>
    <row r="94" spans="2:3" ht="10" customHeight="1" x14ac:dyDescent="0.35"/>
    <row r="95" spans="2:3" ht="20" customHeight="1" x14ac:dyDescent="0.35">
      <c r="B95" s="27" t="s">
        <v>501</v>
      </c>
      <c r="C95" s="37" t="s">
        <v>502</v>
      </c>
    </row>
    <row r="96" spans="2:3" ht="116" x14ac:dyDescent="0.35">
      <c r="C96" s="19" t="s">
        <v>503</v>
      </c>
    </row>
    <row r="97" spans="2:3" ht="10" customHeight="1" x14ac:dyDescent="0.35"/>
    <row r="98" spans="2:3" ht="20" customHeight="1" x14ac:dyDescent="0.35">
      <c r="B98" s="27" t="s">
        <v>504</v>
      </c>
      <c r="C98" s="37" t="s">
        <v>505</v>
      </c>
    </row>
    <row r="99" spans="2:3" ht="203" x14ac:dyDescent="0.35">
      <c r="C99" s="19" t="s">
        <v>506</v>
      </c>
    </row>
    <row r="100" spans="2:3" ht="10" customHeight="1" x14ac:dyDescent="0.35"/>
    <row r="103" spans="2:3" ht="32" customHeight="1" x14ac:dyDescent="0.35">
      <c r="B103" s="265" t="s">
        <v>430</v>
      </c>
      <c r="C103" s="265"/>
    </row>
  </sheetData>
  <sheetProtection password="90EA" sheet="1"/>
  <mergeCells count="1">
    <mergeCell ref="B103:C103"/>
  </mergeCells>
  <hyperlinks>
    <hyperlink ref="C5" r:id="rId1" xr:uid="{00000000-0004-0000-0000-000000000000}"/>
    <hyperlink ref="C6" r:id="rId2" xr:uid="{00000000-0004-0000-0000-000001000000}"/>
    <hyperlink ref="C37" r:id="rId3" xr:uid="{00000000-0004-0000-0000-000002000000}"/>
    <hyperlink ref="B103"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3189</v>
      </c>
      <c r="B1" s="230" t="s">
        <v>0</v>
      </c>
      <c r="C1" s="230" t="s">
        <v>666</v>
      </c>
      <c r="D1" s="230" t="s">
        <v>667</v>
      </c>
      <c r="E1" s="230" t="s">
        <v>672</v>
      </c>
      <c r="F1" s="230" t="s">
        <v>673</v>
      </c>
      <c r="G1" s="230" t="s">
        <v>674</v>
      </c>
      <c r="H1" s="230" t="s">
        <v>675</v>
      </c>
      <c r="I1" s="230" t="s">
        <v>676</v>
      </c>
      <c r="J1" s="230" t="s">
        <v>677</v>
      </c>
      <c r="K1" s="230" t="s">
        <v>678</v>
      </c>
      <c r="L1" s="230" t="s">
        <v>679</v>
      </c>
      <c r="M1" s="230" t="s">
        <v>680</v>
      </c>
      <c r="N1" s="230" t="s">
        <v>681</v>
      </c>
      <c r="O1" s="230" t="s">
        <v>682</v>
      </c>
      <c r="P1" s="230" t="s">
        <v>683</v>
      </c>
      <c r="Q1" s="230" t="s">
        <v>684</v>
      </c>
      <c r="R1" s="230" t="s">
        <v>685</v>
      </c>
      <c r="S1" s="230" t="s">
        <v>686</v>
      </c>
      <c r="T1" s="230" t="s">
        <v>687</v>
      </c>
      <c r="U1" s="230" t="s">
        <v>688</v>
      </c>
      <c r="V1" s="230" t="s">
        <v>689</v>
      </c>
      <c r="W1" s="230" t="s">
        <v>690</v>
      </c>
      <c r="X1" s="230" t="s">
        <v>691</v>
      </c>
      <c r="Y1" s="230" t="s">
        <v>692</v>
      </c>
      <c r="Z1" s="230" t="s">
        <v>693</v>
      </c>
      <c r="AA1" s="230" t="s">
        <v>694</v>
      </c>
      <c r="AB1" s="230" t="s">
        <v>695</v>
      </c>
      <c r="AC1" s="230" t="s">
        <v>696</v>
      </c>
      <c r="AD1" s="230" t="s">
        <v>697</v>
      </c>
      <c r="AE1" s="230" t="s">
        <v>698</v>
      </c>
      <c r="AF1" s="230" t="s">
        <v>699</v>
      </c>
      <c r="AG1" s="230" t="s">
        <v>700</v>
      </c>
      <c r="AH1" s="230" t="s">
        <v>701</v>
      </c>
      <c r="AI1" s="230" t="s">
        <v>702</v>
      </c>
      <c r="AJ1" s="230" t="s">
        <v>703</v>
      </c>
      <c r="AK1" s="230" t="s">
        <v>704</v>
      </c>
      <c r="AL1" s="230" t="s">
        <v>705</v>
      </c>
      <c r="AM1" s="230" t="s">
        <v>706</v>
      </c>
      <c r="AN1" s="230" t="s">
        <v>707</v>
      </c>
      <c r="AO1" s="230" t="s">
        <v>708</v>
      </c>
      <c r="AP1" s="230" t="s">
        <v>709</v>
      </c>
      <c r="AQ1" s="230" t="s">
        <v>710</v>
      </c>
      <c r="AR1" s="230" t="s">
        <v>711</v>
      </c>
      <c r="AS1" s="231" t="s">
        <v>712</v>
      </c>
    </row>
    <row r="2" spans="1:45" ht="60" customHeight="1" outlineLevel="1" x14ac:dyDescent="0.35">
      <c r="A2" s="223" t="s">
        <v>3190</v>
      </c>
      <c r="B2" s="210" t="s">
        <v>3191</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3190</v>
      </c>
      <c r="B3" s="211" t="s">
        <v>3192</v>
      </c>
      <c r="C3" s="212" t="s">
        <v>3193</v>
      </c>
      <c r="D3" s="214" t="s">
        <v>3194</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3190</v>
      </c>
      <c r="B4" s="211" t="s">
        <v>3195</v>
      </c>
      <c r="C4" s="212" t="s">
        <v>3196</v>
      </c>
      <c r="D4" s="214" t="s">
        <v>3197</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3190</v>
      </c>
      <c r="B5" s="211" t="s">
        <v>3198</v>
      </c>
      <c r="C5" s="212" t="s">
        <v>3199</v>
      </c>
      <c r="D5" s="214" t="s">
        <v>3200</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3190</v>
      </c>
      <c r="B6" s="211" t="s">
        <v>3201</v>
      </c>
      <c r="C6" s="212" t="s">
        <v>3202</v>
      </c>
      <c r="D6" s="214" t="s">
        <v>3203</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3190</v>
      </c>
      <c r="B7" s="211" t="s">
        <v>3204</v>
      </c>
      <c r="C7" s="212" t="s">
        <v>3205</v>
      </c>
      <c r="D7" s="214" t="s">
        <v>3206</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3190</v>
      </c>
      <c r="B8" s="211" t="s">
        <v>3207</v>
      </c>
      <c r="C8" s="212" t="s">
        <v>3208</v>
      </c>
      <c r="D8" s="214" t="s">
        <v>3209</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3190</v>
      </c>
      <c r="B9" s="211" t="s">
        <v>3210</v>
      </c>
      <c r="C9" s="212" t="s">
        <v>3211</v>
      </c>
      <c r="D9" s="214" t="s">
        <v>3212</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3190</v>
      </c>
      <c r="B10" s="211" t="s">
        <v>3213</v>
      </c>
      <c r="C10" s="212" t="s">
        <v>3214</v>
      </c>
      <c r="D10" s="214" t="s">
        <v>3215</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3190</v>
      </c>
      <c r="B11" s="211" t="s">
        <v>3216</v>
      </c>
      <c r="C11" s="212" t="s">
        <v>3217</v>
      </c>
      <c r="D11" s="214" t="s">
        <v>3218</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3190</v>
      </c>
      <c r="B12" s="211" t="s">
        <v>3219</v>
      </c>
      <c r="C12" s="212" t="s">
        <v>3220</v>
      </c>
      <c r="D12" s="214" t="s">
        <v>3221</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3190</v>
      </c>
      <c r="B13" s="211" t="s">
        <v>3222</v>
      </c>
      <c r="C13" s="212" t="s">
        <v>3223</v>
      </c>
      <c r="D13" s="214" t="s">
        <v>3224</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3190</v>
      </c>
      <c r="B14" s="211" t="s">
        <v>3225</v>
      </c>
      <c r="C14" s="212" t="s">
        <v>3226</v>
      </c>
      <c r="D14" s="214" t="s">
        <v>3227</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3190</v>
      </c>
      <c r="B15" s="211" t="s">
        <v>3228</v>
      </c>
      <c r="C15" s="212" t="s">
        <v>3229</v>
      </c>
      <c r="D15" s="214" t="s">
        <v>3230</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3190</v>
      </c>
      <c r="B16" s="211" t="s">
        <v>3231</v>
      </c>
      <c r="C16" s="212" t="s">
        <v>3232</v>
      </c>
      <c r="D16" s="214" t="s">
        <v>3233</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3190</v>
      </c>
      <c r="B17" s="211" t="s">
        <v>3234</v>
      </c>
      <c r="C17" s="212" t="s">
        <v>3235</v>
      </c>
      <c r="D17" s="214" t="s">
        <v>3236</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3190</v>
      </c>
      <c r="B18" s="211" t="s">
        <v>3237</v>
      </c>
      <c r="C18" s="212" t="s">
        <v>3238</v>
      </c>
      <c r="D18" s="214" t="s">
        <v>3239</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3190</v>
      </c>
      <c r="B19" s="211" t="s">
        <v>3240</v>
      </c>
      <c r="C19" s="212" t="s">
        <v>3241</v>
      </c>
      <c r="D19" s="214" t="s">
        <v>3242</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3190</v>
      </c>
      <c r="B20" s="211" t="s">
        <v>3243</v>
      </c>
      <c r="C20" s="212" t="s">
        <v>3244</v>
      </c>
      <c r="D20" s="214" t="s">
        <v>3245</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3190</v>
      </c>
      <c r="B21" s="211" t="s">
        <v>3246</v>
      </c>
      <c r="C21" s="212" t="s">
        <v>3247</v>
      </c>
      <c r="D21" s="214" t="s">
        <v>3248</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3190</v>
      </c>
      <c r="B22" s="211" t="s">
        <v>3249</v>
      </c>
      <c r="C22" s="212" t="s">
        <v>3250</v>
      </c>
      <c r="D22" s="214" t="s">
        <v>3251</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3190</v>
      </c>
      <c r="B23" s="211" t="s">
        <v>3252</v>
      </c>
      <c r="C23" s="212" t="s">
        <v>3253</v>
      </c>
      <c r="D23" s="214" t="s">
        <v>3254</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3190</v>
      </c>
      <c r="B24" s="211" t="s">
        <v>3255</v>
      </c>
      <c r="C24" s="212" t="s">
        <v>3256</v>
      </c>
      <c r="D24" s="214" t="s">
        <v>3257</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3190</v>
      </c>
      <c r="B25" s="211" t="s">
        <v>3258</v>
      </c>
      <c r="C25" s="212" t="s">
        <v>3259</v>
      </c>
      <c r="D25" s="214" t="s">
        <v>3260</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3190</v>
      </c>
      <c r="B26" s="211" t="s">
        <v>3261</v>
      </c>
      <c r="C26" s="212" t="s">
        <v>3262</v>
      </c>
      <c r="D26" s="214" t="s">
        <v>3263</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3190</v>
      </c>
      <c r="B27" s="211" t="s">
        <v>3264</v>
      </c>
      <c r="C27" s="212" t="s">
        <v>3265</v>
      </c>
      <c r="D27" s="214" t="s">
        <v>3266</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3190</v>
      </c>
      <c r="B28" s="211" t="s">
        <v>3267</v>
      </c>
      <c r="C28" s="212" t="s">
        <v>3268</v>
      </c>
      <c r="D28" s="214" t="s">
        <v>3269</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3190</v>
      </c>
      <c r="B29" s="211" t="s">
        <v>3270</v>
      </c>
      <c r="C29" s="212" t="s">
        <v>3271</v>
      </c>
      <c r="D29" s="214" t="s">
        <v>3272</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3190</v>
      </c>
      <c r="B30" s="211" t="s">
        <v>3273</v>
      </c>
      <c r="C30" s="212" t="s">
        <v>3274</v>
      </c>
      <c r="D30" s="214" t="s">
        <v>3275</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3190</v>
      </c>
      <c r="B31" s="211" t="s">
        <v>3276</v>
      </c>
      <c r="C31" s="212" t="s">
        <v>3277</v>
      </c>
      <c r="D31" s="214" t="s">
        <v>3278</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3190</v>
      </c>
      <c r="B32" s="211" t="s">
        <v>3279</v>
      </c>
      <c r="C32" s="212" t="s">
        <v>3280</v>
      </c>
      <c r="D32" s="214" t="s">
        <v>3281</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3190</v>
      </c>
      <c r="B33" s="211" t="s">
        <v>3282</v>
      </c>
      <c r="C33" s="212" t="s">
        <v>3283</v>
      </c>
      <c r="D33" s="214" t="s">
        <v>3284</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3190</v>
      </c>
      <c r="B34" s="211" t="s">
        <v>3285</v>
      </c>
      <c r="C34" s="212" t="s">
        <v>3286</v>
      </c>
      <c r="D34" s="214" t="s">
        <v>3287</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3190</v>
      </c>
      <c r="B35" s="211" t="s">
        <v>3288</v>
      </c>
      <c r="C35" s="212" t="s">
        <v>3289</v>
      </c>
      <c r="D35" s="214" t="s">
        <v>3290</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3190</v>
      </c>
      <c r="B36" s="211" t="s">
        <v>3291</v>
      </c>
      <c r="C36" s="212" t="s">
        <v>3292</v>
      </c>
      <c r="D36" s="214" t="s">
        <v>3293</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3190</v>
      </c>
      <c r="B37" s="211" t="s">
        <v>3294</v>
      </c>
      <c r="C37" s="212" t="s">
        <v>3295</v>
      </c>
      <c r="D37" s="214" t="s">
        <v>3296</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3190</v>
      </c>
      <c r="B38" s="211" t="s">
        <v>3297</v>
      </c>
      <c r="C38" s="212" t="s">
        <v>3298</v>
      </c>
      <c r="D38" s="214" t="s">
        <v>3299</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3190</v>
      </c>
      <c r="B39" s="211" t="s">
        <v>3300</v>
      </c>
      <c r="C39" s="212" t="s">
        <v>3301</v>
      </c>
      <c r="D39" s="214" t="s">
        <v>3302</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3303</v>
      </c>
      <c r="B40" s="210" t="s">
        <v>3304</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3303</v>
      </c>
      <c r="B41" s="211" t="s">
        <v>3305</v>
      </c>
      <c r="C41" s="212" t="s">
        <v>3306</v>
      </c>
      <c r="D41" s="214" t="s">
        <v>3307</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3303</v>
      </c>
      <c r="B42" s="211" t="s">
        <v>3308</v>
      </c>
      <c r="C42" s="212" t="s">
        <v>3309</v>
      </c>
      <c r="D42" s="214" t="s">
        <v>3310</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3303</v>
      </c>
      <c r="B43" s="211" t="s">
        <v>3311</v>
      </c>
      <c r="C43" s="212" t="s">
        <v>3312</v>
      </c>
      <c r="D43" s="214" t="s">
        <v>3313</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3303</v>
      </c>
      <c r="B44" s="211" t="s">
        <v>3314</v>
      </c>
      <c r="C44" s="212" t="s">
        <v>3315</v>
      </c>
      <c r="D44" s="214" t="s">
        <v>3316</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3303</v>
      </c>
      <c r="B45" s="211" t="s">
        <v>3317</v>
      </c>
      <c r="C45" s="212" t="s">
        <v>3318</v>
      </c>
      <c r="D45" s="214" t="s">
        <v>3319</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3303</v>
      </c>
      <c r="B46" s="211" t="s">
        <v>3320</v>
      </c>
      <c r="C46" s="212" t="s">
        <v>3321</v>
      </c>
      <c r="D46" s="214" t="s">
        <v>3322</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3303</v>
      </c>
      <c r="B47" s="211" t="s">
        <v>3323</v>
      </c>
      <c r="C47" s="212" t="s">
        <v>3324</v>
      </c>
      <c r="D47" s="214" t="s">
        <v>3325</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3303</v>
      </c>
      <c r="B48" s="211" t="s">
        <v>3326</v>
      </c>
      <c r="C48" s="212" t="s">
        <v>3327</v>
      </c>
      <c r="D48" s="214" t="s">
        <v>3328</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3329</v>
      </c>
      <c r="B49" s="210" t="s">
        <v>3330</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3329</v>
      </c>
      <c r="B50" s="211" t="s">
        <v>3331</v>
      </c>
      <c r="C50" s="212" t="s">
        <v>3332</v>
      </c>
      <c r="D50" s="214" t="s">
        <v>3333</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3329</v>
      </c>
      <c r="B51" s="211" t="s">
        <v>3334</v>
      </c>
      <c r="C51" s="212" t="s">
        <v>3335</v>
      </c>
      <c r="D51" s="214" t="s">
        <v>3336</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3329</v>
      </c>
      <c r="B52" s="211" t="s">
        <v>3337</v>
      </c>
      <c r="C52" s="212" t="s">
        <v>3338</v>
      </c>
      <c r="D52" s="214" t="s">
        <v>3339</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3329</v>
      </c>
      <c r="B53" s="211" t="s">
        <v>3340</v>
      </c>
      <c r="C53" s="212" t="s">
        <v>3341</v>
      </c>
      <c r="D53" s="214" t="s">
        <v>3342</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3329</v>
      </c>
      <c r="B54" s="211" t="s">
        <v>3343</v>
      </c>
      <c r="C54" s="212" t="s">
        <v>3344</v>
      </c>
      <c r="D54" s="214" t="s">
        <v>3345</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3329</v>
      </c>
      <c r="B55" s="211" t="s">
        <v>3346</v>
      </c>
      <c r="C55" s="212" t="s">
        <v>3347</v>
      </c>
      <c r="D55" s="214" t="s">
        <v>3348</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3329</v>
      </c>
      <c r="B56" s="211" t="s">
        <v>3349</v>
      </c>
      <c r="C56" s="212" t="s">
        <v>3350</v>
      </c>
      <c r="D56" s="214" t="s">
        <v>3351</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3329</v>
      </c>
      <c r="B57" s="211" t="s">
        <v>3352</v>
      </c>
      <c r="C57" s="212" t="s">
        <v>3353</v>
      </c>
      <c r="D57" s="214" t="s">
        <v>3354</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3329</v>
      </c>
      <c r="B58" s="211" t="s">
        <v>3355</v>
      </c>
      <c r="C58" s="212" t="s">
        <v>3356</v>
      </c>
      <c r="D58" s="214" t="s">
        <v>3357</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3329</v>
      </c>
      <c r="B59" s="211" t="s">
        <v>3358</v>
      </c>
      <c r="C59" s="212" t="s">
        <v>3359</v>
      </c>
      <c r="D59" s="214" t="s">
        <v>3360</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3329</v>
      </c>
      <c r="B60" s="211" t="s">
        <v>3361</v>
      </c>
      <c r="C60" s="212" t="s">
        <v>3362</v>
      </c>
      <c r="D60" s="214" t="s">
        <v>3363</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3329</v>
      </c>
      <c r="B61" s="211" t="s">
        <v>3364</v>
      </c>
      <c r="C61" s="212" t="s">
        <v>3365</v>
      </c>
      <c r="D61" s="214" t="s">
        <v>3366</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3329</v>
      </c>
      <c r="B62" s="211" t="s">
        <v>3367</v>
      </c>
      <c r="C62" s="212" t="s">
        <v>3368</v>
      </c>
      <c r="D62" s="214" t="s">
        <v>3369</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3329</v>
      </c>
      <c r="B63" s="211" t="s">
        <v>3370</v>
      </c>
      <c r="C63" s="212" t="s">
        <v>3371</v>
      </c>
      <c r="D63" s="214" t="s">
        <v>3372</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3373</v>
      </c>
      <c r="B64" s="210" t="s">
        <v>3374</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3373</v>
      </c>
      <c r="B65" s="211" t="s">
        <v>3375</v>
      </c>
      <c r="C65" s="212" t="s">
        <v>3376</v>
      </c>
      <c r="D65" s="214" t="s">
        <v>3377</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3373</v>
      </c>
      <c r="B66" s="211" t="s">
        <v>3378</v>
      </c>
      <c r="C66" s="212" t="s">
        <v>3379</v>
      </c>
      <c r="D66" s="214" t="s">
        <v>3380</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3373</v>
      </c>
      <c r="B67" s="211" t="s">
        <v>3381</v>
      </c>
      <c r="C67" s="212" t="s">
        <v>3382</v>
      </c>
      <c r="D67" s="214" t="s">
        <v>3383</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3373</v>
      </c>
      <c r="B68" s="211" t="s">
        <v>3384</v>
      </c>
      <c r="C68" s="212" t="s">
        <v>3385</v>
      </c>
      <c r="D68" s="214" t="s">
        <v>3386</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3373</v>
      </c>
      <c r="B69" s="211" t="s">
        <v>3387</v>
      </c>
      <c r="C69" s="212" t="s">
        <v>3388</v>
      </c>
      <c r="D69" s="214" t="s">
        <v>3389</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3373</v>
      </c>
      <c r="B70" s="211" t="s">
        <v>3390</v>
      </c>
      <c r="C70" s="212" t="s">
        <v>3391</v>
      </c>
      <c r="D70" s="214" t="s">
        <v>3392</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3373</v>
      </c>
      <c r="B71" s="211" t="s">
        <v>3393</v>
      </c>
      <c r="C71" s="212" t="s">
        <v>3394</v>
      </c>
      <c r="D71" s="214" t="s">
        <v>3395</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3373</v>
      </c>
      <c r="B72" s="211" t="s">
        <v>3396</v>
      </c>
      <c r="C72" s="212" t="s">
        <v>3397</v>
      </c>
      <c r="D72" s="214" t="s">
        <v>3398</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3373</v>
      </c>
      <c r="B73" s="211" t="s">
        <v>3399</v>
      </c>
      <c r="C73" s="212" t="s">
        <v>3400</v>
      </c>
      <c r="D73" s="214" t="s">
        <v>3401</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3373</v>
      </c>
      <c r="B74" s="211" t="s">
        <v>3402</v>
      </c>
      <c r="C74" s="212" t="s">
        <v>3403</v>
      </c>
      <c r="D74" s="214" t="s">
        <v>3404</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3373</v>
      </c>
      <c r="B75" s="211" t="s">
        <v>3405</v>
      </c>
      <c r="C75" s="212" t="s">
        <v>3406</v>
      </c>
      <c r="D75" s="214" t="s">
        <v>3407</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3373</v>
      </c>
      <c r="B76" s="211" t="s">
        <v>3408</v>
      </c>
      <c r="C76" s="212" t="s">
        <v>3409</v>
      </c>
      <c r="D76" s="214" t="s">
        <v>3410</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3373</v>
      </c>
      <c r="B77" s="211" t="s">
        <v>3411</v>
      </c>
      <c r="C77" s="212" t="s">
        <v>3412</v>
      </c>
      <c r="D77" s="214" t="s">
        <v>3413</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3373</v>
      </c>
      <c r="B78" s="211" t="s">
        <v>3414</v>
      </c>
      <c r="C78" s="212" t="s">
        <v>3415</v>
      </c>
      <c r="D78" s="214" t="s">
        <v>3416</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3373</v>
      </c>
      <c r="B79" s="211" t="s">
        <v>3417</v>
      </c>
      <c r="C79" s="212" t="s">
        <v>3418</v>
      </c>
      <c r="D79" s="214" t="s">
        <v>3419</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3373</v>
      </c>
      <c r="B80" s="211" t="s">
        <v>3420</v>
      </c>
      <c r="C80" s="212" t="s">
        <v>3421</v>
      </c>
      <c r="D80" s="214" t="s">
        <v>3422</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3373</v>
      </c>
      <c r="B81" s="211" t="s">
        <v>3423</v>
      </c>
      <c r="C81" s="212" t="s">
        <v>3424</v>
      </c>
      <c r="D81" s="214" t="s">
        <v>3425</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3373</v>
      </c>
      <c r="B82" s="211" t="s">
        <v>3426</v>
      </c>
      <c r="C82" s="212" t="s">
        <v>3427</v>
      </c>
      <c r="D82" s="214" t="s">
        <v>3428</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3373</v>
      </c>
      <c r="B83" s="211" t="s">
        <v>3429</v>
      </c>
      <c r="C83" s="212" t="s">
        <v>3430</v>
      </c>
      <c r="D83" s="214" t="s">
        <v>3431</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3373</v>
      </c>
      <c r="B84" s="211" t="s">
        <v>3432</v>
      </c>
      <c r="C84" s="212" t="s">
        <v>3433</v>
      </c>
      <c r="D84" s="214" t="s">
        <v>3434</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3373</v>
      </c>
      <c r="B85" s="211" t="s">
        <v>3435</v>
      </c>
      <c r="C85" s="212" t="s">
        <v>3436</v>
      </c>
      <c r="D85" s="214" t="s">
        <v>3437</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3373</v>
      </c>
      <c r="B86" s="211" t="s">
        <v>3438</v>
      </c>
      <c r="C86" s="212" t="s">
        <v>3439</v>
      </c>
      <c r="D86" s="214" t="s">
        <v>3440</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3373</v>
      </c>
      <c r="B87" s="211" t="s">
        <v>3441</v>
      </c>
      <c r="C87" s="212" t="s">
        <v>3442</v>
      </c>
      <c r="D87" s="214" t="s">
        <v>3443</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3373</v>
      </c>
      <c r="B88" s="211" t="s">
        <v>3444</v>
      </c>
      <c r="C88" s="212" t="s">
        <v>3445</v>
      </c>
      <c r="D88" s="214" t="s">
        <v>3446</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3373</v>
      </c>
      <c r="B89" s="211" t="s">
        <v>3447</v>
      </c>
      <c r="C89" s="212" t="s">
        <v>3448</v>
      </c>
      <c r="D89" s="214" t="s">
        <v>3449</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3373</v>
      </c>
      <c r="B90" s="211" t="s">
        <v>3450</v>
      </c>
      <c r="C90" s="212" t="s">
        <v>3451</v>
      </c>
      <c r="D90" s="214" t="s">
        <v>3452</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3373</v>
      </c>
      <c r="B91" s="211" t="s">
        <v>3453</v>
      </c>
      <c r="C91" s="212" t="s">
        <v>3454</v>
      </c>
      <c r="D91" s="214" t="s">
        <v>3455</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3373</v>
      </c>
      <c r="B92" s="211" t="s">
        <v>3456</v>
      </c>
      <c r="C92" s="212" t="s">
        <v>3457</v>
      </c>
      <c r="D92" s="214" t="s">
        <v>3458</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3373</v>
      </c>
      <c r="B93" s="211" t="s">
        <v>3459</v>
      </c>
      <c r="C93" s="212" t="s">
        <v>3460</v>
      </c>
      <c r="D93" s="214" t="s">
        <v>3461</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3373</v>
      </c>
      <c r="B94" s="211" t="s">
        <v>3462</v>
      </c>
      <c r="C94" s="212" t="s">
        <v>3463</v>
      </c>
      <c r="D94" s="214" t="s">
        <v>3464</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3373</v>
      </c>
      <c r="B95" s="211" t="s">
        <v>3465</v>
      </c>
      <c r="C95" s="212" t="s">
        <v>3466</v>
      </c>
      <c r="D95" s="214" t="s">
        <v>3467</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3373</v>
      </c>
      <c r="B96" s="211" t="s">
        <v>3468</v>
      </c>
      <c r="C96" s="212" t="s">
        <v>3469</v>
      </c>
      <c r="D96" s="214" t="s">
        <v>3470</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3373</v>
      </c>
      <c r="B97" s="211" t="s">
        <v>3471</v>
      </c>
      <c r="C97" s="212" t="s">
        <v>3472</v>
      </c>
      <c r="D97" s="214" t="s">
        <v>3473</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3373</v>
      </c>
      <c r="B98" s="218" t="s">
        <v>3474</v>
      </c>
      <c r="C98" s="219" t="s">
        <v>3475</v>
      </c>
      <c r="D98" s="220" t="s">
        <v>3476</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65" t="s">
        <v>430</v>
      </c>
      <c r="B102" s="265"/>
      <c r="C102" s="265"/>
      <c r="D102" s="265"/>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IFERROR(INDEX('Recommendations'!$G$2:$G$84, MATCH(F2,'Recommendations'!$A$2:$A$84,0))="Implemented", FALSE))</xm:f>
            <x14:dxf>
              <font>
                <color rgb="FF000000"/>
              </font>
              <fill>
                <patternFill>
                  <bgColor rgb="FF3C7D22"/>
                </patternFill>
              </fill>
            </x14:dxf>
          </x14:cfRule>
          <x14:cfRule type="expression" priority="2" id="{00000000-000E-0000-0900-000002000000}">
            <xm:f>AND(F2&lt;&gt;"", IFERROR(INDEX('Recommendations'!$G$2:$G$84, MATCH(F2,'Recommendations'!$A$2:$A$84,0))="Compensated", FALSE))</xm:f>
            <x14:dxf>
              <font>
                <color rgb="FF000000"/>
              </font>
              <fill>
                <patternFill>
                  <bgColor rgb="FFC6E0B4"/>
                </patternFill>
              </fill>
            </x14:dxf>
          </x14:cfRule>
          <x14:cfRule type="expression" priority="3" id="{00000000-000E-0000-0900-000003000000}">
            <xm:f>AND(F2&lt;&gt;"", IFERROR(INDEX('Recommendations'!$G$2:$G$84, MATCH(F2,'Recommendations'!$A$2:$A$84,0))="Testing", FALSE))</xm:f>
            <x14:dxf>
              <font>
                <color rgb="FF000000"/>
              </font>
              <fill>
                <patternFill>
                  <bgColor rgb="FFFFC000"/>
                </patternFill>
              </fill>
            </x14:dxf>
          </x14:cfRule>
          <x14:cfRule type="expression" priority="4" id="{00000000-000E-0000-0900-000004000000}">
            <xm:f>AND(F2&lt;&gt;"", IFERROR(INDEX('Recommendations'!$G$2:$G$84, MATCH(F2,'Recommendations'!$A$2:$A$84,0))="Failed", FALSE))</xm:f>
            <x14:dxf>
              <font>
                <color rgb="FF000000"/>
              </font>
              <fill>
                <patternFill>
                  <bgColor rgb="FFD82891"/>
                </patternFill>
              </fill>
            </x14:dxf>
          </x14:cfRule>
          <x14:cfRule type="expression" priority="5" id="{00000000-000E-0000-0900-000005000000}">
            <xm:f>AND(F2&lt;&gt;"", IFERROR(INDEX('Recommendations'!$G$2:$G$84, MATCH(F2,'Recommendations'!$A$2:$A$84,0))="Risk Accepted", FALSE))</xm:f>
            <x14:dxf>
              <font>
                <color rgb="FF000000"/>
              </font>
              <fill>
                <patternFill>
                  <bgColor rgb="FFD9D9D9"/>
                </patternFill>
              </fill>
            </x14:dxf>
          </x14:cfRule>
          <x14:cfRule type="expression" priority="6" id="{00000000-000E-0000-0900-000006000000}">
            <xm:f>AND(F2&lt;&gt;"", IFERROR(INDEX('Recommendations'!$G$2:$G$84, MATCH(F2,'Recommendations'!$A$2:$A$84,0))="N/A",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62" t="s">
        <v>2304</v>
      </c>
      <c r="B1" s="263" t="s">
        <v>3189</v>
      </c>
      <c r="C1" s="263" t="s">
        <v>0</v>
      </c>
      <c r="D1" s="263" t="s">
        <v>667</v>
      </c>
      <c r="E1" s="263" t="s">
        <v>3477</v>
      </c>
      <c r="F1" s="263" t="s">
        <v>3478</v>
      </c>
      <c r="G1" s="263" t="s">
        <v>672</v>
      </c>
      <c r="H1" s="263" t="s">
        <v>673</v>
      </c>
      <c r="I1" s="263" t="s">
        <v>674</v>
      </c>
      <c r="J1" s="263" t="s">
        <v>675</v>
      </c>
      <c r="K1" s="263" t="s">
        <v>676</v>
      </c>
      <c r="L1" s="263" t="s">
        <v>677</v>
      </c>
      <c r="M1" s="263" t="s">
        <v>678</v>
      </c>
      <c r="N1" s="263" t="s">
        <v>679</v>
      </c>
      <c r="O1" s="263" t="s">
        <v>680</v>
      </c>
      <c r="P1" s="263" t="s">
        <v>681</v>
      </c>
      <c r="Q1" s="263" t="s">
        <v>682</v>
      </c>
      <c r="R1" s="263" t="s">
        <v>683</v>
      </c>
      <c r="S1" s="263" t="s">
        <v>684</v>
      </c>
      <c r="T1" s="263" t="s">
        <v>685</v>
      </c>
      <c r="U1" s="263" t="s">
        <v>686</v>
      </c>
      <c r="V1" s="263" t="s">
        <v>687</v>
      </c>
      <c r="W1" s="263" t="s">
        <v>688</v>
      </c>
      <c r="X1" s="263" t="s">
        <v>689</v>
      </c>
      <c r="Y1" s="263" t="s">
        <v>690</v>
      </c>
      <c r="Z1" s="263" t="s">
        <v>691</v>
      </c>
      <c r="AA1" s="263" t="s">
        <v>692</v>
      </c>
      <c r="AB1" s="263" t="s">
        <v>693</v>
      </c>
      <c r="AC1" s="263" t="s">
        <v>694</v>
      </c>
      <c r="AD1" s="263" t="s">
        <v>695</v>
      </c>
      <c r="AE1" s="263" t="s">
        <v>696</v>
      </c>
      <c r="AF1" s="263" t="s">
        <v>697</v>
      </c>
      <c r="AG1" s="263" t="s">
        <v>698</v>
      </c>
      <c r="AH1" s="263" t="s">
        <v>699</v>
      </c>
      <c r="AI1" s="263" t="s">
        <v>700</v>
      </c>
      <c r="AJ1" s="263" t="s">
        <v>701</v>
      </c>
      <c r="AK1" s="263" t="s">
        <v>702</v>
      </c>
      <c r="AL1" s="263" t="s">
        <v>703</v>
      </c>
      <c r="AM1" s="263" t="s">
        <v>704</v>
      </c>
      <c r="AN1" s="263" t="s">
        <v>705</v>
      </c>
      <c r="AO1" s="263" t="s">
        <v>706</v>
      </c>
      <c r="AP1" s="263" t="s">
        <v>707</v>
      </c>
      <c r="AQ1" s="263" t="s">
        <v>708</v>
      </c>
      <c r="AR1" s="263" t="s">
        <v>709</v>
      </c>
      <c r="AS1" s="263" t="s">
        <v>710</v>
      </c>
      <c r="AT1" s="263" t="s">
        <v>711</v>
      </c>
      <c r="AU1" s="264" t="s">
        <v>712</v>
      </c>
    </row>
    <row r="2" spans="1:47" ht="60" customHeight="1" outlineLevel="1" x14ac:dyDescent="0.35">
      <c r="A2" s="254" t="s">
        <v>3479</v>
      </c>
      <c r="B2" s="232"/>
      <c r="C2" s="232"/>
      <c r="D2" s="236"/>
      <c r="E2" s="232"/>
      <c r="F2" s="240"/>
      <c r="G2" s="243" t="str">
        <f>IF(COUNTIF(H2:AU2,"&lt;&gt;")=0,"",SUMPRODUCT(((Recommendations[ImplStatus]="Implemented")+(Recommendations[ImplStatus]="Compensated"))*ISNUMBER(MATCH(Recommendations[Id],H2:AU2,0)))/COUNTIF(H2:AU2,"&lt;&gt;"))</f>
        <v/>
      </c>
      <c r="H2" s="240"/>
      <c r="I2" s="240"/>
      <c r="J2" s="240"/>
      <c r="K2" s="240"/>
      <c r="L2" s="240"/>
      <c r="M2" s="240"/>
      <c r="N2" s="240"/>
      <c r="O2" s="240"/>
      <c r="P2" s="240"/>
      <c r="Q2" s="240"/>
      <c r="R2" s="240"/>
      <c r="S2" s="240"/>
      <c r="T2" s="240"/>
      <c r="U2" s="240"/>
      <c r="V2" s="240"/>
      <c r="W2" s="240"/>
      <c r="X2" s="240"/>
      <c r="Y2" s="240"/>
      <c r="Z2" s="240"/>
      <c r="AA2" s="240"/>
      <c r="AB2" s="240"/>
      <c r="AC2" s="240"/>
      <c r="AD2" s="240"/>
      <c r="AE2" s="240"/>
      <c r="AF2" s="240"/>
      <c r="AG2" s="240"/>
      <c r="AH2" s="240"/>
      <c r="AI2" s="240"/>
      <c r="AJ2" s="240"/>
      <c r="AK2" s="240"/>
      <c r="AL2" s="240"/>
      <c r="AM2" s="240"/>
      <c r="AN2" s="240"/>
      <c r="AO2" s="240"/>
      <c r="AP2" s="240"/>
      <c r="AQ2" s="240"/>
      <c r="AR2" s="240"/>
      <c r="AS2" s="240"/>
      <c r="AT2" s="240"/>
      <c r="AU2" s="258"/>
    </row>
    <row r="3" spans="1:47" ht="60" customHeight="1" outlineLevel="2" x14ac:dyDescent="0.35">
      <c r="A3" s="255" t="s">
        <v>3479</v>
      </c>
      <c r="B3" s="233" t="s">
        <v>3480</v>
      </c>
      <c r="C3" s="233"/>
      <c r="D3" s="237"/>
      <c r="E3" s="233"/>
      <c r="F3" s="241"/>
      <c r="G3" s="244" t="str">
        <f>IF(COUNTIF(H3:AU3,"&lt;&gt;")=0,"",SUMPRODUCT(((Recommendations[ImplStatus]="Implemented")+(Recommendations[ImplStatus]="Compensated"))*ISNUMBER(MATCH(Recommendations[Id],H3:AU3,0)))/COUNTIF(H3:AU3,"&lt;&gt;"))</f>
        <v/>
      </c>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59"/>
    </row>
    <row r="4" spans="1:47" ht="60" customHeight="1" x14ac:dyDescent="0.35">
      <c r="A4" s="256" t="s">
        <v>3479</v>
      </c>
      <c r="B4" s="234" t="s">
        <v>3480</v>
      </c>
      <c r="C4" s="235" t="s">
        <v>3481</v>
      </c>
      <c r="D4" s="238" t="s">
        <v>3482</v>
      </c>
      <c r="E4" s="239" t="s">
        <v>3483</v>
      </c>
      <c r="F4" s="242" t="s">
        <v>3484</v>
      </c>
      <c r="G4" s="245" t="str">
        <f>IF(COUNTIF(H4:AU4,"&lt;&gt;")=0,"",SUMPRODUCT(((Recommendations[ImplStatus]="Implemented")+(Recommendations[ImplStatus]="Compensated"))*ISNUMBER(MATCH(Recommendations[Id],H4:AU4,0)))/COUNTIF(H4:AU4,"&lt;&gt;"))</f>
        <v/>
      </c>
      <c r="H4" s="246"/>
      <c r="I4" s="246"/>
      <c r="J4" s="246"/>
      <c r="K4" s="246"/>
      <c r="L4" s="246"/>
      <c r="M4" s="246"/>
      <c r="N4" s="246"/>
      <c r="O4" s="246"/>
      <c r="P4" s="246"/>
      <c r="Q4" s="246"/>
      <c r="R4" s="246"/>
      <c r="S4" s="246"/>
      <c r="T4" s="246"/>
      <c r="U4" s="246"/>
      <c r="V4" s="246"/>
      <c r="W4" s="246"/>
      <c r="X4" s="246"/>
      <c r="Y4" s="246"/>
      <c r="Z4" s="246"/>
      <c r="AA4" s="246"/>
      <c r="AB4" s="246"/>
      <c r="AC4" s="246"/>
      <c r="AD4" s="246"/>
      <c r="AE4" s="246"/>
      <c r="AF4" s="246"/>
      <c r="AG4" s="246"/>
      <c r="AH4" s="246"/>
      <c r="AI4" s="246"/>
      <c r="AJ4" s="246"/>
      <c r="AK4" s="246"/>
      <c r="AL4" s="246"/>
      <c r="AM4" s="246"/>
      <c r="AN4" s="246"/>
      <c r="AO4" s="246"/>
      <c r="AP4" s="246"/>
      <c r="AQ4" s="246"/>
      <c r="AR4" s="246"/>
      <c r="AS4" s="246"/>
      <c r="AT4" s="246"/>
      <c r="AU4" s="260"/>
    </row>
    <row r="5" spans="1:47" ht="60" customHeight="1" x14ac:dyDescent="0.35">
      <c r="A5" s="256" t="s">
        <v>3479</v>
      </c>
      <c r="B5" s="234" t="s">
        <v>3480</v>
      </c>
      <c r="C5" s="235" t="s">
        <v>3485</v>
      </c>
      <c r="D5" s="238" t="s">
        <v>3486</v>
      </c>
      <c r="E5" s="239" t="s">
        <v>3483</v>
      </c>
      <c r="F5" s="242" t="s">
        <v>3484</v>
      </c>
      <c r="G5" s="245" t="str">
        <f>IF(COUNTIF(H5:AU5,"&lt;&gt;")=0,"",SUMPRODUCT(((Recommendations[ImplStatus]="Implemented")+(Recommendations[ImplStatus]="Compensated"))*ISNUMBER(MATCH(Recommendations[Id],H5:AU5,0)))/COUNTIF(H5:AU5,"&lt;&gt;"))</f>
        <v/>
      </c>
      <c r="H5" s="246"/>
      <c r="I5" s="246"/>
      <c r="J5" s="246"/>
      <c r="K5" s="246"/>
      <c r="L5" s="246"/>
      <c r="M5" s="246"/>
      <c r="N5" s="246"/>
      <c r="O5" s="246"/>
      <c r="P5" s="246"/>
      <c r="Q5" s="246"/>
      <c r="R5" s="246"/>
      <c r="S5" s="246"/>
      <c r="T5" s="246"/>
      <c r="U5" s="246"/>
      <c r="V5" s="246"/>
      <c r="W5" s="246"/>
      <c r="X5" s="246"/>
      <c r="Y5" s="246"/>
      <c r="Z5" s="246"/>
      <c r="AA5" s="246"/>
      <c r="AB5" s="246"/>
      <c r="AC5" s="246"/>
      <c r="AD5" s="246"/>
      <c r="AE5" s="246"/>
      <c r="AF5" s="246"/>
      <c r="AG5" s="246"/>
      <c r="AH5" s="246"/>
      <c r="AI5" s="246"/>
      <c r="AJ5" s="246"/>
      <c r="AK5" s="246"/>
      <c r="AL5" s="246"/>
      <c r="AM5" s="246"/>
      <c r="AN5" s="246"/>
      <c r="AO5" s="246"/>
      <c r="AP5" s="246"/>
      <c r="AQ5" s="246"/>
      <c r="AR5" s="246"/>
      <c r="AS5" s="246"/>
      <c r="AT5" s="246"/>
      <c r="AU5" s="260"/>
    </row>
    <row r="6" spans="1:47" ht="60" customHeight="1" x14ac:dyDescent="0.35">
      <c r="A6" s="256" t="s">
        <v>3479</v>
      </c>
      <c r="B6" s="234" t="s">
        <v>3480</v>
      </c>
      <c r="C6" s="235" t="s">
        <v>3487</v>
      </c>
      <c r="D6" s="238" t="s">
        <v>3488</v>
      </c>
      <c r="E6" s="239" t="s">
        <v>3483</v>
      </c>
      <c r="F6" s="242" t="s">
        <v>3484</v>
      </c>
      <c r="G6" s="245" t="str">
        <f>IF(COUNTIF(H6:AU6,"&lt;&gt;")=0,"",SUMPRODUCT(((Recommendations[ImplStatus]="Implemented")+(Recommendations[ImplStatus]="Compensated"))*ISNUMBER(MATCH(Recommendations[Id],H6:AU6,0)))/COUNTIF(H6:AU6,"&lt;&gt;"))</f>
        <v/>
      </c>
      <c r="H6" s="246"/>
      <c r="I6" s="246"/>
      <c r="J6" s="246"/>
      <c r="K6" s="246"/>
      <c r="L6" s="246"/>
      <c r="M6" s="246"/>
      <c r="N6" s="246"/>
      <c r="O6" s="246"/>
      <c r="P6" s="246"/>
      <c r="Q6" s="246"/>
      <c r="R6" s="246"/>
      <c r="S6" s="246"/>
      <c r="T6" s="246"/>
      <c r="U6" s="246"/>
      <c r="V6" s="246"/>
      <c r="W6" s="246"/>
      <c r="X6" s="246"/>
      <c r="Y6" s="246"/>
      <c r="Z6" s="246"/>
      <c r="AA6" s="246"/>
      <c r="AB6" s="246"/>
      <c r="AC6" s="246"/>
      <c r="AD6" s="246"/>
      <c r="AE6" s="246"/>
      <c r="AF6" s="246"/>
      <c r="AG6" s="246"/>
      <c r="AH6" s="246"/>
      <c r="AI6" s="246"/>
      <c r="AJ6" s="246"/>
      <c r="AK6" s="246"/>
      <c r="AL6" s="246"/>
      <c r="AM6" s="246"/>
      <c r="AN6" s="246"/>
      <c r="AO6" s="246"/>
      <c r="AP6" s="246"/>
      <c r="AQ6" s="246"/>
      <c r="AR6" s="246"/>
      <c r="AS6" s="246"/>
      <c r="AT6" s="246"/>
      <c r="AU6" s="260"/>
    </row>
    <row r="7" spans="1:47" ht="60" customHeight="1" x14ac:dyDescent="0.35">
      <c r="A7" s="256" t="s">
        <v>3479</v>
      </c>
      <c r="B7" s="234" t="s">
        <v>3480</v>
      </c>
      <c r="C7" s="235" t="s">
        <v>3489</v>
      </c>
      <c r="D7" s="238" t="s">
        <v>3490</v>
      </c>
      <c r="E7" s="239" t="s">
        <v>3483</v>
      </c>
      <c r="F7" s="242" t="s">
        <v>3484</v>
      </c>
      <c r="G7" s="245" t="str">
        <f>IF(COUNTIF(H7:AU7,"&lt;&gt;")=0,"",SUMPRODUCT(((Recommendations[ImplStatus]="Implemented")+(Recommendations[ImplStatus]="Compensated"))*ISNUMBER(MATCH(Recommendations[Id],H7:AU7,0)))/COUNTIF(H7:AU7,"&lt;&gt;"))</f>
        <v/>
      </c>
      <c r="H7" s="246"/>
      <c r="I7" s="246"/>
      <c r="J7" s="246"/>
      <c r="K7" s="246"/>
      <c r="L7" s="246"/>
      <c r="M7" s="246"/>
      <c r="N7" s="246"/>
      <c r="O7" s="246"/>
      <c r="P7" s="246"/>
      <c r="Q7" s="246"/>
      <c r="R7" s="246"/>
      <c r="S7" s="246"/>
      <c r="T7" s="246"/>
      <c r="U7" s="246"/>
      <c r="V7" s="246"/>
      <c r="W7" s="246"/>
      <c r="X7" s="246"/>
      <c r="Y7" s="246"/>
      <c r="Z7" s="246"/>
      <c r="AA7" s="246"/>
      <c r="AB7" s="246"/>
      <c r="AC7" s="246"/>
      <c r="AD7" s="246"/>
      <c r="AE7" s="246"/>
      <c r="AF7" s="246"/>
      <c r="AG7" s="246"/>
      <c r="AH7" s="246"/>
      <c r="AI7" s="246"/>
      <c r="AJ7" s="246"/>
      <c r="AK7" s="246"/>
      <c r="AL7" s="246"/>
      <c r="AM7" s="246"/>
      <c r="AN7" s="246"/>
      <c r="AO7" s="246"/>
      <c r="AP7" s="246"/>
      <c r="AQ7" s="246"/>
      <c r="AR7" s="246"/>
      <c r="AS7" s="246"/>
      <c r="AT7" s="246"/>
      <c r="AU7" s="260"/>
    </row>
    <row r="8" spans="1:47" ht="60" customHeight="1" x14ac:dyDescent="0.35">
      <c r="A8" s="256" t="s">
        <v>3479</v>
      </c>
      <c r="B8" s="234" t="s">
        <v>3480</v>
      </c>
      <c r="C8" s="235" t="s">
        <v>3491</v>
      </c>
      <c r="D8" s="238" t="s">
        <v>3492</v>
      </c>
      <c r="E8" s="239" t="s">
        <v>3483</v>
      </c>
      <c r="F8" s="242" t="s">
        <v>3484</v>
      </c>
      <c r="G8" s="245" t="str">
        <f>IF(COUNTIF(H8:AU8,"&lt;&gt;")=0,"",SUMPRODUCT(((Recommendations[ImplStatus]="Implemented")+(Recommendations[ImplStatus]="Compensated"))*ISNUMBER(MATCH(Recommendations[Id],H8:AU8,0)))/COUNTIF(H8:AU8,"&lt;&gt;"))</f>
        <v/>
      </c>
      <c r="H8" s="246"/>
      <c r="I8" s="246"/>
      <c r="J8" s="246"/>
      <c r="K8" s="246"/>
      <c r="L8" s="246"/>
      <c r="M8" s="246"/>
      <c r="N8" s="246"/>
      <c r="O8" s="246"/>
      <c r="P8" s="246"/>
      <c r="Q8" s="246"/>
      <c r="R8" s="246"/>
      <c r="S8" s="246"/>
      <c r="T8" s="246"/>
      <c r="U8" s="246"/>
      <c r="V8" s="246"/>
      <c r="W8" s="246"/>
      <c r="X8" s="246"/>
      <c r="Y8" s="246"/>
      <c r="Z8" s="246"/>
      <c r="AA8" s="246"/>
      <c r="AB8" s="246"/>
      <c r="AC8" s="246"/>
      <c r="AD8" s="246"/>
      <c r="AE8" s="246"/>
      <c r="AF8" s="246"/>
      <c r="AG8" s="246"/>
      <c r="AH8" s="246"/>
      <c r="AI8" s="246"/>
      <c r="AJ8" s="246"/>
      <c r="AK8" s="246"/>
      <c r="AL8" s="246"/>
      <c r="AM8" s="246"/>
      <c r="AN8" s="246"/>
      <c r="AO8" s="246"/>
      <c r="AP8" s="246"/>
      <c r="AQ8" s="246"/>
      <c r="AR8" s="246"/>
      <c r="AS8" s="246"/>
      <c r="AT8" s="246"/>
      <c r="AU8" s="260"/>
    </row>
    <row r="9" spans="1:47" ht="60" customHeight="1" x14ac:dyDescent="0.35">
      <c r="A9" s="256" t="s">
        <v>3479</v>
      </c>
      <c r="B9" s="234" t="s">
        <v>3480</v>
      </c>
      <c r="C9" s="235" t="s">
        <v>3493</v>
      </c>
      <c r="D9" s="238" t="s">
        <v>3494</v>
      </c>
      <c r="E9" s="239" t="s">
        <v>3483</v>
      </c>
      <c r="F9" s="242" t="s">
        <v>3484</v>
      </c>
      <c r="G9" s="245" t="str">
        <f>IF(COUNTIF(H9:AU9,"&lt;&gt;")=0,"",SUMPRODUCT(((Recommendations[ImplStatus]="Implemented")+(Recommendations[ImplStatus]="Compensated"))*ISNUMBER(MATCH(Recommendations[Id],H9:AU9,0)))/COUNTIF(H9:AU9,"&lt;&gt;"))</f>
        <v/>
      </c>
      <c r="H9" s="246"/>
      <c r="I9" s="246"/>
      <c r="J9" s="246"/>
      <c r="K9" s="246"/>
      <c r="L9" s="246"/>
      <c r="M9" s="246"/>
      <c r="N9" s="246"/>
      <c r="O9" s="246"/>
      <c r="P9" s="246"/>
      <c r="Q9" s="246"/>
      <c r="R9" s="246"/>
      <c r="S9" s="246"/>
      <c r="T9" s="246"/>
      <c r="U9" s="246"/>
      <c r="V9" s="246"/>
      <c r="W9" s="246"/>
      <c r="X9" s="246"/>
      <c r="Y9" s="246"/>
      <c r="Z9" s="246"/>
      <c r="AA9" s="246"/>
      <c r="AB9" s="246"/>
      <c r="AC9" s="246"/>
      <c r="AD9" s="246"/>
      <c r="AE9" s="246"/>
      <c r="AF9" s="246"/>
      <c r="AG9" s="246"/>
      <c r="AH9" s="246"/>
      <c r="AI9" s="246"/>
      <c r="AJ9" s="246"/>
      <c r="AK9" s="246"/>
      <c r="AL9" s="246"/>
      <c r="AM9" s="246"/>
      <c r="AN9" s="246"/>
      <c r="AO9" s="246"/>
      <c r="AP9" s="246"/>
      <c r="AQ9" s="246"/>
      <c r="AR9" s="246"/>
      <c r="AS9" s="246"/>
      <c r="AT9" s="246"/>
      <c r="AU9" s="260"/>
    </row>
    <row r="10" spans="1:47" ht="60" customHeight="1" x14ac:dyDescent="0.35">
      <c r="A10" s="256" t="s">
        <v>3479</v>
      </c>
      <c r="B10" s="234" t="s">
        <v>3480</v>
      </c>
      <c r="C10" s="235" t="s">
        <v>3495</v>
      </c>
      <c r="D10" s="238" t="s">
        <v>3496</v>
      </c>
      <c r="E10" s="239" t="s">
        <v>3483</v>
      </c>
      <c r="F10" s="242" t="s">
        <v>3484</v>
      </c>
      <c r="G10" s="245" t="str">
        <f>IF(COUNTIF(H10:AU10,"&lt;&gt;")=0,"",SUMPRODUCT(((Recommendations[ImplStatus]="Implemented")+(Recommendations[ImplStatus]="Compensated"))*ISNUMBER(MATCH(Recommendations[Id],H10:AU10,0)))/COUNTIF(H10:AU10,"&lt;&gt;"))</f>
        <v/>
      </c>
      <c r="H10" s="246"/>
      <c r="I10" s="246"/>
      <c r="J10" s="246"/>
      <c r="K10" s="246"/>
      <c r="L10" s="246"/>
      <c r="M10" s="246"/>
      <c r="N10" s="246"/>
      <c r="O10" s="246"/>
      <c r="P10" s="246"/>
      <c r="Q10" s="246"/>
      <c r="R10" s="246"/>
      <c r="S10" s="246"/>
      <c r="T10" s="246"/>
      <c r="U10" s="246"/>
      <c r="V10" s="246"/>
      <c r="W10" s="246"/>
      <c r="X10" s="246"/>
      <c r="Y10" s="246"/>
      <c r="Z10" s="246"/>
      <c r="AA10" s="246"/>
      <c r="AB10" s="246"/>
      <c r="AC10" s="246"/>
      <c r="AD10" s="246"/>
      <c r="AE10" s="246"/>
      <c r="AF10" s="246"/>
      <c r="AG10" s="246"/>
      <c r="AH10" s="246"/>
      <c r="AI10" s="246"/>
      <c r="AJ10" s="246"/>
      <c r="AK10" s="246"/>
      <c r="AL10" s="246"/>
      <c r="AM10" s="246"/>
      <c r="AN10" s="246"/>
      <c r="AO10" s="246"/>
      <c r="AP10" s="246"/>
      <c r="AQ10" s="246"/>
      <c r="AR10" s="246"/>
      <c r="AS10" s="246"/>
      <c r="AT10" s="246"/>
      <c r="AU10" s="260"/>
    </row>
    <row r="11" spans="1:47" ht="60" customHeight="1" x14ac:dyDescent="0.35">
      <c r="A11" s="256" t="s">
        <v>3479</v>
      </c>
      <c r="B11" s="234" t="s">
        <v>3480</v>
      </c>
      <c r="C11" s="235" t="s">
        <v>3497</v>
      </c>
      <c r="D11" s="238" t="s">
        <v>3498</v>
      </c>
      <c r="E11" s="239" t="s">
        <v>3483</v>
      </c>
      <c r="F11" s="242" t="s">
        <v>3484</v>
      </c>
      <c r="G11" s="245" t="str">
        <f>IF(COUNTIF(H11:AU11,"&lt;&gt;")=0,"",SUMPRODUCT(((Recommendations[ImplStatus]="Implemented")+(Recommendations[ImplStatus]="Compensated"))*ISNUMBER(MATCH(Recommendations[Id],H11:AU11,0)))/COUNTIF(H11:AU11,"&lt;&gt;"))</f>
        <v/>
      </c>
      <c r="H11" s="246"/>
      <c r="I11" s="246"/>
      <c r="J11" s="246"/>
      <c r="K11" s="246"/>
      <c r="L11" s="246"/>
      <c r="M11" s="246"/>
      <c r="N11" s="246"/>
      <c r="O11" s="246"/>
      <c r="P11" s="246"/>
      <c r="Q11" s="246"/>
      <c r="R11" s="246"/>
      <c r="S11" s="246"/>
      <c r="T11" s="246"/>
      <c r="U11" s="246"/>
      <c r="V11" s="246"/>
      <c r="W11" s="246"/>
      <c r="X11" s="246"/>
      <c r="Y11" s="246"/>
      <c r="Z11" s="246"/>
      <c r="AA11" s="246"/>
      <c r="AB11" s="246"/>
      <c r="AC11" s="246"/>
      <c r="AD11" s="246"/>
      <c r="AE11" s="246"/>
      <c r="AF11" s="246"/>
      <c r="AG11" s="246"/>
      <c r="AH11" s="246"/>
      <c r="AI11" s="246"/>
      <c r="AJ11" s="246"/>
      <c r="AK11" s="246"/>
      <c r="AL11" s="246"/>
      <c r="AM11" s="246"/>
      <c r="AN11" s="246"/>
      <c r="AO11" s="246"/>
      <c r="AP11" s="246"/>
      <c r="AQ11" s="246"/>
      <c r="AR11" s="246"/>
      <c r="AS11" s="246"/>
      <c r="AT11" s="246"/>
      <c r="AU11" s="260"/>
    </row>
    <row r="12" spans="1:47" ht="60" customHeight="1" x14ac:dyDescent="0.35">
      <c r="A12" s="256" t="s">
        <v>3479</v>
      </c>
      <c r="B12" s="234" t="s">
        <v>3480</v>
      </c>
      <c r="C12" s="235" t="s">
        <v>3499</v>
      </c>
      <c r="D12" s="238" t="s">
        <v>3500</v>
      </c>
      <c r="E12" s="239" t="s">
        <v>3483</v>
      </c>
      <c r="F12" s="242" t="s">
        <v>3484</v>
      </c>
      <c r="G12" s="245" t="str">
        <f>IF(COUNTIF(H12:AU12,"&lt;&gt;")=0,"",SUMPRODUCT(((Recommendations[ImplStatus]="Implemented")+(Recommendations[ImplStatus]="Compensated"))*ISNUMBER(MATCH(Recommendations[Id],H12:AU12,0)))/COUNTIF(H12:AU12,"&lt;&gt;"))</f>
        <v/>
      </c>
      <c r="H12" s="246"/>
      <c r="I12" s="246"/>
      <c r="J12" s="246"/>
      <c r="K12" s="246"/>
      <c r="L12" s="246"/>
      <c r="M12" s="246"/>
      <c r="N12" s="246"/>
      <c r="O12" s="246"/>
      <c r="P12" s="246"/>
      <c r="Q12" s="246"/>
      <c r="R12" s="246"/>
      <c r="S12" s="246"/>
      <c r="T12" s="246"/>
      <c r="U12" s="246"/>
      <c r="V12" s="246"/>
      <c r="W12" s="246"/>
      <c r="X12" s="246"/>
      <c r="Y12" s="246"/>
      <c r="Z12" s="246"/>
      <c r="AA12" s="246"/>
      <c r="AB12" s="246"/>
      <c r="AC12" s="246"/>
      <c r="AD12" s="246"/>
      <c r="AE12" s="246"/>
      <c r="AF12" s="246"/>
      <c r="AG12" s="246"/>
      <c r="AH12" s="246"/>
      <c r="AI12" s="246"/>
      <c r="AJ12" s="246"/>
      <c r="AK12" s="246"/>
      <c r="AL12" s="246"/>
      <c r="AM12" s="246"/>
      <c r="AN12" s="246"/>
      <c r="AO12" s="246"/>
      <c r="AP12" s="246"/>
      <c r="AQ12" s="246"/>
      <c r="AR12" s="246"/>
      <c r="AS12" s="246"/>
      <c r="AT12" s="246"/>
      <c r="AU12" s="260"/>
    </row>
    <row r="13" spans="1:47" ht="60" customHeight="1" x14ac:dyDescent="0.35">
      <c r="A13" s="256" t="s">
        <v>3479</v>
      </c>
      <c r="B13" s="234" t="s">
        <v>3480</v>
      </c>
      <c r="C13" s="235" t="s">
        <v>3501</v>
      </c>
      <c r="D13" s="238" t="s">
        <v>3502</v>
      </c>
      <c r="E13" s="239" t="s">
        <v>3483</v>
      </c>
      <c r="F13" s="242" t="s">
        <v>3484</v>
      </c>
      <c r="G13" s="245" t="str">
        <f>IF(COUNTIF(H13:AU13,"&lt;&gt;")=0,"",SUMPRODUCT(((Recommendations[ImplStatus]="Implemented")+(Recommendations[ImplStatus]="Compensated"))*ISNUMBER(MATCH(Recommendations[Id],H13:AU13,0)))/COUNTIF(H13:AU13,"&lt;&gt;"))</f>
        <v/>
      </c>
      <c r="H13" s="246"/>
      <c r="I13" s="246"/>
      <c r="J13" s="246"/>
      <c r="K13" s="246"/>
      <c r="L13" s="246"/>
      <c r="M13" s="246"/>
      <c r="N13" s="246"/>
      <c r="O13" s="246"/>
      <c r="P13" s="246"/>
      <c r="Q13" s="246"/>
      <c r="R13" s="246"/>
      <c r="S13" s="246"/>
      <c r="T13" s="246"/>
      <c r="U13" s="246"/>
      <c r="V13" s="246"/>
      <c r="W13" s="246"/>
      <c r="X13" s="246"/>
      <c r="Y13" s="246"/>
      <c r="Z13" s="246"/>
      <c r="AA13" s="246"/>
      <c r="AB13" s="246"/>
      <c r="AC13" s="246"/>
      <c r="AD13" s="246"/>
      <c r="AE13" s="246"/>
      <c r="AF13" s="246"/>
      <c r="AG13" s="246"/>
      <c r="AH13" s="246"/>
      <c r="AI13" s="246"/>
      <c r="AJ13" s="246"/>
      <c r="AK13" s="246"/>
      <c r="AL13" s="246"/>
      <c r="AM13" s="246"/>
      <c r="AN13" s="246"/>
      <c r="AO13" s="246"/>
      <c r="AP13" s="246"/>
      <c r="AQ13" s="246"/>
      <c r="AR13" s="246"/>
      <c r="AS13" s="246"/>
      <c r="AT13" s="246"/>
      <c r="AU13" s="260"/>
    </row>
    <row r="14" spans="1:47" ht="60" customHeight="1" x14ac:dyDescent="0.35">
      <c r="A14" s="256" t="s">
        <v>3479</v>
      </c>
      <c r="B14" s="234" t="s">
        <v>3480</v>
      </c>
      <c r="C14" s="235" t="s">
        <v>3503</v>
      </c>
      <c r="D14" s="238" t="s">
        <v>3504</v>
      </c>
      <c r="E14" s="239" t="s">
        <v>3483</v>
      </c>
      <c r="F14" s="242" t="s">
        <v>3484</v>
      </c>
      <c r="G14" s="245" t="str">
        <f>IF(COUNTIF(H14:AU14,"&lt;&gt;")=0,"",SUMPRODUCT(((Recommendations[ImplStatus]="Implemented")+(Recommendations[ImplStatus]="Compensated"))*ISNUMBER(MATCH(Recommendations[Id],H14:AU14,0)))/COUNTIF(H14:AU14,"&lt;&gt;"))</f>
        <v/>
      </c>
      <c r="H14" s="246"/>
      <c r="I14" s="246"/>
      <c r="J14" s="246"/>
      <c r="K14" s="246"/>
      <c r="L14" s="246"/>
      <c r="M14" s="246"/>
      <c r="N14" s="246"/>
      <c r="O14" s="246"/>
      <c r="P14" s="246"/>
      <c r="Q14" s="246"/>
      <c r="R14" s="246"/>
      <c r="S14" s="246"/>
      <c r="T14" s="246"/>
      <c r="U14" s="246"/>
      <c r="V14" s="246"/>
      <c r="W14" s="246"/>
      <c r="X14" s="246"/>
      <c r="Y14" s="246"/>
      <c r="Z14" s="246"/>
      <c r="AA14" s="246"/>
      <c r="AB14" s="246"/>
      <c r="AC14" s="246"/>
      <c r="AD14" s="246"/>
      <c r="AE14" s="246"/>
      <c r="AF14" s="246"/>
      <c r="AG14" s="246"/>
      <c r="AH14" s="246"/>
      <c r="AI14" s="246"/>
      <c r="AJ14" s="246"/>
      <c r="AK14" s="246"/>
      <c r="AL14" s="246"/>
      <c r="AM14" s="246"/>
      <c r="AN14" s="246"/>
      <c r="AO14" s="246"/>
      <c r="AP14" s="246"/>
      <c r="AQ14" s="246"/>
      <c r="AR14" s="246"/>
      <c r="AS14" s="246"/>
      <c r="AT14" s="246"/>
      <c r="AU14" s="260"/>
    </row>
    <row r="15" spans="1:47" ht="60" customHeight="1" x14ac:dyDescent="0.35">
      <c r="A15" s="256" t="s">
        <v>3479</v>
      </c>
      <c r="B15" s="234" t="s">
        <v>3480</v>
      </c>
      <c r="C15" s="235" t="s">
        <v>3505</v>
      </c>
      <c r="D15" s="238" t="s">
        <v>3506</v>
      </c>
      <c r="E15" s="239" t="s">
        <v>3483</v>
      </c>
      <c r="F15" s="242" t="s">
        <v>3484</v>
      </c>
      <c r="G15" s="245" t="str">
        <f>IF(COUNTIF(H15:AU15,"&lt;&gt;")=0,"",SUMPRODUCT(((Recommendations[ImplStatus]="Implemented")+(Recommendations[ImplStatus]="Compensated"))*ISNUMBER(MATCH(Recommendations[Id],H15:AU15,0)))/COUNTIF(H15:AU15,"&lt;&gt;"))</f>
        <v/>
      </c>
      <c r="H15" s="246"/>
      <c r="I15" s="246"/>
      <c r="J15" s="246"/>
      <c r="K15" s="246"/>
      <c r="L15" s="246"/>
      <c r="M15" s="246"/>
      <c r="N15" s="246"/>
      <c r="O15" s="246"/>
      <c r="P15" s="246"/>
      <c r="Q15" s="246"/>
      <c r="R15" s="246"/>
      <c r="S15" s="246"/>
      <c r="T15" s="246"/>
      <c r="U15" s="246"/>
      <c r="V15" s="246"/>
      <c r="W15" s="246"/>
      <c r="X15" s="246"/>
      <c r="Y15" s="246"/>
      <c r="Z15" s="246"/>
      <c r="AA15" s="246"/>
      <c r="AB15" s="246"/>
      <c r="AC15" s="246"/>
      <c r="AD15" s="246"/>
      <c r="AE15" s="246"/>
      <c r="AF15" s="246"/>
      <c r="AG15" s="246"/>
      <c r="AH15" s="246"/>
      <c r="AI15" s="246"/>
      <c r="AJ15" s="246"/>
      <c r="AK15" s="246"/>
      <c r="AL15" s="246"/>
      <c r="AM15" s="246"/>
      <c r="AN15" s="246"/>
      <c r="AO15" s="246"/>
      <c r="AP15" s="246"/>
      <c r="AQ15" s="246"/>
      <c r="AR15" s="246"/>
      <c r="AS15" s="246"/>
      <c r="AT15" s="246"/>
      <c r="AU15" s="260"/>
    </row>
    <row r="16" spans="1:47" ht="60" customHeight="1" x14ac:dyDescent="0.35">
      <c r="A16" s="256" t="s">
        <v>3479</v>
      </c>
      <c r="B16" s="234" t="s">
        <v>3480</v>
      </c>
      <c r="C16" s="235" t="s">
        <v>3507</v>
      </c>
      <c r="D16" s="238" t="s">
        <v>3508</v>
      </c>
      <c r="E16" s="239" t="s">
        <v>3483</v>
      </c>
      <c r="F16" s="242" t="s">
        <v>3484</v>
      </c>
      <c r="G16" s="245" t="str">
        <f>IF(COUNTIF(H16:AU16,"&lt;&gt;")=0,"",SUMPRODUCT(((Recommendations[ImplStatus]="Implemented")+(Recommendations[ImplStatus]="Compensated"))*ISNUMBER(MATCH(Recommendations[Id],H16:AU16,0)))/COUNTIF(H16:AU16,"&lt;&gt;"))</f>
        <v/>
      </c>
      <c r="H16" s="246"/>
      <c r="I16" s="246"/>
      <c r="J16" s="246"/>
      <c r="K16" s="246"/>
      <c r="L16" s="246"/>
      <c r="M16" s="246"/>
      <c r="N16" s="246"/>
      <c r="O16" s="246"/>
      <c r="P16" s="246"/>
      <c r="Q16" s="246"/>
      <c r="R16" s="246"/>
      <c r="S16" s="246"/>
      <c r="T16" s="246"/>
      <c r="U16" s="246"/>
      <c r="V16" s="246"/>
      <c r="W16" s="246"/>
      <c r="X16" s="246"/>
      <c r="Y16" s="246"/>
      <c r="Z16" s="246"/>
      <c r="AA16" s="246"/>
      <c r="AB16" s="246"/>
      <c r="AC16" s="246"/>
      <c r="AD16" s="246"/>
      <c r="AE16" s="246"/>
      <c r="AF16" s="246"/>
      <c r="AG16" s="246"/>
      <c r="AH16" s="246"/>
      <c r="AI16" s="246"/>
      <c r="AJ16" s="246"/>
      <c r="AK16" s="246"/>
      <c r="AL16" s="246"/>
      <c r="AM16" s="246"/>
      <c r="AN16" s="246"/>
      <c r="AO16" s="246"/>
      <c r="AP16" s="246"/>
      <c r="AQ16" s="246"/>
      <c r="AR16" s="246"/>
      <c r="AS16" s="246"/>
      <c r="AT16" s="246"/>
      <c r="AU16" s="260"/>
    </row>
    <row r="17" spans="1:47" ht="60" customHeight="1" outlineLevel="2" x14ac:dyDescent="0.35">
      <c r="A17" s="255" t="s">
        <v>3479</v>
      </c>
      <c r="B17" s="233" t="s">
        <v>3509</v>
      </c>
      <c r="C17" s="233"/>
      <c r="D17" s="237"/>
      <c r="E17" s="233"/>
      <c r="F17" s="241"/>
      <c r="G17" s="244" t="str">
        <f>IF(COUNTIF(H17:AU17,"&lt;&gt;")=0,"",SUMPRODUCT(((Recommendations[ImplStatus]="Implemented")+(Recommendations[ImplStatus]="Compensated"))*ISNUMBER(MATCH(Recommendations[Id],H17:AU17,0)))/COUNTIF(H17:AU17,"&lt;&gt;"))</f>
        <v/>
      </c>
      <c r="H17" s="241"/>
      <c r="I17" s="241"/>
      <c r="J17" s="241"/>
      <c r="K17" s="241"/>
      <c r="L17" s="241"/>
      <c r="M17" s="241"/>
      <c r="N17" s="241"/>
      <c r="O17" s="241"/>
      <c r="P17" s="241"/>
      <c r="Q17" s="241"/>
      <c r="R17" s="241"/>
      <c r="S17" s="241"/>
      <c r="T17" s="241"/>
      <c r="U17" s="241"/>
      <c r="V17" s="241"/>
      <c r="W17" s="241"/>
      <c r="X17" s="241"/>
      <c r="Y17" s="241"/>
      <c r="Z17" s="241"/>
      <c r="AA17" s="241"/>
      <c r="AB17" s="241"/>
      <c r="AC17" s="241"/>
      <c r="AD17" s="241"/>
      <c r="AE17" s="241"/>
      <c r="AF17" s="241"/>
      <c r="AG17" s="241"/>
      <c r="AH17" s="241"/>
      <c r="AI17" s="241"/>
      <c r="AJ17" s="241"/>
      <c r="AK17" s="241"/>
      <c r="AL17" s="241"/>
      <c r="AM17" s="241"/>
      <c r="AN17" s="241"/>
      <c r="AO17" s="241"/>
      <c r="AP17" s="241"/>
      <c r="AQ17" s="241"/>
      <c r="AR17" s="241"/>
      <c r="AS17" s="241"/>
      <c r="AT17" s="241"/>
      <c r="AU17" s="259"/>
    </row>
    <row r="18" spans="1:47" ht="60" customHeight="1" x14ac:dyDescent="0.35">
      <c r="A18" s="256" t="s">
        <v>3479</v>
      </c>
      <c r="B18" s="234" t="s">
        <v>3509</v>
      </c>
      <c r="C18" s="235" t="s">
        <v>3510</v>
      </c>
      <c r="D18" s="238" t="s">
        <v>3511</v>
      </c>
      <c r="E18" s="239" t="s">
        <v>3512</v>
      </c>
      <c r="F18" s="242" t="s">
        <v>3513</v>
      </c>
      <c r="G18" s="245" t="str">
        <f>IF(COUNTIF(H18:AU18,"&lt;&gt;")=0,"",SUMPRODUCT(((Recommendations[ImplStatus]="Implemented")+(Recommendations[ImplStatus]="Compensated"))*ISNUMBER(MATCH(Recommendations[Id],H18:AU18,0)))/COUNTIF(H18:AU18,"&lt;&gt;"))</f>
        <v/>
      </c>
      <c r="H18" s="246"/>
      <c r="I18" s="246"/>
      <c r="J18" s="246"/>
      <c r="K18" s="246"/>
      <c r="L18" s="246"/>
      <c r="M18" s="246"/>
      <c r="N18" s="246"/>
      <c r="O18" s="246"/>
      <c r="P18" s="246"/>
      <c r="Q18" s="246"/>
      <c r="R18" s="246"/>
      <c r="S18" s="246"/>
      <c r="T18" s="246"/>
      <c r="U18" s="246"/>
      <c r="V18" s="246"/>
      <c r="W18" s="246"/>
      <c r="X18" s="246"/>
      <c r="Y18" s="246"/>
      <c r="Z18" s="246"/>
      <c r="AA18" s="246"/>
      <c r="AB18" s="246"/>
      <c r="AC18" s="246"/>
      <c r="AD18" s="246"/>
      <c r="AE18" s="246"/>
      <c r="AF18" s="246"/>
      <c r="AG18" s="246"/>
      <c r="AH18" s="246"/>
      <c r="AI18" s="246"/>
      <c r="AJ18" s="246"/>
      <c r="AK18" s="246"/>
      <c r="AL18" s="246"/>
      <c r="AM18" s="246"/>
      <c r="AN18" s="246"/>
      <c r="AO18" s="246"/>
      <c r="AP18" s="246"/>
      <c r="AQ18" s="246"/>
      <c r="AR18" s="246"/>
      <c r="AS18" s="246"/>
      <c r="AT18" s="246"/>
      <c r="AU18" s="260"/>
    </row>
    <row r="19" spans="1:47" ht="60" customHeight="1" x14ac:dyDescent="0.35">
      <c r="A19" s="256" t="s">
        <v>3479</v>
      </c>
      <c r="B19" s="234" t="s">
        <v>3509</v>
      </c>
      <c r="C19" s="235" t="s">
        <v>3514</v>
      </c>
      <c r="D19" s="238" t="s">
        <v>3515</v>
      </c>
      <c r="E19" s="239" t="s">
        <v>3512</v>
      </c>
      <c r="F19" s="242" t="s">
        <v>3513</v>
      </c>
      <c r="G19" s="245" t="str">
        <f>IF(COUNTIF(H19:AU19,"&lt;&gt;")=0,"",SUMPRODUCT(((Recommendations[ImplStatus]="Implemented")+(Recommendations[ImplStatus]="Compensated"))*ISNUMBER(MATCH(Recommendations[Id],H19:AU19,0)))/COUNTIF(H19:AU19,"&lt;&gt;"))</f>
        <v/>
      </c>
      <c r="H19" s="246"/>
      <c r="I19" s="246"/>
      <c r="J19" s="246"/>
      <c r="K19" s="246"/>
      <c r="L19" s="246"/>
      <c r="M19" s="246"/>
      <c r="N19" s="246"/>
      <c r="O19" s="246"/>
      <c r="P19" s="246"/>
      <c r="Q19" s="246"/>
      <c r="R19" s="246"/>
      <c r="S19" s="246"/>
      <c r="T19" s="246"/>
      <c r="U19" s="246"/>
      <c r="V19" s="246"/>
      <c r="W19" s="246"/>
      <c r="X19" s="246"/>
      <c r="Y19" s="246"/>
      <c r="Z19" s="246"/>
      <c r="AA19" s="246"/>
      <c r="AB19" s="246"/>
      <c r="AC19" s="246"/>
      <c r="AD19" s="246"/>
      <c r="AE19" s="246"/>
      <c r="AF19" s="246"/>
      <c r="AG19" s="246"/>
      <c r="AH19" s="246"/>
      <c r="AI19" s="246"/>
      <c r="AJ19" s="246"/>
      <c r="AK19" s="246"/>
      <c r="AL19" s="246"/>
      <c r="AM19" s="246"/>
      <c r="AN19" s="246"/>
      <c r="AO19" s="246"/>
      <c r="AP19" s="246"/>
      <c r="AQ19" s="246"/>
      <c r="AR19" s="246"/>
      <c r="AS19" s="246"/>
      <c r="AT19" s="246"/>
      <c r="AU19" s="260"/>
    </row>
    <row r="20" spans="1:47" ht="60" customHeight="1" x14ac:dyDescent="0.35">
      <c r="A20" s="256" t="s">
        <v>3479</v>
      </c>
      <c r="B20" s="234" t="s">
        <v>3509</v>
      </c>
      <c r="C20" s="235" t="s">
        <v>3516</v>
      </c>
      <c r="D20" s="238" t="s">
        <v>3517</v>
      </c>
      <c r="E20" s="239" t="s">
        <v>3512</v>
      </c>
      <c r="F20" s="242" t="s">
        <v>3513</v>
      </c>
      <c r="G20" s="245" t="str">
        <f>IF(COUNTIF(H20:AU20,"&lt;&gt;")=0,"",SUMPRODUCT(((Recommendations[ImplStatus]="Implemented")+(Recommendations[ImplStatus]="Compensated"))*ISNUMBER(MATCH(Recommendations[Id],H20:AU20,0)))/COUNTIF(H20:AU20,"&lt;&gt;"))</f>
        <v/>
      </c>
      <c r="H20" s="246"/>
      <c r="I20" s="246"/>
      <c r="J20" s="246"/>
      <c r="K20" s="246"/>
      <c r="L20" s="246"/>
      <c r="M20" s="246"/>
      <c r="N20" s="246"/>
      <c r="O20" s="246"/>
      <c r="P20" s="246"/>
      <c r="Q20" s="246"/>
      <c r="R20" s="246"/>
      <c r="S20" s="246"/>
      <c r="T20" s="246"/>
      <c r="U20" s="246"/>
      <c r="V20" s="246"/>
      <c r="W20" s="246"/>
      <c r="X20" s="246"/>
      <c r="Y20" s="246"/>
      <c r="Z20" s="246"/>
      <c r="AA20" s="246"/>
      <c r="AB20" s="246"/>
      <c r="AC20" s="246"/>
      <c r="AD20" s="246"/>
      <c r="AE20" s="246"/>
      <c r="AF20" s="246"/>
      <c r="AG20" s="246"/>
      <c r="AH20" s="246"/>
      <c r="AI20" s="246"/>
      <c r="AJ20" s="246"/>
      <c r="AK20" s="246"/>
      <c r="AL20" s="246"/>
      <c r="AM20" s="246"/>
      <c r="AN20" s="246"/>
      <c r="AO20" s="246"/>
      <c r="AP20" s="246"/>
      <c r="AQ20" s="246"/>
      <c r="AR20" s="246"/>
      <c r="AS20" s="246"/>
      <c r="AT20" s="246"/>
      <c r="AU20" s="260"/>
    </row>
    <row r="21" spans="1:47" ht="60" customHeight="1" x14ac:dyDescent="0.35">
      <c r="A21" s="256" t="s">
        <v>3479</v>
      </c>
      <c r="B21" s="234" t="s">
        <v>3509</v>
      </c>
      <c r="C21" s="235" t="s">
        <v>3518</v>
      </c>
      <c r="D21" s="238" t="s">
        <v>3519</v>
      </c>
      <c r="E21" s="239" t="s">
        <v>3512</v>
      </c>
      <c r="F21" s="242" t="s">
        <v>3513</v>
      </c>
      <c r="G21" s="245" t="str">
        <f>IF(COUNTIF(H21:AU21,"&lt;&gt;")=0,"",SUMPRODUCT(((Recommendations[ImplStatus]="Implemented")+(Recommendations[ImplStatus]="Compensated"))*ISNUMBER(MATCH(Recommendations[Id],H21:AU21,0)))/COUNTIF(H21:AU21,"&lt;&gt;"))</f>
        <v/>
      </c>
      <c r="H21" s="246"/>
      <c r="I21" s="246"/>
      <c r="J21" s="246"/>
      <c r="K21" s="246"/>
      <c r="L21" s="246"/>
      <c r="M21" s="246"/>
      <c r="N21" s="246"/>
      <c r="O21" s="246"/>
      <c r="P21" s="246"/>
      <c r="Q21" s="246"/>
      <c r="R21" s="246"/>
      <c r="S21" s="246"/>
      <c r="T21" s="246"/>
      <c r="U21" s="246"/>
      <c r="V21" s="246"/>
      <c r="W21" s="246"/>
      <c r="X21" s="246"/>
      <c r="Y21" s="246"/>
      <c r="Z21" s="246"/>
      <c r="AA21" s="246"/>
      <c r="AB21" s="246"/>
      <c r="AC21" s="246"/>
      <c r="AD21" s="246"/>
      <c r="AE21" s="246"/>
      <c r="AF21" s="246"/>
      <c r="AG21" s="246"/>
      <c r="AH21" s="246"/>
      <c r="AI21" s="246"/>
      <c r="AJ21" s="246"/>
      <c r="AK21" s="246"/>
      <c r="AL21" s="246"/>
      <c r="AM21" s="246"/>
      <c r="AN21" s="246"/>
      <c r="AO21" s="246"/>
      <c r="AP21" s="246"/>
      <c r="AQ21" s="246"/>
      <c r="AR21" s="246"/>
      <c r="AS21" s="246"/>
      <c r="AT21" s="246"/>
      <c r="AU21" s="260"/>
    </row>
    <row r="22" spans="1:47" ht="60" customHeight="1" x14ac:dyDescent="0.35">
      <c r="A22" s="256" t="s">
        <v>3479</v>
      </c>
      <c r="B22" s="234" t="s">
        <v>3509</v>
      </c>
      <c r="C22" s="235" t="s">
        <v>3520</v>
      </c>
      <c r="D22" s="238" t="s">
        <v>3521</v>
      </c>
      <c r="E22" s="239" t="s">
        <v>3512</v>
      </c>
      <c r="F22" s="242" t="s">
        <v>3513</v>
      </c>
      <c r="G22" s="245" t="str">
        <f>IF(COUNTIF(H22:AU22,"&lt;&gt;")=0,"",SUMPRODUCT(((Recommendations[ImplStatus]="Implemented")+(Recommendations[ImplStatus]="Compensated"))*ISNUMBER(MATCH(Recommendations[Id],H22:AU22,0)))/COUNTIF(H22:AU22,"&lt;&gt;"))</f>
        <v/>
      </c>
      <c r="H22" s="246"/>
      <c r="I22" s="246"/>
      <c r="J22" s="246"/>
      <c r="K22" s="246"/>
      <c r="L22" s="246"/>
      <c r="M22" s="246"/>
      <c r="N22" s="246"/>
      <c r="O22" s="246"/>
      <c r="P22" s="246"/>
      <c r="Q22" s="246"/>
      <c r="R22" s="246"/>
      <c r="S22" s="246"/>
      <c r="T22" s="246"/>
      <c r="U22" s="246"/>
      <c r="V22" s="246"/>
      <c r="W22" s="246"/>
      <c r="X22" s="246"/>
      <c r="Y22" s="246"/>
      <c r="Z22" s="246"/>
      <c r="AA22" s="246"/>
      <c r="AB22" s="246"/>
      <c r="AC22" s="246"/>
      <c r="AD22" s="246"/>
      <c r="AE22" s="246"/>
      <c r="AF22" s="246"/>
      <c r="AG22" s="246"/>
      <c r="AH22" s="246"/>
      <c r="AI22" s="246"/>
      <c r="AJ22" s="246"/>
      <c r="AK22" s="246"/>
      <c r="AL22" s="246"/>
      <c r="AM22" s="246"/>
      <c r="AN22" s="246"/>
      <c r="AO22" s="246"/>
      <c r="AP22" s="246"/>
      <c r="AQ22" s="246"/>
      <c r="AR22" s="246"/>
      <c r="AS22" s="246"/>
      <c r="AT22" s="246"/>
      <c r="AU22" s="260"/>
    </row>
    <row r="23" spans="1:47" ht="60" customHeight="1" x14ac:dyDescent="0.35">
      <c r="A23" s="256" t="s">
        <v>3479</v>
      </c>
      <c r="B23" s="234" t="s">
        <v>3509</v>
      </c>
      <c r="C23" s="235" t="s">
        <v>3522</v>
      </c>
      <c r="D23" s="238" t="s">
        <v>3523</v>
      </c>
      <c r="E23" s="239" t="s">
        <v>3483</v>
      </c>
      <c r="F23" s="242" t="s">
        <v>3484</v>
      </c>
      <c r="G23" s="245" t="str">
        <f>IF(COUNTIF(H23:AU23,"&lt;&gt;")=0,"",SUMPRODUCT(((Recommendations[ImplStatus]="Implemented")+(Recommendations[ImplStatus]="Compensated"))*ISNUMBER(MATCH(Recommendations[Id],H23:AU23,0)))/COUNTIF(H23:AU23,"&lt;&gt;"))</f>
        <v/>
      </c>
      <c r="H23" s="246"/>
      <c r="I23" s="246"/>
      <c r="J23" s="246"/>
      <c r="K23" s="246"/>
      <c r="L23" s="246"/>
      <c r="M23" s="246"/>
      <c r="N23" s="246"/>
      <c r="O23" s="246"/>
      <c r="P23" s="246"/>
      <c r="Q23" s="246"/>
      <c r="R23" s="246"/>
      <c r="S23" s="246"/>
      <c r="T23" s="246"/>
      <c r="U23" s="246"/>
      <c r="V23" s="246"/>
      <c r="W23" s="246"/>
      <c r="X23" s="246"/>
      <c r="Y23" s="246"/>
      <c r="Z23" s="246"/>
      <c r="AA23" s="246"/>
      <c r="AB23" s="246"/>
      <c r="AC23" s="246"/>
      <c r="AD23" s="246"/>
      <c r="AE23" s="246"/>
      <c r="AF23" s="246"/>
      <c r="AG23" s="246"/>
      <c r="AH23" s="246"/>
      <c r="AI23" s="246"/>
      <c r="AJ23" s="246"/>
      <c r="AK23" s="246"/>
      <c r="AL23" s="246"/>
      <c r="AM23" s="246"/>
      <c r="AN23" s="246"/>
      <c r="AO23" s="246"/>
      <c r="AP23" s="246"/>
      <c r="AQ23" s="246"/>
      <c r="AR23" s="246"/>
      <c r="AS23" s="246"/>
      <c r="AT23" s="246"/>
      <c r="AU23" s="260"/>
    </row>
    <row r="24" spans="1:47" ht="60" customHeight="1" x14ac:dyDescent="0.35">
      <c r="A24" s="256" t="s">
        <v>3479</v>
      </c>
      <c r="B24" s="234" t="s">
        <v>3509</v>
      </c>
      <c r="C24" s="235" t="s">
        <v>3524</v>
      </c>
      <c r="D24" s="238" t="s">
        <v>3525</v>
      </c>
      <c r="E24" s="239" t="s">
        <v>3483</v>
      </c>
      <c r="F24" s="242" t="s">
        <v>3484</v>
      </c>
      <c r="G24" s="245" t="str">
        <f>IF(COUNTIF(H24:AU24,"&lt;&gt;")=0,"",SUMPRODUCT(((Recommendations[ImplStatus]="Implemented")+(Recommendations[ImplStatus]="Compensated"))*ISNUMBER(MATCH(Recommendations[Id],H24:AU24,0)))/COUNTIF(H24:AU24,"&lt;&gt;"))</f>
        <v/>
      </c>
      <c r="H24" s="246"/>
      <c r="I24" s="246"/>
      <c r="J24" s="246"/>
      <c r="K24" s="246"/>
      <c r="L24" s="246"/>
      <c r="M24" s="246"/>
      <c r="N24" s="246"/>
      <c r="O24" s="246"/>
      <c r="P24" s="246"/>
      <c r="Q24" s="246"/>
      <c r="R24" s="246"/>
      <c r="S24" s="246"/>
      <c r="T24" s="246"/>
      <c r="U24" s="246"/>
      <c r="V24" s="246"/>
      <c r="W24" s="246"/>
      <c r="X24" s="246"/>
      <c r="Y24" s="246"/>
      <c r="Z24" s="246"/>
      <c r="AA24" s="246"/>
      <c r="AB24" s="246"/>
      <c r="AC24" s="246"/>
      <c r="AD24" s="246"/>
      <c r="AE24" s="246"/>
      <c r="AF24" s="246"/>
      <c r="AG24" s="246"/>
      <c r="AH24" s="246"/>
      <c r="AI24" s="246"/>
      <c r="AJ24" s="246"/>
      <c r="AK24" s="246"/>
      <c r="AL24" s="246"/>
      <c r="AM24" s="246"/>
      <c r="AN24" s="246"/>
      <c r="AO24" s="246"/>
      <c r="AP24" s="246"/>
      <c r="AQ24" s="246"/>
      <c r="AR24" s="246"/>
      <c r="AS24" s="246"/>
      <c r="AT24" s="246"/>
      <c r="AU24" s="260"/>
    </row>
    <row r="25" spans="1:47" ht="60" customHeight="1" x14ac:dyDescent="0.35">
      <c r="A25" s="256" t="s">
        <v>3479</v>
      </c>
      <c r="B25" s="234" t="s">
        <v>3509</v>
      </c>
      <c r="C25" s="235" t="s">
        <v>3526</v>
      </c>
      <c r="D25" s="238" t="s">
        <v>3527</v>
      </c>
      <c r="E25" s="239" t="s">
        <v>3483</v>
      </c>
      <c r="F25" s="242" t="s">
        <v>3528</v>
      </c>
      <c r="G25" s="245" t="str">
        <f>IF(COUNTIF(H25:AU25,"&lt;&gt;")=0,"",SUMPRODUCT(((Recommendations[ImplStatus]="Implemented")+(Recommendations[ImplStatus]="Compensated"))*ISNUMBER(MATCH(Recommendations[Id],H25:AU25,0)))/COUNTIF(H25:AU25,"&lt;&gt;"))</f>
        <v/>
      </c>
      <c r="H25" s="246"/>
      <c r="I25" s="246"/>
      <c r="J25" s="246"/>
      <c r="K25" s="246"/>
      <c r="L25" s="246"/>
      <c r="M25" s="246"/>
      <c r="N25" s="246"/>
      <c r="O25" s="246"/>
      <c r="P25" s="246"/>
      <c r="Q25" s="246"/>
      <c r="R25" s="246"/>
      <c r="S25" s="246"/>
      <c r="T25" s="246"/>
      <c r="U25" s="246"/>
      <c r="V25" s="246"/>
      <c r="W25" s="246"/>
      <c r="X25" s="246"/>
      <c r="Y25" s="246"/>
      <c r="Z25" s="246"/>
      <c r="AA25" s="246"/>
      <c r="AB25" s="246"/>
      <c r="AC25" s="246"/>
      <c r="AD25" s="246"/>
      <c r="AE25" s="246"/>
      <c r="AF25" s="246"/>
      <c r="AG25" s="246"/>
      <c r="AH25" s="246"/>
      <c r="AI25" s="246"/>
      <c r="AJ25" s="246"/>
      <c r="AK25" s="246"/>
      <c r="AL25" s="246"/>
      <c r="AM25" s="246"/>
      <c r="AN25" s="246"/>
      <c r="AO25" s="246"/>
      <c r="AP25" s="246"/>
      <c r="AQ25" s="246"/>
      <c r="AR25" s="246"/>
      <c r="AS25" s="246"/>
      <c r="AT25" s="246"/>
      <c r="AU25" s="260"/>
    </row>
    <row r="26" spans="1:47" ht="60" customHeight="1" x14ac:dyDescent="0.35">
      <c r="A26" s="256" t="s">
        <v>3479</v>
      </c>
      <c r="B26" s="234" t="s">
        <v>3509</v>
      </c>
      <c r="C26" s="235" t="s">
        <v>3529</v>
      </c>
      <c r="D26" s="238" t="s">
        <v>3530</v>
      </c>
      <c r="E26" s="239" t="s">
        <v>3483</v>
      </c>
      <c r="F26" s="242" t="s">
        <v>3528</v>
      </c>
      <c r="G26" s="245" t="str">
        <f>IF(COUNTIF(H26:AU26,"&lt;&gt;")=0,"",SUMPRODUCT(((Recommendations[ImplStatus]="Implemented")+(Recommendations[ImplStatus]="Compensated"))*ISNUMBER(MATCH(Recommendations[Id],H26:AU26,0)))/COUNTIF(H26:AU26,"&lt;&gt;"))</f>
        <v/>
      </c>
      <c r="H26" s="246"/>
      <c r="I26" s="246"/>
      <c r="J26" s="246"/>
      <c r="K26" s="246"/>
      <c r="L26" s="246"/>
      <c r="M26" s="246"/>
      <c r="N26" s="246"/>
      <c r="O26" s="246"/>
      <c r="P26" s="246"/>
      <c r="Q26" s="246"/>
      <c r="R26" s="246"/>
      <c r="S26" s="246"/>
      <c r="T26" s="246"/>
      <c r="U26" s="246"/>
      <c r="V26" s="246"/>
      <c r="W26" s="246"/>
      <c r="X26" s="246"/>
      <c r="Y26" s="246"/>
      <c r="Z26" s="246"/>
      <c r="AA26" s="246"/>
      <c r="AB26" s="246"/>
      <c r="AC26" s="246"/>
      <c r="AD26" s="246"/>
      <c r="AE26" s="246"/>
      <c r="AF26" s="246"/>
      <c r="AG26" s="246"/>
      <c r="AH26" s="246"/>
      <c r="AI26" s="246"/>
      <c r="AJ26" s="246"/>
      <c r="AK26" s="246"/>
      <c r="AL26" s="246"/>
      <c r="AM26" s="246"/>
      <c r="AN26" s="246"/>
      <c r="AO26" s="246"/>
      <c r="AP26" s="246"/>
      <c r="AQ26" s="246"/>
      <c r="AR26" s="246"/>
      <c r="AS26" s="246"/>
      <c r="AT26" s="246"/>
      <c r="AU26" s="260"/>
    </row>
    <row r="27" spans="1:47" ht="60" customHeight="1" x14ac:dyDescent="0.35">
      <c r="A27" s="256" t="s">
        <v>3479</v>
      </c>
      <c r="B27" s="234" t="s">
        <v>3509</v>
      </c>
      <c r="C27" s="235" t="s">
        <v>3531</v>
      </c>
      <c r="D27" s="238" t="s">
        <v>3532</v>
      </c>
      <c r="E27" s="239" t="s">
        <v>3483</v>
      </c>
      <c r="F27" s="242" t="s">
        <v>3528</v>
      </c>
      <c r="G27" s="245" t="str">
        <f>IF(COUNTIF(H27:AU27,"&lt;&gt;")=0,"",SUMPRODUCT(((Recommendations[ImplStatus]="Implemented")+(Recommendations[ImplStatus]="Compensated"))*ISNUMBER(MATCH(Recommendations[Id],H27:AU27,0)))/COUNTIF(H27:AU27,"&lt;&gt;"))</f>
        <v/>
      </c>
      <c r="H27" s="246"/>
      <c r="I27" s="246"/>
      <c r="J27" s="246"/>
      <c r="K27" s="246"/>
      <c r="L27" s="246"/>
      <c r="M27" s="246"/>
      <c r="N27" s="246"/>
      <c r="O27" s="246"/>
      <c r="P27" s="246"/>
      <c r="Q27" s="246"/>
      <c r="R27" s="246"/>
      <c r="S27" s="246"/>
      <c r="T27" s="246"/>
      <c r="U27" s="246"/>
      <c r="V27" s="246"/>
      <c r="W27" s="246"/>
      <c r="X27" s="246"/>
      <c r="Y27" s="246"/>
      <c r="Z27" s="246"/>
      <c r="AA27" s="246"/>
      <c r="AB27" s="246"/>
      <c r="AC27" s="246"/>
      <c r="AD27" s="246"/>
      <c r="AE27" s="246"/>
      <c r="AF27" s="246"/>
      <c r="AG27" s="246"/>
      <c r="AH27" s="246"/>
      <c r="AI27" s="246"/>
      <c r="AJ27" s="246"/>
      <c r="AK27" s="246"/>
      <c r="AL27" s="246"/>
      <c r="AM27" s="246"/>
      <c r="AN27" s="246"/>
      <c r="AO27" s="246"/>
      <c r="AP27" s="246"/>
      <c r="AQ27" s="246"/>
      <c r="AR27" s="246"/>
      <c r="AS27" s="246"/>
      <c r="AT27" s="246"/>
      <c r="AU27" s="260"/>
    </row>
    <row r="28" spans="1:47" ht="60" customHeight="1" x14ac:dyDescent="0.35">
      <c r="A28" s="256" t="s">
        <v>3479</v>
      </c>
      <c r="B28" s="234" t="s">
        <v>3509</v>
      </c>
      <c r="C28" s="235" t="s">
        <v>3533</v>
      </c>
      <c r="D28" s="238" t="s">
        <v>3534</v>
      </c>
      <c r="E28" s="239" t="s">
        <v>3483</v>
      </c>
      <c r="F28" s="242" t="s">
        <v>3528</v>
      </c>
      <c r="G28" s="245" t="str">
        <f>IF(COUNTIF(H28:AU28,"&lt;&gt;")=0,"",SUMPRODUCT(((Recommendations[ImplStatus]="Implemented")+(Recommendations[ImplStatus]="Compensated"))*ISNUMBER(MATCH(Recommendations[Id],H28:AU28,0)))/COUNTIF(H28:AU28,"&lt;&gt;"))</f>
        <v/>
      </c>
      <c r="H28" s="246"/>
      <c r="I28" s="246"/>
      <c r="J28" s="246"/>
      <c r="K28" s="246"/>
      <c r="L28" s="246"/>
      <c r="M28" s="246"/>
      <c r="N28" s="246"/>
      <c r="O28" s="246"/>
      <c r="P28" s="246"/>
      <c r="Q28" s="246"/>
      <c r="R28" s="246"/>
      <c r="S28" s="246"/>
      <c r="T28" s="246"/>
      <c r="U28" s="246"/>
      <c r="V28" s="246"/>
      <c r="W28" s="246"/>
      <c r="X28" s="246"/>
      <c r="Y28" s="246"/>
      <c r="Z28" s="246"/>
      <c r="AA28" s="246"/>
      <c r="AB28" s="246"/>
      <c r="AC28" s="246"/>
      <c r="AD28" s="246"/>
      <c r="AE28" s="246"/>
      <c r="AF28" s="246"/>
      <c r="AG28" s="246"/>
      <c r="AH28" s="246"/>
      <c r="AI28" s="246"/>
      <c r="AJ28" s="246"/>
      <c r="AK28" s="246"/>
      <c r="AL28" s="246"/>
      <c r="AM28" s="246"/>
      <c r="AN28" s="246"/>
      <c r="AO28" s="246"/>
      <c r="AP28" s="246"/>
      <c r="AQ28" s="246"/>
      <c r="AR28" s="246"/>
      <c r="AS28" s="246"/>
      <c r="AT28" s="246"/>
      <c r="AU28" s="260"/>
    </row>
    <row r="29" spans="1:47" ht="60" customHeight="1" x14ac:dyDescent="0.35">
      <c r="A29" s="256" t="s">
        <v>3479</v>
      </c>
      <c r="B29" s="234" t="s">
        <v>3509</v>
      </c>
      <c r="C29" s="235" t="s">
        <v>3535</v>
      </c>
      <c r="D29" s="238" t="s">
        <v>3536</v>
      </c>
      <c r="E29" s="239" t="s">
        <v>3483</v>
      </c>
      <c r="F29" s="242" t="s">
        <v>3528</v>
      </c>
      <c r="G29" s="245" t="str">
        <f>IF(COUNTIF(H29:AU29,"&lt;&gt;")=0,"",SUMPRODUCT(((Recommendations[ImplStatus]="Implemented")+(Recommendations[ImplStatus]="Compensated"))*ISNUMBER(MATCH(Recommendations[Id],H29:AU29,0)))/COUNTIF(H29:AU29,"&lt;&gt;"))</f>
        <v/>
      </c>
      <c r="H29" s="246"/>
      <c r="I29" s="246"/>
      <c r="J29" s="246"/>
      <c r="K29" s="246"/>
      <c r="L29" s="246"/>
      <c r="M29" s="246"/>
      <c r="N29" s="246"/>
      <c r="O29" s="246"/>
      <c r="P29" s="246"/>
      <c r="Q29" s="246"/>
      <c r="R29" s="246"/>
      <c r="S29" s="246"/>
      <c r="T29" s="246"/>
      <c r="U29" s="246"/>
      <c r="V29" s="246"/>
      <c r="W29" s="246"/>
      <c r="X29" s="246"/>
      <c r="Y29" s="246"/>
      <c r="Z29" s="246"/>
      <c r="AA29" s="246"/>
      <c r="AB29" s="246"/>
      <c r="AC29" s="246"/>
      <c r="AD29" s="246"/>
      <c r="AE29" s="246"/>
      <c r="AF29" s="246"/>
      <c r="AG29" s="246"/>
      <c r="AH29" s="246"/>
      <c r="AI29" s="246"/>
      <c r="AJ29" s="246"/>
      <c r="AK29" s="246"/>
      <c r="AL29" s="246"/>
      <c r="AM29" s="246"/>
      <c r="AN29" s="246"/>
      <c r="AO29" s="246"/>
      <c r="AP29" s="246"/>
      <c r="AQ29" s="246"/>
      <c r="AR29" s="246"/>
      <c r="AS29" s="246"/>
      <c r="AT29" s="246"/>
      <c r="AU29" s="260"/>
    </row>
    <row r="30" spans="1:47" ht="60" customHeight="1" x14ac:dyDescent="0.35">
      <c r="A30" s="256" t="s">
        <v>3479</v>
      </c>
      <c r="B30" s="234" t="s">
        <v>3509</v>
      </c>
      <c r="C30" s="235" t="s">
        <v>3537</v>
      </c>
      <c r="D30" s="238" t="s">
        <v>3538</v>
      </c>
      <c r="E30" s="239" t="s">
        <v>3483</v>
      </c>
      <c r="F30" s="242" t="s">
        <v>3528</v>
      </c>
      <c r="G30" s="245" t="str">
        <f>IF(COUNTIF(H30:AU30,"&lt;&gt;")=0,"",SUMPRODUCT(((Recommendations[ImplStatus]="Implemented")+(Recommendations[ImplStatus]="Compensated"))*ISNUMBER(MATCH(Recommendations[Id],H30:AU30,0)))/COUNTIF(H30:AU30,"&lt;&gt;"))</f>
        <v/>
      </c>
      <c r="H30" s="246"/>
      <c r="I30" s="246"/>
      <c r="J30" s="246"/>
      <c r="K30" s="246"/>
      <c r="L30" s="246"/>
      <c r="M30" s="246"/>
      <c r="N30" s="246"/>
      <c r="O30" s="246"/>
      <c r="P30" s="246"/>
      <c r="Q30" s="246"/>
      <c r="R30" s="246"/>
      <c r="S30" s="246"/>
      <c r="T30" s="246"/>
      <c r="U30" s="246"/>
      <c r="V30" s="246"/>
      <c r="W30" s="246"/>
      <c r="X30" s="246"/>
      <c r="Y30" s="246"/>
      <c r="Z30" s="246"/>
      <c r="AA30" s="246"/>
      <c r="AB30" s="246"/>
      <c r="AC30" s="246"/>
      <c r="AD30" s="246"/>
      <c r="AE30" s="246"/>
      <c r="AF30" s="246"/>
      <c r="AG30" s="246"/>
      <c r="AH30" s="246"/>
      <c r="AI30" s="246"/>
      <c r="AJ30" s="246"/>
      <c r="AK30" s="246"/>
      <c r="AL30" s="246"/>
      <c r="AM30" s="246"/>
      <c r="AN30" s="246"/>
      <c r="AO30" s="246"/>
      <c r="AP30" s="246"/>
      <c r="AQ30" s="246"/>
      <c r="AR30" s="246"/>
      <c r="AS30" s="246"/>
      <c r="AT30" s="246"/>
      <c r="AU30" s="260"/>
    </row>
    <row r="31" spans="1:47" ht="60" customHeight="1" x14ac:dyDescent="0.35">
      <c r="A31" s="256" t="s">
        <v>3479</v>
      </c>
      <c r="B31" s="234" t="s">
        <v>3509</v>
      </c>
      <c r="C31" s="235" t="s">
        <v>3539</v>
      </c>
      <c r="D31" s="238" t="s">
        <v>3540</v>
      </c>
      <c r="E31" s="239" t="s">
        <v>3483</v>
      </c>
      <c r="F31" s="242" t="s">
        <v>3528</v>
      </c>
      <c r="G31" s="245" t="str">
        <f>IF(COUNTIF(H31:AU31,"&lt;&gt;")=0,"",SUMPRODUCT(((Recommendations[ImplStatus]="Implemented")+(Recommendations[ImplStatus]="Compensated"))*ISNUMBER(MATCH(Recommendations[Id],H31:AU31,0)))/COUNTIF(H31:AU31,"&lt;&gt;"))</f>
        <v/>
      </c>
      <c r="H31" s="246"/>
      <c r="I31" s="246"/>
      <c r="J31" s="246"/>
      <c r="K31" s="246"/>
      <c r="L31" s="246"/>
      <c r="M31" s="246"/>
      <c r="N31" s="246"/>
      <c r="O31" s="246"/>
      <c r="P31" s="246"/>
      <c r="Q31" s="246"/>
      <c r="R31" s="246"/>
      <c r="S31" s="246"/>
      <c r="T31" s="246"/>
      <c r="U31" s="246"/>
      <c r="V31" s="246"/>
      <c r="W31" s="246"/>
      <c r="X31" s="246"/>
      <c r="Y31" s="246"/>
      <c r="Z31" s="246"/>
      <c r="AA31" s="246"/>
      <c r="AB31" s="246"/>
      <c r="AC31" s="246"/>
      <c r="AD31" s="246"/>
      <c r="AE31" s="246"/>
      <c r="AF31" s="246"/>
      <c r="AG31" s="246"/>
      <c r="AH31" s="246"/>
      <c r="AI31" s="246"/>
      <c r="AJ31" s="246"/>
      <c r="AK31" s="246"/>
      <c r="AL31" s="246"/>
      <c r="AM31" s="246"/>
      <c r="AN31" s="246"/>
      <c r="AO31" s="246"/>
      <c r="AP31" s="246"/>
      <c r="AQ31" s="246"/>
      <c r="AR31" s="246"/>
      <c r="AS31" s="246"/>
      <c r="AT31" s="246"/>
      <c r="AU31" s="260"/>
    </row>
    <row r="32" spans="1:47" ht="60" customHeight="1" x14ac:dyDescent="0.35">
      <c r="A32" s="256" t="s">
        <v>3479</v>
      </c>
      <c r="B32" s="234" t="s">
        <v>3509</v>
      </c>
      <c r="C32" s="235" t="s">
        <v>3541</v>
      </c>
      <c r="D32" s="238" t="s">
        <v>3542</v>
      </c>
      <c r="E32" s="239" t="s">
        <v>3483</v>
      </c>
      <c r="F32" s="242" t="s">
        <v>3528</v>
      </c>
      <c r="G32" s="245" t="str">
        <f>IF(COUNTIF(H32:AU32,"&lt;&gt;")=0,"",SUMPRODUCT(((Recommendations[ImplStatus]="Implemented")+(Recommendations[ImplStatus]="Compensated"))*ISNUMBER(MATCH(Recommendations[Id],H32:AU32,0)))/COUNTIF(H32:AU32,"&lt;&gt;"))</f>
        <v/>
      </c>
      <c r="H32" s="246"/>
      <c r="I32" s="246"/>
      <c r="J32" s="246"/>
      <c r="K32" s="246"/>
      <c r="L32" s="246"/>
      <c r="M32" s="246"/>
      <c r="N32" s="246"/>
      <c r="O32" s="246"/>
      <c r="P32" s="246"/>
      <c r="Q32" s="246"/>
      <c r="R32" s="246"/>
      <c r="S32" s="246"/>
      <c r="T32" s="246"/>
      <c r="U32" s="246"/>
      <c r="V32" s="246"/>
      <c r="W32" s="246"/>
      <c r="X32" s="246"/>
      <c r="Y32" s="246"/>
      <c r="Z32" s="246"/>
      <c r="AA32" s="246"/>
      <c r="AB32" s="246"/>
      <c r="AC32" s="246"/>
      <c r="AD32" s="246"/>
      <c r="AE32" s="246"/>
      <c r="AF32" s="246"/>
      <c r="AG32" s="246"/>
      <c r="AH32" s="246"/>
      <c r="AI32" s="246"/>
      <c r="AJ32" s="246"/>
      <c r="AK32" s="246"/>
      <c r="AL32" s="246"/>
      <c r="AM32" s="246"/>
      <c r="AN32" s="246"/>
      <c r="AO32" s="246"/>
      <c r="AP32" s="246"/>
      <c r="AQ32" s="246"/>
      <c r="AR32" s="246"/>
      <c r="AS32" s="246"/>
      <c r="AT32" s="246"/>
      <c r="AU32" s="260"/>
    </row>
    <row r="33" spans="1:47" ht="60" customHeight="1" x14ac:dyDescent="0.35">
      <c r="A33" s="256" t="s">
        <v>3479</v>
      </c>
      <c r="B33" s="234" t="s">
        <v>3509</v>
      </c>
      <c r="C33" s="235" t="s">
        <v>3543</v>
      </c>
      <c r="D33" s="238" t="s">
        <v>3544</v>
      </c>
      <c r="E33" s="239" t="s">
        <v>3512</v>
      </c>
      <c r="F33" s="242" t="s">
        <v>3513</v>
      </c>
      <c r="G33" s="245" t="str">
        <f>IF(COUNTIF(H33:AU33,"&lt;&gt;")=0,"",SUMPRODUCT(((Recommendations[ImplStatus]="Implemented")+(Recommendations[ImplStatus]="Compensated"))*ISNUMBER(MATCH(Recommendations[Id],H33:AU33,0)))/COUNTIF(H33:AU33,"&lt;&gt;"))</f>
        <v/>
      </c>
      <c r="H33" s="246"/>
      <c r="I33" s="246"/>
      <c r="J33" s="246"/>
      <c r="K33" s="246"/>
      <c r="L33" s="246"/>
      <c r="M33" s="246"/>
      <c r="N33" s="246"/>
      <c r="O33" s="246"/>
      <c r="P33" s="246"/>
      <c r="Q33" s="246"/>
      <c r="R33" s="246"/>
      <c r="S33" s="246"/>
      <c r="T33" s="246"/>
      <c r="U33" s="246"/>
      <c r="V33" s="246"/>
      <c r="W33" s="246"/>
      <c r="X33" s="246"/>
      <c r="Y33" s="246"/>
      <c r="Z33" s="246"/>
      <c r="AA33" s="246"/>
      <c r="AB33" s="246"/>
      <c r="AC33" s="246"/>
      <c r="AD33" s="246"/>
      <c r="AE33" s="246"/>
      <c r="AF33" s="246"/>
      <c r="AG33" s="246"/>
      <c r="AH33" s="246"/>
      <c r="AI33" s="246"/>
      <c r="AJ33" s="246"/>
      <c r="AK33" s="246"/>
      <c r="AL33" s="246"/>
      <c r="AM33" s="246"/>
      <c r="AN33" s="246"/>
      <c r="AO33" s="246"/>
      <c r="AP33" s="246"/>
      <c r="AQ33" s="246"/>
      <c r="AR33" s="246"/>
      <c r="AS33" s="246"/>
      <c r="AT33" s="246"/>
      <c r="AU33" s="260"/>
    </row>
    <row r="34" spans="1:47" ht="60" customHeight="1" x14ac:dyDescent="0.35">
      <c r="A34" s="256" t="s">
        <v>3479</v>
      </c>
      <c r="B34" s="234" t="s">
        <v>3509</v>
      </c>
      <c r="C34" s="235" t="s">
        <v>3545</v>
      </c>
      <c r="D34" s="238" t="s">
        <v>3546</v>
      </c>
      <c r="E34" s="239" t="s">
        <v>3483</v>
      </c>
      <c r="F34" s="242" t="s">
        <v>3528</v>
      </c>
      <c r="G34" s="245" t="str">
        <f>IF(COUNTIF(H34:AU34,"&lt;&gt;")=0,"",SUMPRODUCT(((Recommendations[ImplStatus]="Implemented")+(Recommendations[ImplStatus]="Compensated"))*ISNUMBER(MATCH(Recommendations[Id],H34:AU34,0)))/COUNTIF(H34:AU34,"&lt;&gt;"))</f>
        <v/>
      </c>
      <c r="H34" s="246"/>
      <c r="I34" s="246"/>
      <c r="J34" s="246"/>
      <c r="K34" s="246"/>
      <c r="L34" s="246"/>
      <c r="M34" s="246"/>
      <c r="N34" s="246"/>
      <c r="O34" s="246"/>
      <c r="P34" s="246"/>
      <c r="Q34" s="246"/>
      <c r="R34" s="246"/>
      <c r="S34" s="246"/>
      <c r="T34" s="246"/>
      <c r="U34" s="246"/>
      <c r="V34" s="246"/>
      <c r="W34" s="246"/>
      <c r="X34" s="246"/>
      <c r="Y34" s="246"/>
      <c r="Z34" s="246"/>
      <c r="AA34" s="246"/>
      <c r="AB34" s="246"/>
      <c r="AC34" s="246"/>
      <c r="AD34" s="246"/>
      <c r="AE34" s="246"/>
      <c r="AF34" s="246"/>
      <c r="AG34" s="246"/>
      <c r="AH34" s="246"/>
      <c r="AI34" s="246"/>
      <c r="AJ34" s="246"/>
      <c r="AK34" s="246"/>
      <c r="AL34" s="246"/>
      <c r="AM34" s="246"/>
      <c r="AN34" s="246"/>
      <c r="AO34" s="246"/>
      <c r="AP34" s="246"/>
      <c r="AQ34" s="246"/>
      <c r="AR34" s="246"/>
      <c r="AS34" s="246"/>
      <c r="AT34" s="246"/>
      <c r="AU34" s="260"/>
    </row>
    <row r="35" spans="1:47" ht="60" customHeight="1" outlineLevel="2" x14ac:dyDescent="0.35">
      <c r="A35" s="255" t="s">
        <v>3479</v>
      </c>
      <c r="B35" s="233" t="s">
        <v>3547</v>
      </c>
      <c r="C35" s="233"/>
      <c r="D35" s="237"/>
      <c r="E35" s="233"/>
      <c r="F35" s="241"/>
      <c r="G35" s="244" t="str">
        <f>IF(COUNTIF(H35:AU35,"&lt;&gt;")=0,"",SUMPRODUCT(((Recommendations[ImplStatus]="Implemented")+(Recommendations[ImplStatus]="Compensated"))*ISNUMBER(MATCH(Recommendations[Id],H35:AU35,0)))/COUNTIF(H35:AU35,"&lt;&gt;"))</f>
        <v/>
      </c>
      <c r="H35" s="241"/>
      <c r="I35" s="241"/>
      <c r="J35" s="241"/>
      <c r="K35" s="241"/>
      <c r="L35" s="241"/>
      <c r="M35" s="241"/>
      <c r="N35" s="241"/>
      <c r="O35" s="241"/>
      <c r="P35" s="241"/>
      <c r="Q35" s="241"/>
      <c r="R35" s="241"/>
      <c r="S35" s="241"/>
      <c r="T35" s="241"/>
      <c r="U35" s="241"/>
      <c r="V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59"/>
    </row>
    <row r="36" spans="1:47" ht="60" customHeight="1" x14ac:dyDescent="0.35">
      <c r="A36" s="256" t="s">
        <v>3479</v>
      </c>
      <c r="B36" s="234" t="s">
        <v>3547</v>
      </c>
      <c r="C36" s="235" t="s">
        <v>3548</v>
      </c>
      <c r="D36" s="238" t="s">
        <v>3549</v>
      </c>
      <c r="E36" s="239" t="s">
        <v>3483</v>
      </c>
      <c r="F36" s="242" t="s">
        <v>3528</v>
      </c>
      <c r="G36" s="245" t="str">
        <f>IF(COUNTIF(H36:AU36,"&lt;&gt;")=0,"",SUMPRODUCT(((Recommendations[ImplStatus]="Implemented")+(Recommendations[ImplStatus]="Compensated"))*ISNUMBER(MATCH(Recommendations[Id],H36:AU36,0)))/COUNTIF(H36:AU36,"&lt;&gt;"))</f>
        <v/>
      </c>
      <c r="H36" s="246"/>
      <c r="I36" s="246"/>
      <c r="J36" s="246"/>
      <c r="K36" s="246"/>
      <c r="L36" s="246"/>
      <c r="M36" s="246"/>
      <c r="N36" s="246"/>
      <c r="O36" s="246"/>
      <c r="P36" s="246"/>
      <c r="Q36" s="246"/>
      <c r="R36" s="246"/>
      <c r="S36" s="246"/>
      <c r="T36" s="246"/>
      <c r="U36" s="246"/>
      <c r="V36" s="246"/>
      <c r="W36" s="246"/>
      <c r="X36" s="246"/>
      <c r="Y36" s="246"/>
      <c r="Z36" s="246"/>
      <c r="AA36" s="246"/>
      <c r="AB36" s="246"/>
      <c r="AC36" s="246"/>
      <c r="AD36" s="246"/>
      <c r="AE36" s="246"/>
      <c r="AF36" s="246"/>
      <c r="AG36" s="246"/>
      <c r="AH36" s="246"/>
      <c r="AI36" s="246"/>
      <c r="AJ36" s="246"/>
      <c r="AK36" s="246"/>
      <c r="AL36" s="246"/>
      <c r="AM36" s="246"/>
      <c r="AN36" s="246"/>
      <c r="AO36" s="246"/>
      <c r="AP36" s="246"/>
      <c r="AQ36" s="246"/>
      <c r="AR36" s="246"/>
      <c r="AS36" s="246"/>
      <c r="AT36" s="246"/>
      <c r="AU36" s="260"/>
    </row>
    <row r="37" spans="1:47" ht="60" customHeight="1" x14ac:dyDescent="0.35">
      <c r="A37" s="256" t="s">
        <v>3479</v>
      </c>
      <c r="B37" s="234" t="s">
        <v>3547</v>
      </c>
      <c r="C37" s="235" t="s">
        <v>3550</v>
      </c>
      <c r="D37" s="238" t="s">
        <v>3551</v>
      </c>
      <c r="E37" s="239" t="s">
        <v>3483</v>
      </c>
      <c r="F37" s="242" t="s">
        <v>3552</v>
      </c>
      <c r="G37" s="245" t="str">
        <f>IF(COUNTIF(H37:AU37,"&lt;&gt;")=0,"",SUMPRODUCT(((Recommendations[ImplStatus]="Implemented")+(Recommendations[ImplStatus]="Compensated"))*ISNUMBER(MATCH(Recommendations[Id],H37:AU37,0)))/COUNTIF(H37:AU37,"&lt;&gt;"))</f>
        <v/>
      </c>
      <c r="H37" s="246"/>
      <c r="I37" s="246"/>
      <c r="J37" s="246"/>
      <c r="K37" s="246"/>
      <c r="L37" s="246"/>
      <c r="M37" s="246"/>
      <c r="N37" s="246"/>
      <c r="O37" s="246"/>
      <c r="P37" s="246"/>
      <c r="Q37" s="246"/>
      <c r="R37" s="246"/>
      <c r="S37" s="246"/>
      <c r="T37" s="246"/>
      <c r="U37" s="246"/>
      <c r="V37" s="246"/>
      <c r="W37" s="246"/>
      <c r="X37" s="246"/>
      <c r="Y37" s="246"/>
      <c r="Z37" s="246"/>
      <c r="AA37" s="246"/>
      <c r="AB37" s="246"/>
      <c r="AC37" s="246"/>
      <c r="AD37" s="246"/>
      <c r="AE37" s="246"/>
      <c r="AF37" s="246"/>
      <c r="AG37" s="246"/>
      <c r="AH37" s="246"/>
      <c r="AI37" s="246"/>
      <c r="AJ37" s="246"/>
      <c r="AK37" s="246"/>
      <c r="AL37" s="246"/>
      <c r="AM37" s="246"/>
      <c r="AN37" s="246"/>
      <c r="AO37" s="246"/>
      <c r="AP37" s="246"/>
      <c r="AQ37" s="246"/>
      <c r="AR37" s="246"/>
      <c r="AS37" s="246"/>
      <c r="AT37" s="246"/>
      <c r="AU37" s="260"/>
    </row>
    <row r="38" spans="1:47" ht="60" customHeight="1" x14ac:dyDescent="0.35">
      <c r="A38" s="256" t="s">
        <v>3479</v>
      </c>
      <c r="B38" s="234" t="s">
        <v>3547</v>
      </c>
      <c r="C38" s="235" t="s">
        <v>3553</v>
      </c>
      <c r="D38" s="238" t="s">
        <v>3554</v>
      </c>
      <c r="E38" s="239" t="s">
        <v>3483</v>
      </c>
      <c r="F38" s="242" t="s">
        <v>3552</v>
      </c>
      <c r="G38" s="245" t="str">
        <f>IF(COUNTIF(H38:AU38,"&lt;&gt;")=0,"",SUMPRODUCT(((Recommendations[ImplStatus]="Implemented")+(Recommendations[ImplStatus]="Compensated"))*ISNUMBER(MATCH(Recommendations[Id],H38:AU38,0)))/COUNTIF(H38:AU38,"&lt;&gt;"))</f>
        <v/>
      </c>
      <c r="H38" s="246"/>
      <c r="I38" s="246"/>
      <c r="J38" s="246"/>
      <c r="K38" s="246"/>
      <c r="L38" s="246"/>
      <c r="M38" s="246"/>
      <c r="N38" s="246"/>
      <c r="O38" s="246"/>
      <c r="P38" s="246"/>
      <c r="Q38" s="246"/>
      <c r="R38" s="246"/>
      <c r="S38" s="246"/>
      <c r="T38" s="246"/>
      <c r="U38" s="246"/>
      <c r="V38" s="246"/>
      <c r="W38" s="246"/>
      <c r="X38" s="246"/>
      <c r="Y38" s="246"/>
      <c r="Z38" s="246"/>
      <c r="AA38" s="246"/>
      <c r="AB38" s="246"/>
      <c r="AC38" s="246"/>
      <c r="AD38" s="246"/>
      <c r="AE38" s="246"/>
      <c r="AF38" s="246"/>
      <c r="AG38" s="246"/>
      <c r="AH38" s="246"/>
      <c r="AI38" s="246"/>
      <c r="AJ38" s="246"/>
      <c r="AK38" s="246"/>
      <c r="AL38" s="246"/>
      <c r="AM38" s="246"/>
      <c r="AN38" s="246"/>
      <c r="AO38" s="246"/>
      <c r="AP38" s="246"/>
      <c r="AQ38" s="246"/>
      <c r="AR38" s="246"/>
      <c r="AS38" s="246"/>
      <c r="AT38" s="246"/>
      <c r="AU38" s="260"/>
    </row>
    <row r="39" spans="1:47" ht="60" customHeight="1" x14ac:dyDescent="0.35">
      <c r="A39" s="256" t="s">
        <v>3479</v>
      </c>
      <c r="B39" s="234" t="s">
        <v>3547</v>
      </c>
      <c r="C39" s="235" t="s">
        <v>3555</v>
      </c>
      <c r="D39" s="238" t="s">
        <v>3556</v>
      </c>
      <c r="E39" s="239" t="s">
        <v>3483</v>
      </c>
      <c r="F39" s="242" t="s">
        <v>3552</v>
      </c>
      <c r="G39" s="245" t="str">
        <f>IF(COUNTIF(H39:AU39,"&lt;&gt;")=0,"",SUMPRODUCT(((Recommendations[ImplStatus]="Implemented")+(Recommendations[ImplStatus]="Compensated"))*ISNUMBER(MATCH(Recommendations[Id],H39:AU39,0)))/COUNTIF(H39:AU39,"&lt;&gt;"))</f>
        <v/>
      </c>
      <c r="H39" s="246"/>
      <c r="I39" s="246"/>
      <c r="J39" s="246"/>
      <c r="K39" s="246"/>
      <c r="L39" s="246"/>
      <c r="M39" s="246"/>
      <c r="N39" s="246"/>
      <c r="O39" s="246"/>
      <c r="P39" s="246"/>
      <c r="Q39" s="246"/>
      <c r="R39" s="246"/>
      <c r="S39" s="246"/>
      <c r="T39" s="246"/>
      <c r="U39" s="246"/>
      <c r="V39" s="246"/>
      <c r="W39" s="246"/>
      <c r="X39" s="246"/>
      <c r="Y39" s="246"/>
      <c r="Z39" s="246"/>
      <c r="AA39" s="246"/>
      <c r="AB39" s="246"/>
      <c r="AC39" s="246"/>
      <c r="AD39" s="246"/>
      <c r="AE39" s="246"/>
      <c r="AF39" s="246"/>
      <c r="AG39" s="246"/>
      <c r="AH39" s="246"/>
      <c r="AI39" s="246"/>
      <c r="AJ39" s="246"/>
      <c r="AK39" s="246"/>
      <c r="AL39" s="246"/>
      <c r="AM39" s="246"/>
      <c r="AN39" s="246"/>
      <c r="AO39" s="246"/>
      <c r="AP39" s="246"/>
      <c r="AQ39" s="246"/>
      <c r="AR39" s="246"/>
      <c r="AS39" s="246"/>
      <c r="AT39" s="246"/>
      <c r="AU39" s="260"/>
    </row>
    <row r="40" spans="1:47" ht="60" customHeight="1" x14ac:dyDescent="0.35">
      <c r="A40" s="256" t="s">
        <v>3479</v>
      </c>
      <c r="B40" s="234" t="s">
        <v>3547</v>
      </c>
      <c r="C40" s="235" t="s">
        <v>3557</v>
      </c>
      <c r="D40" s="238" t="s">
        <v>3558</v>
      </c>
      <c r="E40" s="239" t="s">
        <v>3483</v>
      </c>
      <c r="F40" s="242" t="s">
        <v>3552</v>
      </c>
      <c r="G40" s="245" t="str">
        <f>IF(COUNTIF(H40:AU40,"&lt;&gt;")=0,"",SUMPRODUCT(((Recommendations[ImplStatus]="Implemented")+(Recommendations[ImplStatus]="Compensated"))*ISNUMBER(MATCH(Recommendations[Id],H40:AU40,0)))/COUNTIF(H40:AU40,"&lt;&gt;"))</f>
        <v/>
      </c>
      <c r="H40" s="246"/>
      <c r="I40" s="246"/>
      <c r="J40" s="246"/>
      <c r="K40" s="246"/>
      <c r="L40" s="246"/>
      <c r="M40" s="246"/>
      <c r="N40" s="246"/>
      <c r="O40" s="246"/>
      <c r="P40" s="246"/>
      <c r="Q40" s="246"/>
      <c r="R40" s="246"/>
      <c r="S40" s="246"/>
      <c r="T40" s="246"/>
      <c r="U40" s="246"/>
      <c r="V40" s="246"/>
      <c r="W40" s="246"/>
      <c r="X40" s="246"/>
      <c r="Y40" s="246"/>
      <c r="Z40" s="246"/>
      <c r="AA40" s="246"/>
      <c r="AB40" s="246"/>
      <c r="AC40" s="246"/>
      <c r="AD40" s="246"/>
      <c r="AE40" s="246"/>
      <c r="AF40" s="246"/>
      <c r="AG40" s="246"/>
      <c r="AH40" s="246"/>
      <c r="AI40" s="246"/>
      <c r="AJ40" s="246"/>
      <c r="AK40" s="246"/>
      <c r="AL40" s="246"/>
      <c r="AM40" s="246"/>
      <c r="AN40" s="246"/>
      <c r="AO40" s="246"/>
      <c r="AP40" s="246"/>
      <c r="AQ40" s="246"/>
      <c r="AR40" s="246"/>
      <c r="AS40" s="246"/>
      <c r="AT40" s="246"/>
      <c r="AU40" s="260"/>
    </row>
    <row r="41" spans="1:47" ht="60" customHeight="1" x14ac:dyDescent="0.35">
      <c r="A41" s="256" t="s">
        <v>3479</v>
      </c>
      <c r="B41" s="234" t="s">
        <v>3547</v>
      </c>
      <c r="C41" s="235" t="s">
        <v>3559</v>
      </c>
      <c r="D41" s="238" t="s">
        <v>3560</v>
      </c>
      <c r="E41" s="239" t="s">
        <v>3483</v>
      </c>
      <c r="F41" s="242" t="s">
        <v>3552</v>
      </c>
      <c r="G41" s="245" t="str">
        <f>IF(COUNTIF(H41:AU41,"&lt;&gt;")=0,"",SUMPRODUCT(((Recommendations[ImplStatus]="Implemented")+(Recommendations[ImplStatus]="Compensated"))*ISNUMBER(MATCH(Recommendations[Id],H41:AU41,0)))/COUNTIF(H41:AU41,"&lt;&gt;"))</f>
        <v/>
      </c>
      <c r="H41" s="246"/>
      <c r="I41" s="246"/>
      <c r="J41" s="246"/>
      <c r="K41" s="246"/>
      <c r="L41" s="246"/>
      <c r="M41" s="246"/>
      <c r="N41" s="246"/>
      <c r="O41" s="246"/>
      <c r="P41" s="246"/>
      <c r="Q41" s="246"/>
      <c r="R41" s="246"/>
      <c r="S41" s="246"/>
      <c r="T41" s="246"/>
      <c r="U41" s="246"/>
      <c r="V41" s="246"/>
      <c r="W41" s="246"/>
      <c r="X41" s="246"/>
      <c r="Y41" s="246"/>
      <c r="Z41" s="246"/>
      <c r="AA41" s="246"/>
      <c r="AB41" s="246"/>
      <c r="AC41" s="246"/>
      <c r="AD41" s="246"/>
      <c r="AE41" s="246"/>
      <c r="AF41" s="246"/>
      <c r="AG41" s="246"/>
      <c r="AH41" s="246"/>
      <c r="AI41" s="246"/>
      <c r="AJ41" s="246"/>
      <c r="AK41" s="246"/>
      <c r="AL41" s="246"/>
      <c r="AM41" s="246"/>
      <c r="AN41" s="246"/>
      <c r="AO41" s="246"/>
      <c r="AP41" s="246"/>
      <c r="AQ41" s="246"/>
      <c r="AR41" s="246"/>
      <c r="AS41" s="246"/>
      <c r="AT41" s="246"/>
      <c r="AU41" s="260"/>
    </row>
    <row r="42" spans="1:47" ht="60" customHeight="1" x14ac:dyDescent="0.35">
      <c r="A42" s="256" t="s">
        <v>3479</v>
      </c>
      <c r="B42" s="234" t="s">
        <v>3547</v>
      </c>
      <c r="C42" s="235" t="s">
        <v>3561</v>
      </c>
      <c r="D42" s="238" t="s">
        <v>3562</v>
      </c>
      <c r="E42" s="239" t="s">
        <v>3483</v>
      </c>
      <c r="F42" s="242" t="s">
        <v>3552</v>
      </c>
      <c r="G42" s="245" t="str">
        <f>IF(COUNTIF(H42:AU42,"&lt;&gt;")=0,"",SUMPRODUCT(((Recommendations[ImplStatus]="Implemented")+(Recommendations[ImplStatus]="Compensated"))*ISNUMBER(MATCH(Recommendations[Id],H42:AU42,0)))/COUNTIF(H42:AU42,"&lt;&gt;"))</f>
        <v/>
      </c>
      <c r="H42" s="246"/>
      <c r="I42" s="246"/>
      <c r="J42" s="246"/>
      <c r="K42" s="246"/>
      <c r="L42" s="246"/>
      <c r="M42" s="246"/>
      <c r="N42" s="246"/>
      <c r="O42" s="246"/>
      <c r="P42" s="246"/>
      <c r="Q42" s="246"/>
      <c r="R42" s="246"/>
      <c r="S42" s="246"/>
      <c r="T42" s="246"/>
      <c r="U42" s="246"/>
      <c r="V42" s="246"/>
      <c r="W42" s="246"/>
      <c r="X42" s="246"/>
      <c r="Y42" s="246"/>
      <c r="Z42" s="246"/>
      <c r="AA42" s="246"/>
      <c r="AB42" s="246"/>
      <c r="AC42" s="246"/>
      <c r="AD42" s="246"/>
      <c r="AE42" s="246"/>
      <c r="AF42" s="246"/>
      <c r="AG42" s="246"/>
      <c r="AH42" s="246"/>
      <c r="AI42" s="246"/>
      <c r="AJ42" s="246"/>
      <c r="AK42" s="246"/>
      <c r="AL42" s="246"/>
      <c r="AM42" s="246"/>
      <c r="AN42" s="246"/>
      <c r="AO42" s="246"/>
      <c r="AP42" s="246"/>
      <c r="AQ42" s="246"/>
      <c r="AR42" s="246"/>
      <c r="AS42" s="246"/>
      <c r="AT42" s="246"/>
      <c r="AU42" s="260"/>
    </row>
    <row r="43" spans="1:47" ht="60" customHeight="1" x14ac:dyDescent="0.35">
      <c r="A43" s="256" t="s">
        <v>3479</v>
      </c>
      <c r="B43" s="234" t="s">
        <v>3547</v>
      </c>
      <c r="C43" s="235" t="s">
        <v>3563</v>
      </c>
      <c r="D43" s="238" t="s">
        <v>3564</v>
      </c>
      <c r="E43" s="239" t="s">
        <v>3483</v>
      </c>
      <c r="F43" s="242" t="s">
        <v>3552</v>
      </c>
      <c r="G43" s="245" t="str">
        <f>IF(COUNTIF(H43:AU43,"&lt;&gt;")=0,"",SUMPRODUCT(((Recommendations[ImplStatus]="Implemented")+(Recommendations[ImplStatus]="Compensated"))*ISNUMBER(MATCH(Recommendations[Id],H43:AU43,0)))/COUNTIF(H43:AU43,"&lt;&gt;"))</f>
        <v/>
      </c>
      <c r="H43" s="246"/>
      <c r="I43" s="246"/>
      <c r="J43" s="246"/>
      <c r="K43" s="246"/>
      <c r="L43" s="246"/>
      <c r="M43" s="246"/>
      <c r="N43" s="246"/>
      <c r="O43" s="246"/>
      <c r="P43" s="246"/>
      <c r="Q43" s="246"/>
      <c r="R43" s="246"/>
      <c r="S43" s="246"/>
      <c r="T43" s="246"/>
      <c r="U43" s="246"/>
      <c r="V43" s="246"/>
      <c r="W43" s="246"/>
      <c r="X43" s="246"/>
      <c r="Y43" s="246"/>
      <c r="Z43" s="246"/>
      <c r="AA43" s="246"/>
      <c r="AB43" s="246"/>
      <c r="AC43" s="246"/>
      <c r="AD43" s="246"/>
      <c r="AE43" s="246"/>
      <c r="AF43" s="246"/>
      <c r="AG43" s="246"/>
      <c r="AH43" s="246"/>
      <c r="AI43" s="246"/>
      <c r="AJ43" s="246"/>
      <c r="AK43" s="246"/>
      <c r="AL43" s="246"/>
      <c r="AM43" s="246"/>
      <c r="AN43" s="246"/>
      <c r="AO43" s="246"/>
      <c r="AP43" s="246"/>
      <c r="AQ43" s="246"/>
      <c r="AR43" s="246"/>
      <c r="AS43" s="246"/>
      <c r="AT43" s="246"/>
      <c r="AU43" s="260"/>
    </row>
    <row r="44" spans="1:47" ht="60" customHeight="1" x14ac:dyDescent="0.35">
      <c r="A44" s="256" t="s">
        <v>3479</v>
      </c>
      <c r="B44" s="234" t="s">
        <v>3547</v>
      </c>
      <c r="C44" s="235" t="s">
        <v>3565</v>
      </c>
      <c r="D44" s="238" t="s">
        <v>3566</v>
      </c>
      <c r="E44" s="239" t="s">
        <v>3483</v>
      </c>
      <c r="F44" s="242" t="s">
        <v>3552</v>
      </c>
      <c r="G44" s="245" t="str">
        <f>IF(COUNTIF(H44:AU44,"&lt;&gt;")=0,"",SUMPRODUCT(((Recommendations[ImplStatus]="Implemented")+(Recommendations[ImplStatus]="Compensated"))*ISNUMBER(MATCH(Recommendations[Id],H44:AU44,0)))/COUNTIF(H44:AU44,"&lt;&gt;"))</f>
        <v/>
      </c>
      <c r="H44" s="246"/>
      <c r="I44" s="246"/>
      <c r="J44" s="246"/>
      <c r="K44" s="246"/>
      <c r="L44" s="246"/>
      <c r="M44" s="246"/>
      <c r="N44" s="246"/>
      <c r="O44" s="246"/>
      <c r="P44" s="246"/>
      <c r="Q44" s="246"/>
      <c r="R44" s="246"/>
      <c r="S44" s="246"/>
      <c r="T44" s="246"/>
      <c r="U44" s="246"/>
      <c r="V44" s="246"/>
      <c r="W44" s="246"/>
      <c r="X44" s="246"/>
      <c r="Y44" s="246"/>
      <c r="Z44" s="246"/>
      <c r="AA44" s="246"/>
      <c r="AB44" s="246"/>
      <c r="AC44" s="246"/>
      <c r="AD44" s="246"/>
      <c r="AE44" s="246"/>
      <c r="AF44" s="246"/>
      <c r="AG44" s="246"/>
      <c r="AH44" s="246"/>
      <c r="AI44" s="246"/>
      <c r="AJ44" s="246"/>
      <c r="AK44" s="246"/>
      <c r="AL44" s="246"/>
      <c r="AM44" s="246"/>
      <c r="AN44" s="246"/>
      <c r="AO44" s="246"/>
      <c r="AP44" s="246"/>
      <c r="AQ44" s="246"/>
      <c r="AR44" s="246"/>
      <c r="AS44" s="246"/>
      <c r="AT44" s="246"/>
      <c r="AU44" s="260"/>
    </row>
    <row r="45" spans="1:47" ht="60" customHeight="1" x14ac:dyDescent="0.35">
      <c r="A45" s="256" t="s">
        <v>3479</v>
      </c>
      <c r="B45" s="234" t="s">
        <v>3547</v>
      </c>
      <c r="C45" s="235" t="s">
        <v>3567</v>
      </c>
      <c r="D45" s="238" t="s">
        <v>3568</v>
      </c>
      <c r="E45" s="239" t="s">
        <v>3483</v>
      </c>
      <c r="F45" s="242" t="s">
        <v>3552</v>
      </c>
      <c r="G45" s="245" t="str">
        <f>IF(COUNTIF(H45:AU45,"&lt;&gt;")=0,"",SUMPRODUCT(((Recommendations[ImplStatus]="Implemented")+(Recommendations[ImplStatus]="Compensated"))*ISNUMBER(MATCH(Recommendations[Id],H45:AU45,0)))/COUNTIF(H45:AU45,"&lt;&gt;"))</f>
        <v/>
      </c>
      <c r="H45" s="246"/>
      <c r="I45" s="246"/>
      <c r="J45" s="246"/>
      <c r="K45" s="246"/>
      <c r="L45" s="246"/>
      <c r="M45" s="246"/>
      <c r="N45" s="246"/>
      <c r="O45" s="246"/>
      <c r="P45" s="246"/>
      <c r="Q45" s="246"/>
      <c r="R45" s="246"/>
      <c r="S45" s="246"/>
      <c r="T45" s="246"/>
      <c r="U45" s="246"/>
      <c r="V45" s="246"/>
      <c r="W45" s="246"/>
      <c r="X45" s="246"/>
      <c r="Y45" s="246"/>
      <c r="Z45" s="246"/>
      <c r="AA45" s="246"/>
      <c r="AB45" s="246"/>
      <c r="AC45" s="246"/>
      <c r="AD45" s="246"/>
      <c r="AE45" s="246"/>
      <c r="AF45" s="246"/>
      <c r="AG45" s="246"/>
      <c r="AH45" s="246"/>
      <c r="AI45" s="246"/>
      <c r="AJ45" s="246"/>
      <c r="AK45" s="246"/>
      <c r="AL45" s="246"/>
      <c r="AM45" s="246"/>
      <c r="AN45" s="246"/>
      <c r="AO45" s="246"/>
      <c r="AP45" s="246"/>
      <c r="AQ45" s="246"/>
      <c r="AR45" s="246"/>
      <c r="AS45" s="246"/>
      <c r="AT45" s="246"/>
      <c r="AU45" s="260"/>
    </row>
    <row r="46" spans="1:47" ht="60" customHeight="1" x14ac:dyDescent="0.35">
      <c r="A46" s="256" t="s">
        <v>3479</v>
      </c>
      <c r="B46" s="234" t="s">
        <v>3547</v>
      </c>
      <c r="C46" s="235" t="s">
        <v>3569</v>
      </c>
      <c r="D46" s="238" t="s">
        <v>3570</v>
      </c>
      <c r="E46" s="239" t="s">
        <v>3483</v>
      </c>
      <c r="F46" s="242" t="s">
        <v>3552</v>
      </c>
      <c r="G46" s="245" t="str">
        <f>IF(COUNTIF(H46:AU46,"&lt;&gt;")=0,"",SUMPRODUCT(((Recommendations[ImplStatus]="Implemented")+(Recommendations[ImplStatus]="Compensated"))*ISNUMBER(MATCH(Recommendations[Id],H46:AU46,0)))/COUNTIF(H46:AU46,"&lt;&gt;"))</f>
        <v/>
      </c>
      <c r="H46" s="246"/>
      <c r="I46" s="246"/>
      <c r="J46" s="246"/>
      <c r="K46" s="246"/>
      <c r="L46" s="246"/>
      <c r="M46" s="246"/>
      <c r="N46" s="246"/>
      <c r="O46" s="246"/>
      <c r="P46" s="246"/>
      <c r="Q46" s="246"/>
      <c r="R46" s="246"/>
      <c r="S46" s="246"/>
      <c r="T46" s="246"/>
      <c r="U46" s="246"/>
      <c r="V46" s="246"/>
      <c r="W46" s="246"/>
      <c r="X46" s="246"/>
      <c r="Y46" s="246"/>
      <c r="Z46" s="246"/>
      <c r="AA46" s="246"/>
      <c r="AB46" s="246"/>
      <c r="AC46" s="246"/>
      <c r="AD46" s="246"/>
      <c r="AE46" s="246"/>
      <c r="AF46" s="246"/>
      <c r="AG46" s="246"/>
      <c r="AH46" s="246"/>
      <c r="AI46" s="246"/>
      <c r="AJ46" s="246"/>
      <c r="AK46" s="246"/>
      <c r="AL46" s="246"/>
      <c r="AM46" s="246"/>
      <c r="AN46" s="246"/>
      <c r="AO46" s="246"/>
      <c r="AP46" s="246"/>
      <c r="AQ46" s="246"/>
      <c r="AR46" s="246"/>
      <c r="AS46" s="246"/>
      <c r="AT46" s="246"/>
      <c r="AU46" s="260"/>
    </row>
    <row r="47" spans="1:47" ht="60" customHeight="1" x14ac:dyDescent="0.35">
      <c r="A47" s="256" t="s">
        <v>3479</v>
      </c>
      <c r="B47" s="234" t="s">
        <v>3547</v>
      </c>
      <c r="C47" s="235" t="s">
        <v>3571</v>
      </c>
      <c r="D47" s="238" t="s">
        <v>3572</v>
      </c>
      <c r="E47" s="239" t="s">
        <v>3483</v>
      </c>
      <c r="F47" s="242" t="s">
        <v>3552</v>
      </c>
      <c r="G47" s="245" t="str">
        <f>IF(COUNTIF(H47:AU47,"&lt;&gt;")=0,"",SUMPRODUCT(((Recommendations[ImplStatus]="Implemented")+(Recommendations[ImplStatus]="Compensated"))*ISNUMBER(MATCH(Recommendations[Id],H47:AU47,0)))/COUNTIF(H47:AU47,"&lt;&gt;"))</f>
        <v/>
      </c>
      <c r="H47" s="246"/>
      <c r="I47" s="246"/>
      <c r="J47" s="246"/>
      <c r="K47" s="246"/>
      <c r="L47" s="246"/>
      <c r="M47" s="246"/>
      <c r="N47" s="246"/>
      <c r="O47" s="246"/>
      <c r="P47" s="246"/>
      <c r="Q47" s="246"/>
      <c r="R47" s="246"/>
      <c r="S47" s="246"/>
      <c r="T47" s="246"/>
      <c r="U47" s="246"/>
      <c r="V47" s="246"/>
      <c r="W47" s="246"/>
      <c r="X47" s="246"/>
      <c r="Y47" s="246"/>
      <c r="Z47" s="246"/>
      <c r="AA47" s="246"/>
      <c r="AB47" s="246"/>
      <c r="AC47" s="246"/>
      <c r="AD47" s="246"/>
      <c r="AE47" s="246"/>
      <c r="AF47" s="246"/>
      <c r="AG47" s="246"/>
      <c r="AH47" s="246"/>
      <c r="AI47" s="246"/>
      <c r="AJ47" s="246"/>
      <c r="AK47" s="246"/>
      <c r="AL47" s="246"/>
      <c r="AM47" s="246"/>
      <c r="AN47" s="246"/>
      <c r="AO47" s="246"/>
      <c r="AP47" s="246"/>
      <c r="AQ47" s="246"/>
      <c r="AR47" s="246"/>
      <c r="AS47" s="246"/>
      <c r="AT47" s="246"/>
      <c r="AU47" s="260"/>
    </row>
    <row r="48" spans="1:47" ht="60" customHeight="1" x14ac:dyDescent="0.35">
      <c r="A48" s="256" t="s">
        <v>3479</v>
      </c>
      <c r="B48" s="234" t="s">
        <v>3547</v>
      </c>
      <c r="C48" s="235" t="s">
        <v>3573</v>
      </c>
      <c r="D48" s="238" t="s">
        <v>3574</v>
      </c>
      <c r="E48" s="239" t="s">
        <v>3483</v>
      </c>
      <c r="F48" s="242" t="s">
        <v>3552</v>
      </c>
      <c r="G48" s="245" t="str">
        <f>IF(COUNTIF(H48:AU48,"&lt;&gt;")=0,"",SUMPRODUCT(((Recommendations[ImplStatus]="Implemented")+(Recommendations[ImplStatus]="Compensated"))*ISNUMBER(MATCH(Recommendations[Id],H48:AU48,0)))/COUNTIF(H48:AU48,"&lt;&gt;"))</f>
        <v/>
      </c>
      <c r="H48" s="246"/>
      <c r="I48" s="246"/>
      <c r="J48" s="246"/>
      <c r="K48" s="246"/>
      <c r="L48" s="246"/>
      <c r="M48" s="246"/>
      <c r="N48" s="246"/>
      <c r="O48" s="246"/>
      <c r="P48" s="246"/>
      <c r="Q48" s="246"/>
      <c r="R48" s="246"/>
      <c r="S48" s="246"/>
      <c r="T48" s="246"/>
      <c r="U48" s="246"/>
      <c r="V48" s="246"/>
      <c r="W48" s="246"/>
      <c r="X48" s="246"/>
      <c r="Y48" s="246"/>
      <c r="Z48" s="246"/>
      <c r="AA48" s="246"/>
      <c r="AB48" s="246"/>
      <c r="AC48" s="246"/>
      <c r="AD48" s="246"/>
      <c r="AE48" s="246"/>
      <c r="AF48" s="246"/>
      <c r="AG48" s="246"/>
      <c r="AH48" s="246"/>
      <c r="AI48" s="246"/>
      <c r="AJ48" s="246"/>
      <c r="AK48" s="246"/>
      <c r="AL48" s="246"/>
      <c r="AM48" s="246"/>
      <c r="AN48" s="246"/>
      <c r="AO48" s="246"/>
      <c r="AP48" s="246"/>
      <c r="AQ48" s="246"/>
      <c r="AR48" s="246"/>
      <c r="AS48" s="246"/>
      <c r="AT48" s="246"/>
      <c r="AU48" s="260"/>
    </row>
    <row r="49" spans="1:47" ht="60" customHeight="1" x14ac:dyDescent="0.35">
      <c r="A49" s="256" t="s">
        <v>3479</v>
      </c>
      <c r="B49" s="234" t="s">
        <v>3547</v>
      </c>
      <c r="C49" s="235" t="s">
        <v>3575</v>
      </c>
      <c r="D49" s="238" t="s">
        <v>3576</v>
      </c>
      <c r="E49" s="239" t="s">
        <v>3483</v>
      </c>
      <c r="F49" s="242" t="s">
        <v>3552</v>
      </c>
      <c r="G49" s="245" t="str">
        <f>IF(COUNTIF(H49:AU49,"&lt;&gt;")=0,"",SUMPRODUCT(((Recommendations[ImplStatus]="Implemented")+(Recommendations[ImplStatus]="Compensated"))*ISNUMBER(MATCH(Recommendations[Id],H49:AU49,0)))/COUNTIF(H49:AU49,"&lt;&gt;"))</f>
        <v/>
      </c>
      <c r="H49" s="246"/>
      <c r="I49" s="246"/>
      <c r="J49" s="246"/>
      <c r="K49" s="246"/>
      <c r="L49" s="246"/>
      <c r="M49" s="246"/>
      <c r="N49" s="246"/>
      <c r="O49" s="246"/>
      <c r="P49" s="246"/>
      <c r="Q49" s="246"/>
      <c r="R49" s="246"/>
      <c r="S49" s="246"/>
      <c r="T49" s="246"/>
      <c r="U49" s="246"/>
      <c r="V49" s="246"/>
      <c r="W49" s="246"/>
      <c r="X49" s="246"/>
      <c r="Y49" s="246"/>
      <c r="Z49" s="246"/>
      <c r="AA49" s="246"/>
      <c r="AB49" s="246"/>
      <c r="AC49" s="246"/>
      <c r="AD49" s="246"/>
      <c r="AE49" s="246"/>
      <c r="AF49" s="246"/>
      <c r="AG49" s="246"/>
      <c r="AH49" s="246"/>
      <c r="AI49" s="246"/>
      <c r="AJ49" s="246"/>
      <c r="AK49" s="246"/>
      <c r="AL49" s="246"/>
      <c r="AM49" s="246"/>
      <c r="AN49" s="246"/>
      <c r="AO49" s="246"/>
      <c r="AP49" s="246"/>
      <c r="AQ49" s="246"/>
      <c r="AR49" s="246"/>
      <c r="AS49" s="246"/>
      <c r="AT49" s="246"/>
      <c r="AU49" s="260"/>
    </row>
    <row r="50" spans="1:47" ht="60" customHeight="1" outlineLevel="2" x14ac:dyDescent="0.35">
      <c r="A50" s="255" t="s">
        <v>3479</v>
      </c>
      <c r="B50" s="233" t="s">
        <v>2428</v>
      </c>
      <c r="C50" s="233"/>
      <c r="D50" s="237"/>
      <c r="E50" s="233"/>
      <c r="F50" s="241"/>
      <c r="G50" s="244" t="str">
        <f>IF(COUNTIF(H50:AU50,"&lt;&gt;")=0,"",SUMPRODUCT(((Recommendations[ImplStatus]="Implemented")+(Recommendations[ImplStatus]="Compensated"))*ISNUMBER(MATCH(Recommendations[Id],H50:AU50,0)))/COUNTIF(H50:AU50,"&lt;&gt;"))</f>
        <v/>
      </c>
      <c r="H50" s="241"/>
      <c r="I50" s="241"/>
      <c r="J50" s="241"/>
      <c r="K50" s="241"/>
      <c r="L50" s="241"/>
      <c r="M50" s="241"/>
      <c r="N50" s="241"/>
      <c r="O50" s="241"/>
      <c r="P50" s="241"/>
      <c r="Q50" s="24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59"/>
    </row>
    <row r="51" spans="1:47" ht="60" customHeight="1" x14ac:dyDescent="0.35">
      <c r="A51" s="256" t="s">
        <v>3479</v>
      </c>
      <c r="B51" s="234" t="s">
        <v>2428</v>
      </c>
      <c r="C51" s="235" t="s">
        <v>3577</v>
      </c>
      <c r="D51" s="238" t="s">
        <v>3578</v>
      </c>
      <c r="E51" s="239" t="s">
        <v>3579</v>
      </c>
      <c r="F51" s="242" t="s">
        <v>3580</v>
      </c>
      <c r="G51" s="245" t="str">
        <f>IF(COUNTIF(H51:AU51,"&lt;&gt;")=0,"",SUMPRODUCT(((Recommendations[ImplStatus]="Implemented")+(Recommendations[ImplStatus]="Compensated"))*ISNUMBER(MATCH(Recommendations[Id],H51:AU51,0)))/COUNTIF(H51:AU51,"&lt;&gt;"))</f>
        <v/>
      </c>
      <c r="H51" s="246"/>
      <c r="I51" s="246"/>
      <c r="J51" s="246"/>
      <c r="K51" s="246"/>
      <c r="L51" s="246"/>
      <c r="M51" s="246"/>
      <c r="N51" s="246"/>
      <c r="O51" s="246"/>
      <c r="P51" s="246"/>
      <c r="Q51" s="246"/>
      <c r="R51" s="246"/>
      <c r="S51" s="246"/>
      <c r="T51" s="246"/>
      <c r="U51" s="246"/>
      <c r="V51" s="246"/>
      <c r="W51" s="246"/>
      <c r="X51" s="246"/>
      <c r="Y51" s="246"/>
      <c r="Z51" s="246"/>
      <c r="AA51" s="246"/>
      <c r="AB51" s="246"/>
      <c r="AC51" s="246"/>
      <c r="AD51" s="246"/>
      <c r="AE51" s="246"/>
      <c r="AF51" s="246"/>
      <c r="AG51" s="246"/>
      <c r="AH51" s="246"/>
      <c r="AI51" s="246"/>
      <c r="AJ51" s="246"/>
      <c r="AK51" s="246"/>
      <c r="AL51" s="246"/>
      <c r="AM51" s="246"/>
      <c r="AN51" s="246"/>
      <c r="AO51" s="246"/>
      <c r="AP51" s="246"/>
      <c r="AQ51" s="246"/>
      <c r="AR51" s="246"/>
      <c r="AS51" s="246"/>
      <c r="AT51" s="246"/>
      <c r="AU51" s="260"/>
    </row>
    <row r="52" spans="1:47" ht="60" customHeight="1" x14ac:dyDescent="0.35">
      <c r="A52" s="256" t="s">
        <v>3479</v>
      </c>
      <c r="B52" s="234" t="s">
        <v>2428</v>
      </c>
      <c r="C52" s="235" t="s">
        <v>3581</v>
      </c>
      <c r="D52" s="238" t="s">
        <v>3582</v>
      </c>
      <c r="E52" s="239" t="s">
        <v>3579</v>
      </c>
      <c r="F52" s="242" t="s">
        <v>3580</v>
      </c>
      <c r="G52" s="245" t="str">
        <f>IF(COUNTIF(H52:AU52,"&lt;&gt;")=0,"",SUMPRODUCT(((Recommendations[ImplStatus]="Implemented")+(Recommendations[ImplStatus]="Compensated"))*ISNUMBER(MATCH(Recommendations[Id],H52:AU52,0)))/COUNTIF(H52:AU52,"&lt;&gt;"))</f>
        <v/>
      </c>
      <c r="H52" s="246"/>
      <c r="I52" s="246"/>
      <c r="J52" s="246"/>
      <c r="K52" s="246"/>
      <c r="L52" s="246"/>
      <c r="M52" s="246"/>
      <c r="N52" s="246"/>
      <c r="O52" s="246"/>
      <c r="P52" s="246"/>
      <c r="Q52" s="246"/>
      <c r="R52" s="246"/>
      <c r="S52" s="246"/>
      <c r="T52" s="246"/>
      <c r="U52" s="246"/>
      <c r="V52" s="246"/>
      <c r="W52" s="246"/>
      <c r="X52" s="246"/>
      <c r="Y52" s="246"/>
      <c r="Z52" s="246"/>
      <c r="AA52" s="246"/>
      <c r="AB52" s="246"/>
      <c r="AC52" s="246"/>
      <c r="AD52" s="246"/>
      <c r="AE52" s="246"/>
      <c r="AF52" s="246"/>
      <c r="AG52" s="246"/>
      <c r="AH52" s="246"/>
      <c r="AI52" s="246"/>
      <c r="AJ52" s="246"/>
      <c r="AK52" s="246"/>
      <c r="AL52" s="246"/>
      <c r="AM52" s="246"/>
      <c r="AN52" s="246"/>
      <c r="AO52" s="246"/>
      <c r="AP52" s="246"/>
      <c r="AQ52" s="246"/>
      <c r="AR52" s="246"/>
      <c r="AS52" s="246"/>
      <c r="AT52" s="246"/>
      <c r="AU52" s="260"/>
    </row>
    <row r="53" spans="1:47" ht="60" customHeight="1" x14ac:dyDescent="0.35">
      <c r="A53" s="256" t="s">
        <v>3479</v>
      </c>
      <c r="B53" s="234" t="s">
        <v>2428</v>
      </c>
      <c r="C53" s="235" t="s">
        <v>3583</v>
      </c>
      <c r="D53" s="238" t="s">
        <v>3584</v>
      </c>
      <c r="E53" s="239" t="s">
        <v>3579</v>
      </c>
      <c r="F53" s="242" t="s">
        <v>3580</v>
      </c>
      <c r="G53" s="245" t="str">
        <f>IF(COUNTIF(H53:AU53,"&lt;&gt;")=0,"",SUMPRODUCT(((Recommendations[ImplStatus]="Implemented")+(Recommendations[ImplStatus]="Compensated"))*ISNUMBER(MATCH(Recommendations[Id],H53:AU53,0)))/COUNTIF(H53:AU53,"&lt;&gt;"))</f>
        <v/>
      </c>
      <c r="H53" s="246"/>
      <c r="I53" s="246"/>
      <c r="J53" s="246"/>
      <c r="K53" s="246"/>
      <c r="L53" s="246"/>
      <c r="M53" s="246"/>
      <c r="N53" s="246"/>
      <c r="O53" s="246"/>
      <c r="P53" s="246"/>
      <c r="Q53" s="246"/>
      <c r="R53" s="246"/>
      <c r="S53" s="246"/>
      <c r="T53" s="246"/>
      <c r="U53" s="246"/>
      <c r="V53" s="246"/>
      <c r="W53" s="246"/>
      <c r="X53" s="246"/>
      <c r="Y53" s="246"/>
      <c r="Z53" s="246"/>
      <c r="AA53" s="246"/>
      <c r="AB53" s="246"/>
      <c r="AC53" s="246"/>
      <c r="AD53" s="246"/>
      <c r="AE53" s="246"/>
      <c r="AF53" s="246"/>
      <c r="AG53" s="246"/>
      <c r="AH53" s="246"/>
      <c r="AI53" s="246"/>
      <c r="AJ53" s="246"/>
      <c r="AK53" s="246"/>
      <c r="AL53" s="246"/>
      <c r="AM53" s="246"/>
      <c r="AN53" s="246"/>
      <c r="AO53" s="246"/>
      <c r="AP53" s="246"/>
      <c r="AQ53" s="246"/>
      <c r="AR53" s="246"/>
      <c r="AS53" s="246"/>
      <c r="AT53" s="246"/>
      <c r="AU53" s="260"/>
    </row>
    <row r="54" spans="1:47" ht="60" customHeight="1" x14ac:dyDescent="0.35">
      <c r="A54" s="256" t="s">
        <v>3479</v>
      </c>
      <c r="B54" s="234" t="s">
        <v>2428</v>
      </c>
      <c r="C54" s="235" t="s">
        <v>3585</v>
      </c>
      <c r="D54" s="238" t="s">
        <v>3586</v>
      </c>
      <c r="E54" s="239" t="s">
        <v>3579</v>
      </c>
      <c r="F54" s="242" t="s">
        <v>3580</v>
      </c>
      <c r="G54" s="245" t="str">
        <f>IF(COUNTIF(H54:AU54,"&lt;&gt;")=0,"",SUMPRODUCT(((Recommendations[ImplStatus]="Implemented")+(Recommendations[ImplStatus]="Compensated"))*ISNUMBER(MATCH(Recommendations[Id],H54:AU54,0)))/COUNTIF(H54:AU54,"&lt;&gt;"))</f>
        <v/>
      </c>
      <c r="H54" s="246"/>
      <c r="I54" s="246"/>
      <c r="J54" s="246"/>
      <c r="K54" s="246"/>
      <c r="L54" s="246"/>
      <c r="M54" s="246"/>
      <c r="N54" s="246"/>
      <c r="O54" s="246"/>
      <c r="P54" s="246"/>
      <c r="Q54" s="246"/>
      <c r="R54" s="246"/>
      <c r="S54" s="246"/>
      <c r="T54" s="246"/>
      <c r="U54" s="246"/>
      <c r="V54" s="246"/>
      <c r="W54" s="246"/>
      <c r="X54" s="246"/>
      <c r="Y54" s="246"/>
      <c r="Z54" s="246"/>
      <c r="AA54" s="246"/>
      <c r="AB54" s="246"/>
      <c r="AC54" s="246"/>
      <c r="AD54" s="246"/>
      <c r="AE54" s="246"/>
      <c r="AF54" s="246"/>
      <c r="AG54" s="246"/>
      <c r="AH54" s="246"/>
      <c r="AI54" s="246"/>
      <c r="AJ54" s="246"/>
      <c r="AK54" s="246"/>
      <c r="AL54" s="246"/>
      <c r="AM54" s="246"/>
      <c r="AN54" s="246"/>
      <c r="AO54" s="246"/>
      <c r="AP54" s="246"/>
      <c r="AQ54" s="246"/>
      <c r="AR54" s="246"/>
      <c r="AS54" s="246"/>
      <c r="AT54" s="246"/>
      <c r="AU54" s="260"/>
    </row>
    <row r="55" spans="1:47" ht="60" customHeight="1" x14ac:dyDescent="0.35">
      <c r="A55" s="256" t="s">
        <v>3479</v>
      </c>
      <c r="B55" s="234" t="s">
        <v>2428</v>
      </c>
      <c r="C55" s="235" t="s">
        <v>3587</v>
      </c>
      <c r="D55" s="238" t="s">
        <v>3588</v>
      </c>
      <c r="E55" s="239" t="s">
        <v>3579</v>
      </c>
      <c r="F55" s="242" t="s">
        <v>3580</v>
      </c>
      <c r="G55" s="245" t="str">
        <f>IF(COUNTIF(H55:AU55,"&lt;&gt;")=0,"",SUMPRODUCT(((Recommendations[ImplStatus]="Implemented")+(Recommendations[ImplStatus]="Compensated"))*ISNUMBER(MATCH(Recommendations[Id],H55:AU55,0)))/COUNTIF(H55:AU55,"&lt;&gt;"))</f>
        <v/>
      </c>
      <c r="H55" s="246"/>
      <c r="I55" s="246"/>
      <c r="J55" s="246"/>
      <c r="K55" s="246"/>
      <c r="L55" s="246"/>
      <c r="M55" s="246"/>
      <c r="N55" s="246"/>
      <c r="O55" s="246"/>
      <c r="P55" s="246"/>
      <c r="Q55" s="246"/>
      <c r="R55" s="246"/>
      <c r="S55" s="246"/>
      <c r="T55" s="246"/>
      <c r="U55" s="246"/>
      <c r="V55" s="246"/>
      <c r="W55" s="246"/>
      <c r="X55" s="246"/>
      <c r="Y55" s="246"/>
      <c r="Z55" s="246"/>
      <c r="AA55" s="246"/>
      <c r="AB55" s="246"/>
      <c r="AC55" s="246"/>
      <c r="AD55" s="246"/>
      <c r="AE55" s="246"/>
      <c r="AF55" s="246"/>
      <c r="AG55" s="246"/>
      <c r="AH55" s="246"/>
      <c r="AI55" s="246"/>
      <c r="AJ55" s="246"/>
      <c r="AK55" s="246"/>
      <c r="AL55" s="246"/>
      <c r="AM55" s="246"/>
      <c r="AN55" s="246"/>
      <c r="AO55" s="246"/>
      <c r="AP55" s="246"/>
      <c r="AQ55" s="246"/>
      <c r="AR55" s="246"/>
      <c r="AS55" s="246"/>
      <c r="AT55" s="246"/>
      <c r="AU55" s="260"/>
    </row>
    <row r="56" spans="1:47" ht="60" customHeight="1" x14ac:dyDescent="0.35">
      <c r="A56" s="256" t="s">
        <v>3479</v>
      </c>
      <c r="B56" s="234" t="s">
        <v>2428</v>
      </c>
      <c r="C56" s="235" t="s">
        <v>3589</v>
      </c>
      <c r="D56" s="238" t="s">
        <v>3590</v>
      </c>
      <c r="E56" s="239" t="s">
        <v>3579</v>
      </c>
      <c r="F56" s="242" t="s">
        <v>3580</v>
      </c>
      <c r="G56" s="245" t="str">
        <f>IF(COUNTIF(H56:AU56,"&lt;&gt;")=0,"",SUMPRODUCT(((Recommendations[ImplStatus]="Implemented")+(Recommendations[ImplStatus]="Compensated"))*ISNUMBER(MATCH(Recommendations[Id],H56:AU56,0)))/COUNTIF(H56:AU56,"&lt;&gt;"))</f>
        <v/>
      </c>
      <c r="H56" s="246"/>
      <c r="I56" s="246"/>
      <c r="J56" s="246"/>
      <c r="K56" s="246"/>
      <c r="L56" s="246"/>
      <c r="M56" s="246"/>
      <c r="N56" s="246"/>
      <c r="O56" s="246"/>
      <c r="P56" s="246"/>
      <c r="Q56" s="246"/>
      <c r="R56" s="246"/>
      <c r="S56" s="246"/>
      <c r="T56" s="246"/>
      <c r="U56" s="246"/>
      <c r="V56" s="246"/>
      <c r="W56" s="246"/>
      <c r="X56" s="246"/>
      <c r="Y56" s="246"/>
      <c r="Z56" s="246"/>
      <c r="AA56" s="246"/>
      <c r="AB56" s="246"/>
      <c r="AC56" s="246"/>
      <c r="AD56" s="246"/>
      <c r="AE56" s="246"/>
      <c r="AF56" s="246"/>
      <c r="AG56" s="246"/>
      <c r="AH56" s="246"/>
      <c r="AI56" s="246"/>
      <c r="AJ56" s="246"/>
      <c r="AK56" s="246"/>
      <c r="AL56" s="246"/>
      <c r="AM56" s="246"/>
      <c r="AN56" s="246"/>
      <c r="AO56" s="246"/>
      <c r="AP56" s="246"/>
      <c r="AQ56" s="246"/>
      <c r="AR56" s="246"/>
      <c r="AS56" s="246"/>
      <c r="AT56" s="246"/>
      <c r="AU56" s="260"/>
    </row>
    <row r="57" spans="1:47" ht="60" customHeight="1" x14ac:dyDescent="0.35">
      <c r="A57" s="256" t="s">
        <v>3479</v>
      </c>
      <c r="B57" s="234" t="s">
        <v>2428</v>
      </c>
      <c r="C57" s="235" t="s">
        <v>3591</v>
      </c>
      <c r="D57" s="238" t="s">
        <v>3592</v>
      </c>
      <c r="E57" s="239" t="s">
        <v>3579</v>
      </c>
      <c r="F57" s="242" t="s">
        <v>3580</v>
      </c>
      <c r="G57" s="245" t="str">
        <f>IF(COUNTIF(H57:AU57,"&lt;&gt;")=0,"",SUMPRODUCT(((Recommendations[ImplStatus]="Implemented")+(Recommendations[ImplStatus]="Compensated"))*ISNUMBER(MATCH(Recommendations[Id],H57:AU57,0)))/COUNTIF(H57:AU57,"&lt;&gt;"))</f>
        <v/>
      </c>
      <c r="H57" s="246"/>
      <c r="I57" s="246"/>
      <c r="J57" s="246"/>
      <c r="K57" s="246"/>
      <c r="L57" s="246"/>
      <c r="M57" s="246"/>
      <c r="N57" s="246"/>
      <c r="O57" s="246"/>
      <c r="P57" s="246"/>
      <c r="Q57" s="246"/>
      <c r="R57" s="246"/>
      <c r="S57" s="246"/>
      <c r="T57" s="246"/>
      <c r="U57" s="246"/>
      <c r="V57" s="246"/>
      <c r="W57" s="246"/>
      <c r="X57" s="246"/>
      <c r="Y57" s="246"/>
      <c r="Z57" s="246"/>
      <c r="AA57" s="246"/>
      <c r="AB57" s="246"/>
      <c r="AC57" s="246"/>
      <c r="AD57" s="246"/>
      <c r="AE57" s="246"/>
      <c r="AF57" s="246"/>
      <c r="AG57" s="246"/>
      <c r="AH57" s="246"/>
      <c r="AI57" s="246"/>
      <c r="AJ57" s="246"/>
      <c r="AK57" s="246"/>
      <c r="AL57" s="246"/>
      <c r="AM57" s="246"/>
      <c r="AN57" s="246"/>
      <c r="AO57" s="246"/>
      <c r="AP57" s="246"/>
      <c r="AQ57" s="246"/>
      <c r="AR57" s="246"/>
      <c r="AS57" s="246"/>
      <c r="AT57" s="246"/>
      <c r="AU57" s="260"/>
    </row>
    <row r="58" spans="1:47" ht="60" customHeight="1" x14ac:dyDescent="0.35">
      <c r="A58" s="256" t="s">
        <v>3479</v>
      </c>
      <c r="B58" s="234" t="s">
        <v>2428</v>
      </c>
      <c r="C58" s="235" t="s">
        <v>3593</v>
      </c>
      <c r="D58" s="238" t="s">
        <v>3594</v>
      </c>
      <c r="E58" s="239" t="s">
        <v>3483</v>
      </c>
      <c r="F58" s="242" t="s">
        <v>3580</v>
      </c>
      <c r="G58" s="245" t="str">
        <f>IF(COUNTIF(H58:AU58,"&lt;&gt;")=0,"",SUMPRODUCT(((Recommendations[ImplStatus]="Implemented")+(Recommendations[ImplStatus]="Compensated"))*ISNUMBER(MATCH(Recommendations[Id],H58:AU58,0)))/COUNTIF(H58:AU58,"&lt;&gt;"))</f>
        <v/>
      </c>
      <c r="H58" s="246"/>
      <c r="I58" s="246"/>
      <c r="J58" s="246"/>
      <c r="K58" s="246"/>
      <c r="L58" s="246"/>
      <c r="M58" s="246"/>
      <c r="N58" s="246"/>
      <c r="O58" s="246"/>
      <c r="P58" s="246"/>
      <c r="Q58" s="246"/>
      <c r="R58" s="246"/>
      <c r="S58" s="246"/>
      <c r="T58" s="246"/>
      <c r="U58" s="246"/>
      <c r="V58" s="246"/>
      <c r="W58" s="246"/>
      <c r="X58" s="246"/>
      <c r="Y58" s="246"/>
      <c r="Z58" s="246"/>
      <c r="AA58" s="246"/>
      <c r="AB58" s="246"/>
      <c r="AC58" s="246"/>
      <c r="AD58" s="246"/>
      <c r="AE58" s="246"/>
      <c r="AF58" s="246"/>
      <c r="AG58" s="246"/>
      <c r="AH58" s="246"/>
      <c r="AI58" s="246"/>
      <c r="AJ58" s="246"/>
      <c r="AK58" s="246"/>
      <c r="AL58" s="246"/>
      <c r="AM58" s="246"/>
      <c r="AN58" s="246"/>
      <c r="AO58" s="246"/>
      <c r="AP58" s="246"/>
      <c r="AQ58" s="246"/>
      <c r="AR58" s="246"/>
      <c r="AS58" s="246"/>
      <c r="AT58" s="246"/>
      <c r="AU58" s="260"/>
    </row>
    <row r="59" spans="1:47" ht="60" customHeight="1" x14ac:dyDescent="0.35">
      <c r="A59" s="256" t="s">
        <v>3479</v>
      </c>
      <c r="B59" s="234" t="s">
        <v>2428</v>
      </c>
      <c r="C59" s="235" t="s">
        <v>3595</v>
      </c>
      <c r="D59" s="238" t="s">
        <v>3596</v>
      </c>
      <c r="E59" s="239" t="s">
        <v>3483</v>
      </c>
      <c r="F59" s="242" t="s">
        <v>3580</v>
      </c>
      <c r="G59" s="245" t="str">
        <f>IF(COUNTIF(H59:AU59,"&lt;&gt;")=0,"",SUMPRODUCT(((Recommendations[ImplStatus]="Implemented")+(Recommendations[ImplStatus]="Compensated"))*ISNUMBER(MATCH(Recommendations[Id],H59:AU59,0)))/COUNTIF(H59:AU59,"&lt;&gt;"))</f>
        <v/>
      </c>
      <c r="H59" s="246"/>
      <c r="I59" s="246"/>
      <c r="J59" s="246"/>
      <c r="K59" s="246"/>
      <c r="L59" s="246"/>
      <c r="M59" s="246"/>
      <c r="N59" s="246"/>
      <c r="O59" s="246"/>
      <c r="P59" s="246"/>
      <c r="Q59" s="246"/>
      <c r="R59" s="246"/>
      <c r="S59" s="246"/>
      <c r="T59" s="246"/>
      <c r="U59" s="246"/>
      <c r="V59" s="246"/>
      <c r="W59" s="246"/>
      <c r="X59" s="246"/>
      <c r="Y59" s="246"/>
      <c r="Z59" s="246"/>
      <c r="AA59" s="246"/>
      <c r="AB59" s="246"/>
      <c r="AC59" s="246"/>
      <c r="AD59" s="246"/>
      <c r="AE59" s="246"/>
      <c r="AF59" s="246"/>
      <c r="AG59" s="246"/>
      <c r="AH59" s="246"/>
      <c r="AI59" s="246"/>
      <c r="AJ59" s="246"/>
      <c r="AK59" s="246"/>
      <c r="AL59" s="246"/>
      <c r="AM59" s="246"/>
      <c r="AN59" s="246"/>
      <c r="AO59" s="246"/>
      <c r="AP59" s="246"/>
      <c r="AQ59" s="246"/>
      <c r="AR59" s="246"/>
      <c r="AS59" s="246"/>
      <c r="AT59" s="246"/>
      <c r="AU59" s="260"/>
    </row>
    <row r="60" spans="1:47" ht="60" customHeight="1" outlineLevel="2" x14ac:dyDescent="0.35">
      <c r="A60" s="255" t="s">
        <v>3479</v>
      </c>
      <c r="B60" s="233" t="s">
        <v>3597</v>
      </c>
      <c r="C60" s="233"/>
      <c r="D60" s="237"/>
      <c r="E60" s="233"/>
      <c r="F60" s="241"/>
      <c r="G60" s="244" t="str">
        <f>IF(COUNTIF(H60:AU60,"&lt;&gt;")=0,"",SUMPRODUCT(((Recommendations[ImplStatus]="Implemented")+(Recommendations[ImplStatus]="Compensated"))*ISNUMBER(MATCH(Recommendations[Id],H60:AU60,0)))/COUNTIF(H60:AU60,"&lt;&gt;"))</f>
        <v/>
      </c>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59"/>
    </row>
    <row r="61" spans="1:47" ht="60" customHeight="1" x14ac:dyDescent="0.35">
      <c r="A61" s="256" t="s">
        <v>3479</v>
      </c>
      <c r="B61" s="234" t="s">
        <v>3597</v>
      </c>
      <c r="C61" s="235" t="s">
        <v>3598</v>
      </c>
      <c r="D61" s="238" t="s">
        <v>3599</v>
      </c>
      <c r="E61" s="239" t="s">
        <v>3483</v>
      </c>
      <c r="F61" s="242" t="s">
        <v>3600</v>
      </c>
      <c r="G61" s="245" t="str">
        <f>IF(COUNTIF(H61:AU61,"&lt;&gt;")=0,"",SUMPRODUCT(((Recommendations[ImplStatus]="Implemented")+(Recommendations[ImplStatus]="Compensated"))*ISNUMBER(MATCH(Recommendations[Id],H61:AU61,0)))/COUNTIF(H61:AU61,"&lt;&gt;"))</f>
        <v/>
      </c>
      <c r="H61" s="246"/>
      <c r="I61" s="246"/>
      <c r="J61" s="246"/>
      <c r="K61" s="246"/>
      <c r="L61" s="246"/>
      <c r="M61" s="246"/>
      <c r="N61" s="246"/>
      <c r="O61" s="246"/>
      <c r="P61" s="246"/>
      <c r="Q61" s="246"/>
      <c r="R61" s="246"/>
      <c r="S61" s="246"/>
      <c r="T61" s="246"/>
      <c r="U61" s="246"/>
      <c r="V61" s="246"/>
      <c r="W61" s="246"/>
      <c r="X61" s="246"/>
      <c r="Y61" s="246"/>
      <c r="Z61" s="246"/>
      <c r="AA61" s="246"/>
      <c r="AB61" s="246"/>
      <c r="AC61" s="246"/>
      <c r="AD61" s="246"/>
      <c r="AE61" s="246"/>
      <c r="AF61" s="246"/>
      <c r="AG61" s="246"/>
      <c r="AH61" s="246"/>
      <c r="AI61" s="246"/>
      <c r="AJ61" s="246"/>
      <c r="AK61" s="246"/>
      <c r="AL61" s="246"/>
      <c r="AM61" s="246"/>
      <c r="AN61" s="246"/>
      <c r="AO61" s="246"/>
      <c r="AP61" s="246"/>
      <c r="AQ61" s="246"/>
      <c r="AR61" s="246"/>
      <c r="AS61" s="246"/>
      <c r="AT61" s="246"/>
      <c r="AU61" s="260"/>
    </row>
    <row r="62" spans="1:47" ht="60" customHeight="1" x14ac:dyDescent="0.35">
      <c r="A62" s="256" t="s">
        <v>3479</v>
      </c>
      <c r="B62" s="234" t="s">
        <v>3597</v>
      </c>
      <c r="C62" s="235" t="s">
        <v>3601</v>
      </c>
      <c r="D62" s="238" t="s">
        <v>3602</v>
      </c>
      <c r="E62" s="239" t="s">
        <v>3483</v>
      </c>
      <c r="F62" s="242" t="s">
        <v>3600</v>
      </c>
      <c r="G62" s="245" t="str">
        <f>IF(COUNTIF(H62:AU62,"&lt;&gt;")=0,"",SUMPRODUCT(((Recommendations[ImplStatus]="Implemented")+(Recommendations[ImplStatus]="Compensated"))*ISNUMBER(MATCH(Recommendations[Id],H62:AU62,0)))/COUNTIF(H62:AU62,"&lt;&gt;"))</f>
        <v/>
      </c>
      <c r="H62" s="246"/>
      <c r="I62" s="246"/>
      <c r="J62" s="246"/>
      <c r="K62" s="246"/>
      <c r="L62" s="246"/>
      <c r="M62" s="246"/>
      <c r="N62" s="246"/>
      <c r="O62" s="246"/>
      <c r="P62" s="246"/>
      <c r="Q62" s="246"/>
      <c r="R62" s="246"/>
      <c r="S62" s="246"/>
      <c r="T62" s="246"/>
      <c r="U62" s="246"/>
      <c r="V62" s="246"/>
      <c r="W62" s="246"/>
      <c r="X62" s="246"/>
      <c r="Y62" s="246"/>
      <c r="Z62" s="246"/>
      <c r="AA62" s="246"/>
      <c r="AB62" s="246"/>
      <c r="AC62" s="246"/>
      <c r="AD62" s="246"/>
      <c r="AE62" s="246"/>
      <c r="AF62" s="246"/>
      <c r="AG62" s="246"/>
      <c r="AH62" s="246"/>
      <c r="AI62" s="246"/>
      <c r="AJ62" s="246"/>
      <c r="AK62" s="246"/>
      <c r="AL62" s="246"/>
      <c r="AM62" s="246"/>
      <c r="AN62" s="246"/>
      <c r="AO62" s="246"/>
      <c r="AP62" s="246"/>
      <c r="AQ62" s="246"/>
      <c r="AR62" s="246"/>
      <c r="AS62" s="246"/>
      <c r="AT62" s="246"/>
      <c r="AU62" s="260"/>
    </row>
    <row r="63" spans="1:47" ht="60" customHeight="1" x14ac:dyDescent="0.35">
      <c r="A63" s="256" t="s">
        <v>3479</v>
      </c>
      <c r="B63" s="234" t="s">
        <v>3597</v>
      </c>
      <c r="C63" s="235" t="s">
        <v>3603</v>
      </c>
      <c r="D63" s="238" t="s">
        <v>3604</v>
      </c>
      <c r="E63" s="239" t="s">
        <v>3483</v>
      </c>
      <c r="F63" s="242" t="s">
        <v>3600</v>
      </c>
      <c r="G63" s="245" t="str">
        <f>IF(COUNTIF(H63:AU63,"&lt;&gt;")=0,"",SUMPRODUCT(((Recommendations[ImplStatus]="Implemented")+(Recommendations[ImplStatus]="Compensated"))*ISNUMBER(MATCH(Recommendations[Id],H63:AU63,0)))/COUNTIF(H63:AU63,"&lt;&gt;"))</f>
        <v/>
      </c>
      <c r="H63" s="246"/>
      <c r="I63" s="246"/>
      <c r="J63" s="246"/>
      <c r="K63" s="246"/>
      <c r="L63" s="246"/>
      <c r="M63" s="246"/>
      <c r="N63" s="246"/>
      <c r="O63" s="246"/>
      <c r="P63" s="246"/>
      <c r="Q63" s="246"/>
      <c r="R63" s="246"/>
      <c r="S63" s="246"/>
      <c r="T63" s="246"/>
      <c r="U63" s="246"/>
      <c r="V63" s="246"/>
      <c r="W63" s="246"/>
      <c r="X63" s="246"/>
      <c r="Y63" s="246"/>
      <c r="Z63" s="246"/>
      <c r="AA63" s="246"/>
      <c r="AB63" s="246"/>
      <c r="AC63" s="246"/>
      <c r="AD63" s="246"/>
      <c r="AE63" s="246"/>
      <c r="AF63" s="246"/>
      <c r="AG63" s="246"/>
      <c r="AH63" s="246"/>
      <c r="AI63" s="246"/>
      <c r="AJ63" s="246"/>
      <c r="AK63" s="246"/>
      <c r="AL63" s="246"/>
      <c r="AM63" s="246"/>
      <c r="AN63" s="246"/>
      <c r="AO63" s="246"/>
      <c r="AP63" s="246"/>
      <c r="AQ63" s="246"/>
      <c r="AR63" s="246"/>
      <c r="AS63" s="246"/>
      <c r="AT63" s="246"/>
      <c r="AU63" s="260"/>
    </row>
    <row r="64" spans="1:47" ht="60" customHeight="1" x14ac:dyDescent="0.35">
      <c r="A64" s="256" t="s">
        <v>3479</v>
      </c>
      <c r="B64" s="234" t="s">
        <v>3597</v>
      </c>
      <c r="C64" s="235" t="s">
        <v>3605</v>
      </c>
      <c r="D64" s="238" t="s">
        <v>3606</v>
      </c>
      <c r="E64" s="239" t="s">
        <v>3483</v>
      </c>
      <c r="F64" s="242" t="s">
        <v>3600</v>
      </c>
      <c r="G64" s="245" t="str">
        <f>IF(COUNTIF(H64:AU64,"&lt;&gt;")=0,"",SUMPRODUCT(((Recommendations[ImplStatus]="Implemented")+(Recommendations[ImplStatus]="Compensated"))*ISNUMBER(MATCH(Recommendations[Id],H64:AU64,0)))/COUNTIF(H64:AU64,"&lt;&gt;"))</f>
        <v/>
      </c>
      <c r="H64" s="246"/>
      <c r="I64" s="246"/>
      <c r="J64" s="246"/>
      <c r="K64" s="246"/>
      <c r="L64" s="246"/>
      <c r="M64" s="246"/>
      <c r="N64" s="246"/>
      <c r="O64" s="246"/>
      <c r="P64" s="246"/>
      <c r="Q64" s="246"/>
      <c r="R64" s="246"/>
      <c r="S64" s="246"/>
      <c r="T64" s="246"/>
      <c r="U64" s="246"/>
      <c r="V64" s="246"/>
      <c r="W64" s="246"/>
      <c r="X64" s="246"/>
      <c r="Y64" s="246"/>
      <c r="Z64" s="246"/>
      <c r="AA64" s="246"/>
      <c r="AB64" s="246"/>
      <c r="AC64" s="246"/>
      <c r="AD64" s="246"/>
      <c r="AE64" s="246"/>
      <c r="AF64" s="246"/>
      <c r="AG64" s="246"/>
      <c r="AH64" s="246"/>
      <c r="AI64" s="246"/>
      <c r="AJ64" s="246"/>
      <c r="AK64" s="246"/>
      <c r="AL64" s="246"/>
      <c r="AM64" s="246"/>
      <c r="AN64" s="246"/>
      <c r="AO64" s="246"/>
      <c r="AP64" s="246"/>
      <c r="AQ64" s="246"/>
      <c r="AR64" s="246"/>
      <c r="AS64" s="246"/>
      <c r="AT64" s="246"/>
      <c r="AU64" s="260"/>
    </row>
    <row r="65" spans="1:47" ht="60" customHeight="1" x14ac:dyDescent="0.35">
      <c r="A65" s="256" t="s">
        <v>3479</v>
      </c>
      <c r="B65" s="234" t="s">
        <v>3597</v>
      </c>
      <c r="C65" s="235" t="s">
        <v>3607</v>
      </c>
      <c r="D65" s="238" t="s">
        <v>3608</v>
      </c>
      <c r="E65" s="239" t="s">
        <v>3483</v>
      </c>
      <c r="F65" s="242" t="s">
        <v>3600</v>
      </c>
      <c r="G65" s="245" t="str">
        <f>IF(COUNTIF(H65:AU65,"&lt;&gt;")=0,"",SUMPRODUCT(((Recommendations[ImplStatus]="Implemented")+(Recommendations[ImplStatus]="Compensated"))*ISNUMBER(MATCH(Recommendations[Id],H65:AU65,0)))/COUNTIF(H65:AU65,"&lt;&gt;"))</f>
        <v/>
      </c>
      <c r="H65" s="246"/>
      <c r="I65" s="246"/>
      <c r="J65" s="246"/>
      <c r="K65" s="246"/>
      <c r="L65" s="246"/>
      <c r="M65" s="246"/>
      <c r="N65" s="246"/>
      <c r="O65" s="246"/>
      <c r="P65" s="246"/>
      <c r="Q65" s="246"/>
      <c r="R65" s="246"/>
      <c r="S65" s="246"/>
      <c r="T65" s="246"/>
      <c r="U65" s="246"/>
      <c r="V65" s="246"/>
      <c r="W65" s="246"/>
      <c r="X65" s="246"/>
      <c r="Y65" s="246"/>
      <c r="Z65" s="246"/>
      <c r="AA65" s="246"/>
      <c r="AB65" s="246"/>
      <c r="AC65" s="246"/>
      <c r="AD65" s="246"/>
      <c r="AE65" s="246"/>
      <c r="AF65" s="246"/>
      <c r="AG65" s="246"/>
      <c r="AH65" s="246"/>
      <c r="AI65" s="246"/>
      <c r="AJ65" s="246"/>
      <c r="AK65" s="246"/>
      <c r="AL65" s="246"/>
      <c r="AM65" s="246"/>
      <c r="AN65" s="246"/>
      <c r="AO65" s="246"/>
      <c r="AP65" s="246"/>
      <c r="AQ65" s="246"/>
      <c r="AR65" s="246"/>
      <c r="AS65" s="246"/>
      <c r="AT65" s="246"/>
      <c r="AU65" s="260"/>
    </row>
    <row r="66" spans="1:47" ht="60" customHeight="1" x14ac:dyDescent="0.35">
      <c r="A66" s="256" t="s">
        <v>3479</v>
      </c>
      <c r="B66" s="234" t="s">
        <v>3597</v>
      </c>
      <c r="C66" s="235" t="s">
        <v>3609</v>
      </c>
      <c r="D66" s="238" t="s">
        <v>3610</v>
      </c>
      <c r="E66" s="239" t="s">
        <v>3483</v>
      </c>
      <c r="F66" s="242" t="s">
        <v>3600</v>
      </c>
      <c r="G66" s="245" t="str">
        <f>IF(COUNTIF(H66:AU66,"&lt;&gt;")=0,"",SUMPRODUCT(((Recommendations[ImplStatus]="Implemented")+(Recommendations[ImplStatus]="Compensated"))*ISNUMBER(MATCH(Recommendations[Id],H66:AU66,0)))/COUNTIF(H66:AU66,"&lt;&gt;"))</f>
        <v/>
      </c>
      <c r="H66" s="246"/>
      <c r="I66" s="246"/>
      <c r="J66" s="246"/>
      <c r="K66" s="246"/>
      <c r="L66" s="246"/>
      <c r="M66" s="246"/>
      <c r="N66" s="246"/>
      <c r="O66" s="246"/>
      <c r="P66" s="246"/>
      <c r="Q66" s="246"/>
      <c r="R66" s="246"/>
      <c r="S66" s="246"/>
      <c r="T66" s="246"/>
      <c r="U66" s="246"/>
      <c r="V66" s="246"/>
      <c r="W66" s="246"/>
      <c r="X66" s="246"/>
      <c r="Y66" s="246"/>
      <c r="Z66" s="246"/>
      <c r="AA66" s="246"/>
      <c r="AB66" s="246"/>
      <c r="AC66" s="246"/>
      <c r="AD66" s="246"/>
      <c r="AE66" s="246"/>
      <c r="AF66" s="246"/>
      <c r="AG66" s="246"/>
      <c r="AH66" s="246"/>
      <c r="AI66" s="246"/>
      <c r="AJ66" s="246"/>
      <c r="AK66" s="246"/>
      <c r="AL66" s="246"/>
      <c r="AM66" s="246"/>
      <c r="AN66" s="246"/>
      <c r="AO66" s="246"/>
      <c r="AP66" s="246"/>
      <c r="AQ66" s="246"/>
      <c r="AR66" s="246"/>
      <c r="AS66" s="246"/>
      <c r="AT66" s="246"/>
      <c r="AU66" s="260"/>
    </row>
    <row r="67" spans="1:47" ht="60" customHeight="1" x14ac:dyDescent="0.35">
      <c r="A67" s="256" t="s">
        <v>3479</v>
      </c>
      <c r="B67" s="234" t="s">
        <v>3597</v>
      </c>
      <c r="C67" s="235" t="s">
        <v>3611</v>
      </c>
      <c r="D67" s="238" t="s">
        <v>3612</v>
      </c>
      <c r="E67" s="239" t="s">
        <v>3483</v>
      </c>
      <c r="F67" s="242" t="s">
        <v>3600</v>
      </c>
      <c r="G67" s="245" t="str">
        <f>IF(COUNTIF(H67:AU67,"&lt;&gt;")=0,"",SUMPRODUCT(((Recommendations[ImplStatus]="Implemented")+(Recommendations[ImplStatus]="Compensated"))*ISNUMBER(MATCH(Recommendations[Id],H67:AU67,0)))/COUNTIF(H67:AU67,"&lt;&gt;"))</f>
        <v/>
      </c>
      <c r="H67" s="246"/>
      <c r="I67" s="246"/>
      <c r="J67" s="246"/>
      <c r="K67" s="246"/>
      <c r="L67" s="246"/>
      <c r="M67" s="246"/>
      <c r="N67" s="246"/>
      <c r="O67" s="246"/>
      <c r="P67" s="246"/>
      <c r="Q67" s="246"/>
      <c r="R67" s="246"/>
      <c r="S67" s="246"/>
      <c r="T67" s="246"/>
      <c r="U67" s="246"/>
      <c r="V67" s="246"/>
      <c r="W67" s="246"/>
      <c r="X67" s="246"/>
      <c r="Y67" s="246"/>
      <c r="Z67" s="246"/>
      <c r="AA67" s="246"/>
      <c r="AB67" s="246"/>
      <c r="AC67" s="246"/>
      <c r="AD67" s="246"/>
      <c r="AE67" s="246"/>
      <c r="AF67" s="246"/>
      <c r="AG67" s="246"/>
      <c r="AH67" s="246"/>
      <c r="AI67" s="246"/>
      <c r="AJ67" s="246"/>
      <c r="AK67" s="246"/>
      <c r="AL67" s="246"/>
      <c r="AM67" s="246"/>
      <c r="AN67" s="246"/>
      <c r="AO67" s="246"/>
      <c r="AP67" s="246"/>
      <c r="AQ67" s="246"/>
      <c r="AR67" s="246"/>
      <c r="AS67" s="246"/>
      <c r="AT67" s="246"/>
      <c r="AU67" s="260"/>
    </row>
    <row r="68" spans="1:47" ht="60" customHeight="1" x14ac:dyDescent="0.35">
      <c r="A68" s="256" t="s">
        <v>3479</v>
      </c>
      <c r="B68" s="234" t="s">
        <v>3597</v>
      </c>
      <c r="C68" s="235" t="s">
        <v>3613</v>
      </c>
      <c r="D68" s="238" t="s">
        <v>3614</v>
      </c>
      <c r="E68" s="239" t="s">
        <v>3483</v>
      </c>
      <c r="F68" s="242" t="s">
        <v>3615</v>
      </c>
      <c r="G68" s="245" t="str">
        <f>IF(COUNTIF(H68:AU68,"&lt;&gt;")=0,"",SUMPRODUCT(((Recommendations[ImplStatus]="Implemented")+(Recommendations[ImplStatus]="Compensated"))*ISNUMBER(MATCH(Recommendations[Id],H68:AU68,0)))/COUNTIF(H68:AU68,"&lt;&gt;"))</f>
        <v/>
      </c>
      <c r="H68" s="246"/>
      <c r="I68" s="246"/>
      <c r="J68" s="246"/>
      <c r="K68" s="246"/>
      <c r="L68" s="246"/>
      <c r="M68" s="246"/>
      <c r="N68" s="246"/>
      <c r="O68" s="246"/>
      <c r="P68" s="246"/>
      <c r="Q68" s="246"/>
      <c r="R68" s="246"/>
      <c r="S68" s="246"/>
      <c r="T68" s="246"/>
      <c r="U68" s="246"/>
      <c r="V68" s="246"/>
      <c r="W68" s="246"/>
      <c r="X68" s="246"/>
      <c r="Y68" s="246"/>
      <c r="Z68" s="246"/>
      <c r="AA68" s="246"/>
      <c r="AB68" s="246"/>
      <c r="AC68" s="246"/>
      <c r="AD68" s="246"/>
      <c r="AE68" s="246"/>
      <c r="AF68" s="246"/>
      <c r="AG68" s="246"/>
      <c r="AH68" s="246"/>
      <c r="AI68" s="246"/>
      <c r="AJ68" s="246"/>
      <c r="AK68" s="246"/>
      <c r="AL68" s="246"/>
      <c r="AM68" s="246"/>
      <c r="AN68" s="246"/>
      <c r="AO68" s="246"/>
      <c r="AP68" s="246"/>
      <c r="AQ68" s="246"/>
      <c r="AR68" s="246"/>
      <c r="AS68" s="246"/>
      <c r="AT68" s="246"/>
      <c r="AU68" s="260"/>
    </row>
    <row r="69" spans="1:47" ht="60" customHeight="1" x14ac:dyDescent="0.35">
      <c r="A69" s="256" t="s">
        <v>3479</v>
      </c>
      <c r="B69" s="234" t="s">
        <v>3597</v>
      </c>
      <c r="C69" s="235" t="s">
        <v>3616</v>
      </c>
      <c r="D69" s="238" t="s">
        <v>3617</v>
      </c>
      <c r="E69" s="239" t="s">
        <v>3483</v>
      </c>
      <c r="F69" s="242" t="s">
        <v>3615</v>
      </c>
      <c r="G69" s="245" t="str">
        <f>IF(COUNTIF(H69:AU69,"&lt;&gt;")=0,"",SUMPRODUCT(((Recommendations[ImplStatus]="Implemented")+(Recommendations[ImplStatus]="Compensated"))*ISNUMBER(MATCH(Recommendations[Id],H69:AU69,0)))/COUNTIF(H69:AU69,"&lt;&gt;"))</f>
        <v/>
      </c>
      <c r="H69" s="246"/>
      <c r="I69" s="246"/>
      <c r="J69" s="246"/>
      <c r="K69" s="246"/>
      <c r="L69" s="246"/>
      <c r="M69" s="246"/>
      <c r="N69" s="246"/>
      <c r="O69" s="246"/>
      <c r="P69" s="246"/>
      <c r="Q69" s="246"/>
      <c r="R69" s="246"/>
      <c r="S69" s="246"/>
      <c r="T69" s="246"/>
      <c r="U69" s="246"/>
      <c r="V69" s="246"/>
      <c r="W69" s="246"/>
      <c r="X69" s="246"/>
      <c r="Y69" s="246"/>
      <c r="Z69" s="246"/>
      <c r="AA69" s="246"/>
      <c r="AB69" s="246"/>
      <c r="AC69" s="246"/>
      <c r="AD69" s="246"/>
      <c r="AE69" s="246"/>
      <c r="AF69" s="246"/>
      <c r="AG69" s="246"/>
      <c r="AH69" s="246"/>
      <c r="AI69" s="246"/>
      <c r="AJ69" s="246"/>
      <c r="AK69" s="246"/>
      <c r="AL69" s="246"/>
      <c r="AM69" s="246"/>
      <c r="AN69" s="246"/>
      <c r="AO69" s="246"/>
      <c r="AP69" s="246"/>
      <c r="AQ69" s="246"/>
      <c r="AR69" s="246"/>
      <c r="AS69" s="246"/>
      <c r="AT69" s="246"/>
      <c r="AU69" s="260"/>
    </row>
    <row r="70" spans="1:47" ht="60" customHeight="1" x14ac:dyDescent="0.35">
      <c r="A70" s="256" t="s">
        <v>3479</v>
      </c>
      <c r="B70" s="234" t="s">
        <v>3597</v>
      </c>
      <c r="C70" s="235" t="s">
        <v>3618</v>
      </c>
      <c r="D70" s="238" t="s">
        <v>3619</v>
      </c>
      <c r="E70" s="239" t="s">
        <v>3483</v>
      </c>
      <c r="F70" s="242" t="s">
        <v>3615</v>
      </c>
      <c r="G70" s="245" t="str">
        <f>IF(COUNTIF(H70:AU70,"&lt;&gt;")=0,"",SUMPRODUCT(((Recommendations[ImplStatus]="Implemented")+(Recommendations[ImplStatus]="Compensated"))*ISNUMBER(MATCH(Recommendations[Id],H70:AU70,0)))/COUNTIF(H70:AU70,"&lt;&gt;"))</f>
        <v/>
      </c>
      <c r="H70" s="246"/>
      <c r="I70" s="246"/>
      <c r="J70" s="246"/>
      <c r="K70" s="246"/>
      <c r="L70" s="246"/>
      <c r="M70" s="246"/>
      <c r="N70" s="246"/>
      <c r="O70" s="246"/>
      <c r="P70" s="246"/>
      <c r="Q70" s="246"/>
      <c r="R70" s="246"/>
      <c r="S70" s="246"/>
      <c r="T70" s="246"/>
      <c r="U70" s="246"/>
      <c r="V70" s="246"/>
      <c r="W70" s="246"/>
      <c r="X70" s="246"/>
      <c r="Y70" s="246"/>
      <c r="Z70" s="246"/>
      <c r="AA70" s="246"/>
      <c r="AB70" s="246"/>
      <c r="AC70" s="246"/>
      <c r="AD70" s="246"/>
      <c r="AE70" s="246"/>
      <c r="AF70" s="246"/>
      <c r="AG70" s="246"/>
      <c r="AH70" s="246"/>
      <c r="AI70" s="246"/>
      <c r="AJ70" s="246"/>
      <c r="AK70" s="246"/>
      <c r="AL70" s="246"/>
      <c r="AM70" s="246"/>
      <c r="AN70" s="246"/>
      <c r="AO70" s="246"/>
      <c r="AP70" s="246"/>
      <c r="AQ70" s="246"/>
      <c r="AR70" s="246"/>
      <c r="AS70" s="246"/>
      <c r="AT70" s="246"/>
      <c r="AU70" s="260"/>
    </row>
    <row r="71" spans="1:47" ht="60" customHeight="1" x14ac:dyDescent="0.35">
      <c r="A71" s="256" t="s">
        <v>3479</v>
      </c>
      <c r="B71" s="234" t="s">
        <v>3597</v>
      </c>
      <c r="C71" s="235" t="s">
        <v>3620</v>
      </c>
      <c r="D71" s="238" t="s">
        <v>3621</v>
      </c>
      <c r="E71" s="239" t="s">
        <v>3483</v>
      </c>
      <c r="F71" s="242" t="s">
        <v>3622</v>
      </c>
      <c r="G71" s="245" t="str">
        <f>IF(COUNTIF(H71:AU71,"&lt;&gt;")=0,"",SUMPRODUCT(((Recommendations[ImplStatus]="Implemented")+(Recommendations[ImplStatus]="Compensated"))*ISNUMBER(MATCH(Recommendations[Id],H71:AU71,0)))/COUNTIF(H71:AU71,"&lt;&gt;"))</f>
        <v/>
      </c>
      <c r="H71" s="246"/>
      <c r="I71" s="246"/>
      <c r="J71" s="246"/>
      <c r="K71" s="246"/>
      <c r="L71" s="246"/>
      <c r="M71" s="246"/>
      <c r="N71" s="246"/>
      <c r="O71" s="246"/>
      <c r="P71" s="246"/>
      <c r="Q71" s="246"/>
      <c r="R71" s="246"/>
      <c r="S71" s="246"/>
      <c r="T71" s="246"/>
      <c r="U71" s="246"/>
      <c r="V71" s="246"/>
      <c r="W71" s="246"/>
      <c r="X71" s="246"/>
      <c r="Y71" s="246"/>
      <c r="Z71" s="246"/>
      <c r="AA71" s="246"/>
      <c r="AB71" s="246"/>
      <c r="AC71" s="246"/>
      <c r="AD71" s="246"/>
      <c r="AE71" s="246"/>
      <c r="AF71" s="246"/>
      <c r="AG71" s="246"/>
      <c r="AH71" s="246"/>
      <c r="AI71" s="246"/>
      <c r="AJ71" s="246"/>
      <c r="AK71" s="246"/>
      <c r="AL71" s="246"/>
      <c r="AM71" s="246"/>
      <c r="AN71" s="246"/>
      <c r="AO71" s="246"/>
      <c r="AP71" s="246"/>
      <c r="AQ71" s="246"/>
      <c r="AR71" s="246"/>
      <c r="AS71" s="246"/>
      <c r="AT71" s="246"/>
      <c r="AU71" s="260"/>
    </row>
    <row r="72" spans="1:47" ht="60" customHeight="1" x14ac:dyDescent="0.35">
      <c r="A72" s="256" t="s">
        <v>3479</v>
      </c>
      <c r="B72" s="234" t="s">
        <v>3597</v>
      </c>
      <c r="C72" s="235" t="s">
        <v>3623</v>
      </c>
      <c r="D72" s="238" t="s">
        <v>3624</v>
      </c>
      <c r="E72" s="239" t="s">
        <v>3483</v>
      </c>
      <c r="F72" s="242" t="s">
        <v>3600</v>
      </c>
      <c r="G72" s="245" t="str">
        <f>IF(COUNTIF(H72:AU72,"&lt;&gt;")=0,"",SUMPRODUCT(((Recommendations[ImplStatus]="Implemented")+(Recommendations[ImplStatus]="Compensated"))*ISNUMBER(MATCH(Recommendations[Id],H72:AU72,0)))/COUNTIF(H72:AU72,"&lt;&gt;"))</f>
        <v/>
      </c>
      <c r="H72" s="246"/>
      <c r="I72" s="246"/>
      <c r="J72" s="246"/>
      <c r="K72" s="246"/>
      <c r="L72" s="246"/>
      <c r="M72" s="246"/>
      <c r="N72" s="246"/>
      <c r="O72" s="246"/>
      <c r="P72" s="246"/>
      <c r="Q72" s="246"/>
      <c r="R72" s="246"/>
      <c r="S72" s="246"/>
      <c r="T72" s="246"/>
      <c r="U72" s="246"/>
      <c r="V72" s="246"/>
      <c r="W72" s="246"/>
      <c r="X72" s="246"/>
      <c r="Y72" s="246"/>
      <c r="Z72" s="246"/>
      <c r="AA72" s="246"/>
      <c r="AB72" s="246"/>
      <c r="AC72" s="246"/>
      <c r="AD72" s="246"/>
      <c r="AE72" s="246"/>
      <c r="AF72" s="246"/>
      <c r="AG72" s="246"/>
      <c r="AH72" s="246"/>
      <c r="AI72" s="246"/>
      <c r="AJ72" s="246"/>
      <c r="AK72" s="246"/>
      <c r="AL72" s="246"/>
      <c r="AM72" s="246"/>
      <c r="AN72" s="246"/>
      <c r="AO72" s="246"/>
      <c r="AP72" s="246"/>
      <c r="AQ72" s="246"/>
      <c r="AR72" s="246"/>
      <c r="AS72" s="246"/>
      <c r="AT72" s="246"/>
      <c r="AU72" s="260"/>
    </row>
    <row r="73" spans="1:47" ht="60" customHeight="1" x14ac:dyDescent="0.35">
      <c r="A73" s="256" t="s">
        <v>3479</v>
      </c>
      <c r="B73" s="234" t="s">
        <v>3597</v>
      </c>
      <c r="C73" s="235" t="s">
        <v>3625</v>
      </c>
      <c r="D73" s="238" t="s">
        <v>3626</v>
      </c>
      <c r="E73" s="239" t="s">
        <v>3627</v>
      </c>
      <c r="F73" s="242" t="s">
        <v>3600</v>
      </c>
      <c r="G73" s="245" t="str">
        <f>IF(COUNTIF(H73:AU73,"&lt;&gt;")=0,"",SUMPRODUCT(((Recommendations[ImplStatus]="Implemented")+(Recommendations[ImplStatus]="Compensated"))*ISNUMBER(MATCH(Recommendations[Id],H73:AU73,0)))/COUNTIF(H73:AU73,"&lt;&gt;"))</f>
        <v/>
      </c>
      <c r="H73" s="246"/>
      <c r="I73" s="246"/>
      <c r="J73" s="246"/>
      <c r="K73" s="246"/>
      <c r="L73" s="246"/>
      <c r="M73" s="246"/>
      <c r="N73" s="246"/>
      <c r="O73" s="246"/>
      <c r="P73" s="246"/>
      <c r="Q73" s="246"/>
      <c r="R73" s="246"/>
      <c r="S73" s="246"/>
      <c r="T73" s="246"/>
      <c r="U73" s="246"/>
      <c r="V73" s="246"/>
      <c r="W73" s="246"/>
      <c r="X73" s="246"/>
      <c r="Y73" s="246"/>
      <c r="Z73" s="246"/>
      <c r="AA73" s="246"/>
      <c r="AB73" s="246"/>
      <c r="AC73" s="246"/>
      <c r="AD73" s="246"/>
      <c r="AE73" s="246"/>
      <c r="AF73" s="246"/>
      <c r="AG73" s="246"/>
      <c r="AH73" s="246"/>
      <c r="AI73" s="246"/>
      <c r="AJ73" s="246"/>
      <c r="AK73" s="246"/>
      <c r="AL73" s="246"/>
      <c r="AM73" s="246"/>
      <c r="AN73" s="246"/>
      <c r="AO73" s="246"/>
      <c r="AP73" s="246"/>
      <c r="AQ73" s="246"/>
      <c r="AR73" s="246"/>
      <c r="AS73" s="246"/>
      <c r="AT73" s="246"/>
      <c r="AU73" s="260"/>
    </row>
    <row r="74" spans="1:47" ht="60" customHeight="1" outlineLevel="2" x14ac:dyDescent="0.35">
      <c r="A74" s="255" t="s">
        <v>3479</v>
      </c>
      <c r="B74" s="233" t="s">
        <v>3628</v>
      </c>
      <c r="C74" s="233"/>
      <c r="D74" s="237"/>
      <c r="E74" s="233"/>
      <c r="F74" s="241"/>
      <c r="G74" s="244" t="str">
        <f>IF(COUNTIF(H74:AU74,"&lt;&gt;")=0,"",SUMPRODUCT(((Recommendations[ImplStatus]="Implemented")+(Recommendations[ImplStatus]="Compensated"))*ISNUMBER(MATCH(Recommendations[Id],H74:AU74,0)))/COUNTIF(H74:AU74,"&lt;&gt;"))</f>
        <v/>
      </c>
      <c r="H74" s="241"/>
      <c r="I74" s="241"/>
      <c r="J74" s="241"/>
      <c r="K74" s="241"/>
      <c r="L74" s="241"/>
      <c r="M74" s="241"/>
      <c r="N74" s="241"/>
      <c r="O74" s="241"/>
      <c r="P74" s="241"/>
      <c r="Q74" s="241"/>
      <c r="R74" s="241"/>
      <c r="S74" s="241"/>
      <c r="T74" s="241"/>
      <c r="U74" s="241"/>
      <c r="V74" s="241"/>
      <c r="W74" s="241"/>
      <c r="X74" s="241"/>
      <c r="Y74" s="241"/>
      <c r="Z74" s="241"/>
      <c r="AA74" s="241"/>
      <c r="AB74" s="241"/>
      <c r="AC74" s="241"/>
      <c r="AD74" s="241"/>
      <c r="AE74" s="241"/>
      <c r="AF74" s="241"/>
      <c r="AG74" s="241"/>
      <c r="AH74" s="241"/>
      <c r="AI74" s="241"/>
      <c r="AJ74" s="241"/>
      <c r="AK74" s="241"/>
      <c r="AL74" s="241"/>
      <c r="AM74" s="241"/>
      <c r="AN74" s="241"/>
      <c r="AO74" s="241"/>
      <c r="AP74" s="241"/>
      <c r="AQ74" s="241"/>
      <c r="AR74" s="241"/>
      <c r="AS74" s="241"/>
      <c r="AT74" s="241"/>
      <c r="AU74" s="259"/>
    </row>
    <row r="75" spans="1:47" ht="60" customHeight="1" x14ac:dyDescent="0.35">
      <c r="A75" s="256" t="s">
        <v>3479</v>
      </c>
      <c r="B75" s="234" t="s">
        <v>3628</v>
      </c>
      <c r="C75" s="235" t="s">
        <v>3629</v>
      </c>
      <c r="D75" s="238" t="s">
        <v>3630</v>
      </c>
      <c r="E75" s="239" t="s">
        <v>3627</v>
      </c>
      <c r="F75" s="242" t="s">
        <v>3631</v>
      </c>
      <c r="G75" s="245" t="str">
        <f>IF(COUNTIF(H75:AU75,"&lt;&gt;")=0,"",SUMPRODUCT(((Recommendations[ImplStatus]="Implemented")+(Recommendations[ImplStatus]="Compensated"))*ISNUMBER(MATCH(Recommendations[Id],H75:AU75,0)))/COUNTIF(H75:AU75,"&lt;&gt;"))</f>
        <v/>
      </c>
      <c r="H75" s="246"/>
      <c r="I75" s="246"/>
      <c r="J75" s="246"/>
      <c r="K75" s="246"/>
      <c r="L75" s="246"/>
      <c r="M75" s="246"/>
      <c r="N75" s="246"/>
      <c r="O75" s="246"/>
      <c r="P75" s="246"/>
      <c r="Q75" s="246"/>
      <c r="R75" s="246"/>
      <c r="S75" s="246"/>
      <c r="T75" s="246"/>
      <c r="U75" s="246"/>
      <c r="V75" s="246"/>
      <c r="W75" s="246"/>
      <c r="X75" s="246"/>
      <c r="Y75" s="246"/>
      <c r="Z75" s="246"/>
      <c r="AA75" s="246"/>
      <c r="AB75" s="246"/>
      <c r="AC75" s="246"/>
      <c r="AD75" s="246"/>
      <c r="AE75" s="246"/>
      <c r="AF75" s="246"/>
      <c r="AG75" s="246"/>
      <c r="AH75" s="246"/>
      <c r="AI75" s="246"/>
      <c r="AJ75" s="246"/>
      <c r="AK75" s="246"/>
      <c r="AL75" s="246"/>
      <c r="AM75" s="246"/>
      <c r="AN75" s="246"/>
      <c r="AO75" s="246"/>
      <c r="AP75" s="246"/>
      <c r="AQ75" s="246"/>
      <c r="AR75" s="246"/>
      <c r="AS75" s="246"/>
      <c r="AT75" s="246"/>
      <c r="AU75" s="260"/>
    </row>
    <row r="76" spans="1:47" ht="60" customHeight="1" x14ac:dyDescent="0.35">
      <c r="A76" s="256" t="s">
        <v>3479</v>
      </c>
      <c r="B76" s="234" t="s">
        <v>3628</v>
      </c>
      <c r="C76" s="235" t="s">
        <v>3632</v>
      </c>
      <c r="D76" s="238" t="s">
        <v>3633</v>
      </c>
      <c r="E76" s="239" t="s">
        <v>3627</v>
      </c>
      <c r="F76" s="242" t="s">
        <v>3631</v>
      </c>
      <c r="G76" s="245" t="str">
        <f>IF(COUNTIF(H76:AU76,"&lt;&gt;")=0,"",SUMPRODUCT(((Recommendations[ImplStatus]="Implemented")+(Recommendations[ImplStatus]="Compensated"))*ISNUMBER(MATCH(Recommendations[Id],H76:AU76,0)))/COUNTIF(H76:AU76,"&lt;&gt;"))</f>
        <v/>
      </c>
      <c r="H76" s="246"/>
      <c r="I76" s="246"/>
      <c r="J76" s="246"/>
      <c r="K76" s="246"/>
      <c r="L76" s="246"/>
      <c r="M76" s="246"/>
      <c r="N76" s="246"/>
      <c r="O76" s="246"/>
      <c r="P76" s="246"/>
      <c r="Q76" s="246"/>
      <c r="R76" s="246"/>
      <c r="S76" s="246"/>
      <c r="T76" s="246"/>
      <c r="U76" s="246"/>
      <c r="V76" s="246"/>
      <c r="W76" s="246"/>
      <c r="X76" s="246"/>
      <c r="Y76" s="246"/>
      <c r="Z76" s="246"/>
      <c r="AA76" s="246"/>
      <c r="AB76" s="246"/>
      <c r="AC76" s="246"/>
      <c r="AD76" s="246"/>
      <c r="AE76" s="246"/>
      <c r="AF76" s="246"/>
      <c r="AG76" s="246"/>
      <c r="AH76" s="246"/>
      <c r="AI76" s="246"/>
      <c r="AJ76" s="246"/>
      <c r="AK76" s="246"/>
      <c r="AL76" s="246"/>
      <c r="AM76" s="246"/>
      <c r="AN76" s="246"/>
      <c r="AO76" s="246"/>
      <c r="AP76" s="246"/>
      <c r="AQ76" s="246"/>
      <c r="AR76" s="246"/>
      <c r="AS76" s="246"/>
      <c r="AT76" s="246"/>
      <c r="AU76" s="260"/>
    </row>
    <row r="77" spans="1:47" ht="60" customHeight="1" x14ac:dyDescent="0.35">
      <c r="A77" s="256" t="s">
        <v>3479</v>
      </c>
      <c r="B77" s="234" t="s">
        <v>3628</v>
      </c>
      <c r="C77" s="235" t="s">
        <v>3634</v>
      </c>
      <c r="D77" s="238" t="s">
        <v>3635</v>
      </c>
      <c r="E77" s="239" t="s">
        <v>3627</v>
      </c>
      <c r="F77" s="242" t="s">
        <v>3631</v>
      </c>
      <c r="G77" s="245" t="str">
        <f>IF(COUNTIF(H77:AU77,"&lt;&gt;")=0,"",SUMPRODUCT(((Recommendations[ImplStatus]="Implemented")+(Recommendations[ImplStatus]="Compensated"))*ISNUMBER(MATCH(Recommendations[Id],H77:AU77,0)))/COUNTIF(H77:AU77,"&lt;&gt;"))</f>
        <v/>
      </c>
      <c r="H77" s="246"/>
      <c r="I77" s="246"/>
      <c r="J77" s="246"/>
      <c r="K77" s="246"/>
      <c r="L77" s="246"/>
      <c r="M77" s="246"/>
      <c r="N77" s="246"/>
      <c r="O77" s="246"/>
      <c r="P77" s="246"/>
      <c r="Q77" s="246"/>
      <c r="R77" s="246"/>
      <c r="S77" s="246"/>
      <c r="T77" s="246"/>
      <c r="U77" s="246"/>
      <c r="V77" s="246"/>
      <c r="W77" s="246"/>
      <c r="X77" s="246"/>
      <c r="Y77" s="246"/>
      <c r="Z77" s="246"/>
      <c r="AA77" s="246"/>
      <c r="AB77" s="246"/>
      <c r="AC77" s="246"/>
      <c r="AD77" s="246"/>
      <c r="AE77" s="246"/>
      <c r="AF77" s="246"/>
      <c r="AG77" s="246"/>
      <c r="AH77" s="246"/>
      <c r="AI77" s="246"/>
      <c r="AJ77" s="246"/>
      <c r="AK77" s="246"/>
      <c r="AL77" s="246"/>
      <c r="AM77" s="246"/>
      <c r="AN77" s="246"/>
      <c r="AO77" s="246"/>
      <c r="AP77" s="246"/>
      <c r="AQ77" s="246"/>
      <c r="AR77" s="246"/>
      <c r="AS77" s="246"/>
      <c r="AT77" s="246"/>
      <c r="AU77" s="260"/>
    </row>
    <row r="78" spans="1:47" ht="60" customHeight="1" x14ac:dyDescent="0.35">
      <c r="A78" s="256" t="s">
        <v>3479</v>
      </c>
      <c r="B78" s="234" t="s">
        <v>3628</v>
      </c>
      <c r="C78" s="235" t="s">
        <v>3636</v>
      </c>
      <c r="D78" s="238" t="s">
        <v>3637</v>
      </c>
      <c r="E78" s="239" t="s">
        <v>3627</v>
      </c>
      <c r="F78" s="242" t="s">
        <v>3631</v>
      </c>
      <c r="G78" s="245" t="str">
        <f>IF(COUNTIF(H78:AU78,"&lt;&gt;")=0,"",SUMPRODUCT(((Recommendations[ImplStatus]="Implemented")+(Recommendations[ImplStatus]="Compensated"))*ISNUMBER(MATCH(Recommendations[Id],H78:AU78,0)))/COUNTIF(H78:AU78,"&lt;&gt;"))</f>
        <v/>
      </c>
      <c r="H78" s="246"/>
      <c r="I78" s="246"/>
      <c r="J78" s="246"/>
      <c r="K78" s="246"/>
      <c r="L78" s="246"/>
      <c r="M78" s="246"/>
      <c r="N78" s="246"/>
      <c r="O78" s="246"/>
      <c r="P78" s="246"/>
      <c r="Q78" s="246"/>
      <c r="R78" s="246"/>
      <c r="S78" s="246"/>
      <c r="T78" s="246"/>
      <c r="U78" s="246"/>
      <c r="V78" s="246"/>
      <c r="W78" s="246"/>
      <c r="X78" s="246"/>
      <c r="Y78" s="246"/>
      <c r="Z78" s="246"/>
      <c r="AA78" s="246"/>
      <c r="AB78" s="246"/>
      <c r="AC78" s="246"/>
      <c r="AD78" s="246"/>
      <c r="AE78" s="246"/>
      <c r="AF78" s="246"/>
      <c r="AG78" s="246"/>
      <c r="AH78" s="246"/>
      <c r="AI78" s="246"/>
      <c r="AJ78" s="246"/>
      <c r="AK78" s="246"/>
      <c r="AL78" s="246"/>
      <c r="AM78" s="246"/>
      <c r="AN78" s="246"/>
      <c r="AO78" s="246"/>
      <c r="AP78" s="246"/>
      <c r="AQ78" s="246"/>
      <c r="AR78" s="246"/>
      <c r="AS78" s="246"/>
      <c r="AT78" s="246"/>
      <c r="AU78" s="260"/>
    </row>
    <row r="79" spans="1:47" ht="60" customHeight="1" x14ac:dyDescent="0.35">
      <c r="A79" s="256" t="s">
        <v>3479</v>
      </c>
      <c r="B79" s="234" t="s">
        <v>3628</v>
      </c>
      <c r="C79" s="235" t="s">
        <v>3638</v>
      </c>
      <c r="D79" s="238" t="s">
        <v>3639</v>
      </c>
      <c r="E79" s="239" t="s">
        <v>3627</v>
      </c>
      <c r="F79" s="242" t="s">
        <v>3631</v>
      </c>
      <c r="G79" s="245" t="str">
        <f>IF(COUNTIF(H79:AU79,"&lt;&gt;")=0,"",SUMPRODUCT(((Recommendations[ImplStatus]="Implemented")+(Recommendations[ImplStatus]="Compensated"))*ISNUMBER(MATCH(Recommendations[Id],H79:AU79,0)))/COUNTIF(H79:AU79,"&lt;&gt;"))</f>
        <v/>
      </c>
      <c r="H79" s="246"/>
      <c r="I79" s="246"/>
      <c r="J79" s="246"/>
      <c r="K79" s="246"/>
      <c r="L79" s="246"/>
      <c r="M79" s="246"/>
      <c r="N79" s="246"/>
      <c r="O79" s="246"/>
      <c r="P79" s="246"/>
      <c r="Q79" s="246"/>
      <c r="R79" s="246"/>
      <c r="S79" s="246"/>
      <c r="T79" s="246"/>
      <c r="U79" s="246"/>
      <c r="V79" s="246"/>
      <c r="W79" s="246"/>
      <c r="X79" s="246"/>
      <c r="Y79" s="246"/>
      <c r="Z79" s="246"/>
      <c r="AA79" s="246"/>
      <c r="AB79" s="246"/>
      <c r="AC79" s="246"/>
      <c r="AD79" s="246"/>
      <c r="AE79" s="246"/>
      <c r="AF79" s="246"/>
      <c r="AG79" s="246"/>
      <c r="AH79" s="246"/>
      <c r="AI79" s="246"/>
      <c r="AJ79" s="246"/>
      <c r="AK79" s="246"/>
      <c r="AL79" s="246"/>
      <c r="AM79" s="246"/>
      <c r="AN79" s="246"/>
      <c r="AO79" s="246"/>
      <c r="AP79" s="246"/>
      <c r="AQ79" s="246"/>
      <c r="AR79" s="246"/>
      <c r="AS79" s="246"/>
      <c r="AT79" s="246"/>
      <c r="AU79" s="260"/>
    </row>
    <row r="80" spans="1:47" ht="60" customHeight="1" x14ac:dyDescent="0.35">
      <c r="A80" s="256" t="s">
        <v>3479</v>
      </c>
      <c r="B80" s="234" t="s">
        <v>3628</v>
      </c>
      <c r="C80" s="235" t="s">
        <v>3640</v>
      </c>
      <c r="D80" s="238" t="s">
        <v>3641</v>
      </c>
      <c r="E80" s="239" t="s">
        <v>3627</v>
      </c>
      <c r="F80" s="242" t="s">
        <v>3631</v>
      </c>
      <c r="G80" s="245" t="str">
        <f>IF(COUNTIF(H80:AU80,"&lt;&gt;")=0,"",SUMPRODUCT(((Recommendations[ImplStatus]="Implemented")+(Recommendations[ImplStatus]="Compensated"))*ISNUMBER(MATCH(Recommendations[Id],H80:AU80,0)))/COUNTIF(H80:AU80,"&lt;&gt;"))</f>
        <v/>
      </c>
      <c r="H80" s="246"/>
      <c r="I80" s="246"/>
      <c r="J80" s="246"/>
      <c r="K80" s="246"/>
      <c r="L80" s="246"/>
      <c r="M80" s="246"/>
      <c r="N80" s="246"/>
      <c r="O80" s="246"/>
      <c r="P80" s="246"/>
      <c r="Q80" s="246"/>
      <c r="R80" s="246"/>
      <c r="S80" s="246"/>
      <c r="T80" s="246"/>
      <c r="U80" s="246"/>
      <c r="V80" s="246"/>
      <c r="W80" s="246"/>
      <c r="X80" s="246"/>
      <c r="Y80" s="246"/>
      <c r="Z80" s="246"/>
      <c r="AA80" s="246"/>
      <c r="AB80" s="246"/>
      <c r="AC80" s="246"/>
      <c r="AD80" s="246"/>
      <c r="AE80" s="246"/>
      <c r="AF80" s="246"/>
      <c r="AG80" s="246"/>
      <c r="AH80" s="246"/>
      <c r="AI80" s="246"/>
      <c r="AJ80" s="246"/>
      <c r="AK80" s="246"/>
      <c r="AL80" s="246"/>
      <c r="AM80" s="246"/>
      <c r="AN80" s="246"/>
      <c r="AO80" s="246"/>
      <c r="AP80" s="246"/>
      <c r="AQ80" s="246"/>
      <c r="AR80" s="246"/>
      <c r="AS80" s="246"/>
      <c r="AT80" s="246"/>
      <c r="AU80" s="260"/>
    </row>
    <row r="81" spans="1:47" ht="60" customHeight="1" x14ac:dyDescent="0.35">
      <c r="A81" s="256" t="s">
        <v>3479</v>
      </c>
      <c r="B81" s="234" t="s">
        <v>3628</v>
      </c>
      <c r="C81" s="235" t="s">
        <v>3642</v>
      </c>
      <c r="D81" s="238" t="s">
        <v>3643</v>
      </c>
      <c r="E81" s="239" t="s">
        <v>3627</v>
      </c>
      <c r="F81" s="242" t="s">
        <v>3631</v>
      </c>
      <c r="G81" s="245" t="str">
        <f>IF(COUNTIF(H81:AU81,"&lt;&gt;")=0,"",SUMPRODUCT(((Recommendations[ImplStatus]="Implemented")+(Recommendations[ImplStatus]="Compensated"))*ISNUMBER(MATCH(Recommendations[Id],H81:AU81,0)))/COUNTIF(H81:AU81,"&lt;&gt;"))</f>
        <v/>
      </c>
      <c r="H81" s="246"/>
      <c r="I81" s="246"/>
      <c r="J81" s="246"/>
      <c r="K81" s="246"/>
      <c r="L81" s="246"/>
      <c r="M81" s="246"/>
      <c r="N81" s="246"/>
      <c r="O81" s="246"/>
      <c r="P81" s="246"/>
      <c r="Q81" s="246"/>
      <c r="R81" s="246"/>
      <c r="S81" s="246"/>
      <c r="T81" s="246"/>
      <c r="U81" s="246"/>
      <c r="V81" s="246"/>
      <c r="W81" s="246"/>
      <c r="X81" s="246"/>
      <c r="Y81" s="246"/>
      <c r="Z81" s="246"/>
      <c r="AA81" s="246"/>
      <c r="AB81" s="246"/>
      <c r="AC81" s="246"/>
      <c r="AD81" s="246"/>
      <c r="AE81" s="246"/>
      <c r="AF81" s="246"/>
      <c r="AG81" s="246"/>
      <c r="AH81" s="246"/>
      <c r="AI81" s="246"/>
      <c r="AJ81" s="246"/>
      <c r="AK81" s="246"/>
      <c r="AL81" s="246"/>
      <c r="AM81" s="246"/>
      <c r="AN81" s="246"/>
      <c r="AO81" s="246"/>
      <c r="AP81" s="246"/>
      <c r="AQ81" s="246"/>
      <c r="AR81" s="246"/>
      <c r="AS81" s="246"/>
      <c r="AT81" s="246"/>
      <c r="AU81" s="260"/>
    </row>
    <row r="82" spans="1:47" ht="60" customHeight="1" x14ac:dyDescent="0.35">
      <c r="A82" s="256" t="s">
        <v>3479</v>
      </c>
      <c r="B82" s="234" t="s">
        <v>3628</v>
      </c>
      <c r="C82" s="235" t="s">
        <v>3644</v>
      </c>
      <c r="D82" s="238" t="s">
        <v>3645</v>
      </c>
      <c r="E82" s="239" t="s">
        <v>3627</v>
      </c>
      <c r="F82" s="242" t="s">
        <v>3631</v>
      </c>
      <c r="G82" s="245" t="str">
        <f>IF(COUNTIF(H82:AU82,"&lt;&gt;")=0,"",SUMPRODUCT(((Recommendations[ImplStatus]="Implemented")+(Recommendations[ImplStatus]="Compensated"))*ISNUMBER(MATCH(Recommendations[Id],H82:AU82,0)))/COUNTIF(H82:AU82,"&lt;&gt;"))</f>
        <v/>
      </c>
      <c r="H82" s="246"/>
      <c r="I82" s="246"/>
      <c r="J82" s="246"/>
      <c r="K82" s="246"/>
      <c r="L82" s="246"/>
      <c r="M82" s="246"/>
      <c r="N82" s="246"/>
      <c r="O82" s="246"/>
      <c r="P82" s="246"/>
      <c r="Q82" s="246"/>
      <c r="R82" s="246"/>
      <c r="S82" s="246"/>
      <c r="T82" s="246"/>
      <c r="U82" s="246"/>
      <c r="V82" s="246"/>
      <c r="W82" s="246"/>
      <c r="X82" s="246"/>
      <c r="Y82" s="246"/>
      <c r="Z82" s="246"/>
      <c r="AA82" s="246"/>
      <c r="AB82" s="246"/>
      <c r="AC82" s="246"/>
      <c r="AD82" s="246"/>
      <c r="AE82" s="246"/>
      <c r="AF82" s="246"/>
      <c r="AG82" s="246"/>
      <c r="AH82" s="246"/>
      <c r="AI82" s="246"/>
      <c r="AJ82" s="246"/>
      <c r="AK82" s="246"/>
      <c r="AL82" s="246"/>
      <c r="AM82" s="246"/>
      <c r="AN82" s="246"/>
      <c r="AO82" s="246"/>
      <c r="AP82" s="246"/>
      <c r="AQ82" s="246"/>
      <c r="AR82" s="246"/>
      <c r="AS82" s="246"/>
      <c r="AT82" s="246"/>
      <c r="AU82" s="260"/>
    </row>
    <row r="83" spans="1:47" ht="60" customHeight="1" x14ac:dyDescent="0.35">
      <c r="A83" s="256" t="s">
        <v>3479</v>
      </c>
      <c r="B83" s="234" t="s">
        <v>3628</v>
      </c>
      <c r="C83" s="235" t="s">
        <v>3646</v>
      </c>
      <c r="D83" s="238" t="s">
        <v>3647</v>
      </c>
      <c r="E83" s="239" t="s">
        <v>3627</v>
      </c>
      <c r="F83" s="242" t="s">
        <v>3631</v>
      </c>
      <c r="G83" s="245" t="str">
        <f>IF(COUNTIF(H83:AU83,"&lt;&gt;")=0,"",SUMPRODUCT(((Recommendations[ImplStatus]="Implemented")+(Recommendations[ImplStatus]="Compensated"))*ISNUMBER(MATCH(Recommendations[Id],H83:AU83,0)))/COUNTIF(H83:AU83,"&lt;&gt;"))</f>
        <v/>
      </c>
      <c r="H83" s="246"/>
      <c r="I83" s="246"/>
      <c r="J83" s="246"/>
      <c r="K83" s="246"/>
      <c r="L83" s="246"/>
      <c r="M83" s="246"/>
      <c r="N83" s="246"/>
      <c r="O83" s="246"/>
      <c r="P83" s="246"/>
      <c r="Q83" s="246"/>
      <c r="R83" s="246"/>
      <c r="S83" s="246"/>
      <c r="T83" s="246"/>
      <c r="U83" s="246"/>
      <c r="V83" s="246"/>
      <c r="W83" s="246"/>
      <c r="X83" s="246"/>
      <c r="Y83" s="246"/>
      <c r="Z83" s="246"/>
      <c r="AA83" s="246"/>
      <c r="AB83" s="246"/>
      <c r="AC83" s="246"/>
      <c r="AD83" s="246"/>
      <c r="AE83" s="246"/>
      <c r="AF83" s="246"/>
      <c r="AG83" s="246"/>
      <c r="AH83" s="246"/>
      <c r="AI83" s="246"/>
      <c r="AJ83" s="246"/>
      <c r="AK83" s="246"/>
      <c r="AL83" s="246"/>
      <c r="AM83" s="246"/>
      <c r="AN83" s="246"/>
      <c r="AO83" s="246"/>
      <c r="AP83" s="246"/>
      <c r="AQ83" s="246"/>
      <c r="AR83" s="246"/>
      <c r="AS83" s="246"/>
      <c r="AT83" s="246"/>
      <c r="AU83" s="260"/>
    </row>
    <row r="84" spans="1:47" ht="60" customHeight="1" x14ac:dyDescent="0.35">
      <c r="A84" s="256" t="s">
        <v>3479</v>
      </c>
      <c r="B84" s="234" t="s">
        <v>3628</v>
      </c>
      <c r="C84" s="235" t="s">
        <v>3648</v>
      </c>
      <c r="D84" s="238" t="s">
        <v>3649</v>
      </c>
      <c r="E84" s="239" t="s">
        <v>3627</v>
      </c>
      <c r="F84" s="242" t="s">
        <v>3631</v>
      </c>
      <c r="G84" s="245" t="str">
        <f>IF(COUNTIF(H84:AU84,"&lt;&gt;")=0,"",SUMPRODUCT(((Recommendations[ImplStatus]="Implemented")+(Recommendations[ImplStatus]="Compensated"))*ISNUMBER(MATCH(Recommendations[Id],H84:AU84,0)))/COUNTIF(H84:AU84,"&lt;&gt;"))</f>
        <v/>
      </c>
      <c r="H84" s="246"/>
      <c r="I84" s="246"/>
      <c r="J84" s="246"/>
      <c r="K84" s="246"/>
      <c r="L84" s="246"/>
      <c r="M84" s="246"/>
      <c r="N84" s="246"/>
      <c r="O84" s="246"/>
      <c r="P84" s="246"/>
      <c r="Q84" s="246"/>
      <c r="R84" s="246"/>
      <c r="S84" s="246"/>
      <c r="T84" s="246"/>
      <c r="U84" s="246"/>
      <c r="V84" s="246"/>
      <c r="W84" s="246"/>
      <c r="X84" s="246"/>
      <c r="Y84" s="246"/>
      <c r="Z84" s="246"/>
      <c r="AA84" s="246"/>
      <c r="AB84" s="246"/>
      <c r="AC84" s="246"/>
      <c r="AD84" s="246"/>
      <c r="AE84" s="246"/>
      <c r="AF84" s="246"/>
      <c r="AG84" s="246"/>
      <c r="AH84" s="246"/>
      <c r="AI84" s="246"/>
      <c r="AJ84" s="246"/>
      <c r="AK84" s="246"/>
      <c r="AL84" s="246"/>
      <c r="AM84" s="246"/>
      <c r="AN84" s="246"/>
      <c r="AO84" s="246"/>
      <c r="AP84" s="246"/>
      <c r="AQ84" s="246"/>
      <c r="AR84" s="246"/>
      <c r="AS84" s="246"/>
      <c r="AT84" s="246"/>
      <c r="AU84" s="260"/>
    </row>
    <row r="85" spans="1:47" ht="60" customHeight="1" x14ac:dyDescent="0.35">
      <c r="A85" s="256" t="s">
        <v>3479</v>
      </c>
      <c r="B85" s="234" t="s">
        <v>3628</v>
      </c>
      <c r="C85" s="235" t="s">
        <v>3650</v>
      </c>
      <c r="D85" s="238" t="s">
        <v>3651</v>
      </c>
      <c r="E85" s="239" t="s">
        <v>3627</v>
      </c>
      <c r="F85" s="242" t="s">
        <v>3631</v>
      </c>
      <c r="G85" s="245" t="str">
        <f>IF(COUNTIF(H85:AU85,"&lt;&gt;")=0,"",SUMPRODUCT(((Recommendations[ImplStatus]="Implemented")+(Recommendations[ImplStatus]="Compensated"))*ISNUMBER(MATCH(Recommendations[Id],H85:AU85,0)))/COUNTIF(H85:AU85,"&lt;&gt;"))</f>
        <v/>
      </c>
      <c r="H85" s="246"/>
      <c r="I85" s="246"/>
      <c r="J85" s="246"/>
      <c r="K85" s="246"/>
      <c r="L85" s="246"/>
      <c r="M85" s="246"/>
      <c r="N85" s="246"/>
      <c r="O85" s="246"/>
      <c r="P85" s="246"/>
      <c r="Q85" s="246"/>
      <c r="R85" s="246"/>
      <c r="S85" s="246"/>
      <c r="T85" s="246"/>
      <c r="U85" s="246"/>
      <c r="V85" s="246"/>
      <c r="W85" s="246"/>
      <c r="X85" s="246"/>
      <c r="Y85" s="246"/>
      <c r="Z85" s="246"/>
      <c r="AA85" s="246"/>
      <c r="AB85" s="246"/>
      <c r="AC85" s="246"/>
      <c r="AD85" s="246"/>
      <c r="AE85" s="246"/>
      <c r="AF85" s="246"/>
      <c r="AG85" s="246"/>
      <c r="AH85" s="246"/>
      <c r="AI85" s="246"/>
      <c r="AJ85" s="246"/>
      <c r="AK85" s="246"/>
      <c r="AL85" s="246"/>
      <c r="AM85" s="246"/>
      <c r="AN85" s="246"/>
      <c r="AO85" s="246"/>
      <c r="AP85" s="246"/>
      <c r="AQ85" s="246"/>
      <c r="AR85" s="246"/>
      <c r="AS85" s="246"/>
      <c r="AT85" s="246"/>
      <c r="AU85" s="260"/>
    </row>
    <row r="86" spans="1:47" ht="60" customHeight="1" x14ac:dyDescent="0.35">
      <c r="A86" s="256" t="s">
        <v>3479</v>
      </c>
      <c r="B86" s="234" t="s">
        <v>3628</v>
      </c>
      <c r="C86" s="235" t="s">
        <v>3652</v>
      </c>
      <c r="D86" s="238" t="s">
        <v>3653</v>
      </c>
      <c r="E86" s="239" t="s">
        <v>3627</v>
      </c>
      <c r="F86" s="242" t="s">
        <v>3631</v>
      </c>
      <c r="G86" s="245" t="str">
        <f>IF(COUNTIF(H86:AU86,"&lt;&gt;")=0,"",SUMPRODUCT(((Recommendations[ImplStatus]="Implemented")+(Recommendations[ImplStatus]="Compensated"))*ISNUMBER(MATCH(Recommendations[Id],H86:AU86,0)))/COUNTIF(H86:AU86,"&lt;&gt;"))</f>
        <v/>
      </c>
      <c r="H86" s="246"/>
      <c r="I86" s="246"/>
      <c r="J86" s="246"/>
      <c r="K86" s="246"/>
      <c r="L86" s="246"/>
      <c r="M86" s="246"/>
      <c r="N86" s="246"/>
      <c r="O86" s="246"/>
      <c r="P86" s="246"/>
      <c r="Q86" s="246"/>
      <c r="R86" s="246"/>
      <c r="S86" s="246"/>
      <c r="T86" s="246"/>
      <c r="U86" s="246"/>
      <c r="V86" s="246"/>
      <c r="W86" s="246"/>
      <c r="X86" s="246"/>
      <c r="Y86" s="246"/>
      <c r="Z86" s="246"/>
      <c r="AA86" s="246"/>
      <c r="AB86" s="246"/>
      <c r="AC86" s="246"/>
      <c r="AD86" s="246"/>
      <c r="AE86" s="246"/>
      <c r="AF86" s="246"/>
      <c r="AG86" s="246"/>
      <c r="AH86" s="246"/>
      <c r="AI86" s="246"/>
      <c r="AJ86" s="246"/>
      <c r="AK86" s="246"/>
      <c r="AL86" s="246"/>
      <c r="AM86" s="246"/>
      <c r="AN86" s="246"/>
      <c r="AO86" s="246"/>
      <c r="AP86" s="246"/>
      <c r="AQ86" s="246"/>
      <c r="AR86" s="246"/>
      <c r="AS86" s="246"/>
      <c r="AT86" s="246"/>
      <c r="AU86" s="260"/>
    </row>
    <row r="87" spans="1:47" ht="60" customHeight="1" x14ac:dyDescent="0.35">
      <c r="A87" s="256" t="s">
        <v>3479</v>
      </c>
      <c r="B87" s="234" t="s">
        <v>3628</v>
      </c>
      <c r="C87" s="235" t="s">
        <v>3654</v>
      </c>
      <c r="D87" s="238" t="s">
        <v>3655</v>
      </c>
      <c r="E87" s="239" t="s">
        <v>3627</v>
      </c>
      <c r="F87" s="242" t="s">
        <v>3631</v>
      </c>
      <c r="G87" s="245" t="str">
        <f>IF(COUNTIF(H87:AU87,"&lt;&gt;")=0,"",SUMPRODUCT(((Recommendations[ImplStatus]="Implemented")+(Recommendations[ImplStatus]="Compensated"))*ISNUMBER(MATCH(Recommendations[Id],H87:AU87,0)))/COUNTIF(H87:AU87,"&lt;&gt;"))</f>
        <v/>
      </c>
      <c r="H87" s="246"/>
      <c r="I87" s="246"/>
      <c r="J87" s="246"/>
      <c r="K87" s="246"/>
      <c r="L87" s="246"/>
      <c r="M87" s="246"/>
      <c r="N87" s="246"/>
      <c r="O87" s="246"/>
      <c r="P87" s="246"/>
      <c r="Q87" s="246"/>
      <c r="R87" s="246"/>
      <c r="S87" s="246"/>
      <c r="T87" s="246"/>
      <c r="U87" s="246"/>
      <c r="V87" s="246"/>
      <c r="W87" s="246"/>
      <c r="X87" s="246"/>
      <c r="Y87" s="246"/>
      <c r="Z87" s="246"/>
      <c r="AA87" s="246"/>
      <c r="AB87" s="246"/>
      <c r="AC87" s="246"/>
      <c r="AD87" s="246"/>
      <c r="AE87" s="246"/>
      <c r="AF87" s="246"/>
      <c r="AG87" s="246"/>
      <c r="AH87" s="246"/>
      <c r="AI87" s="246"/>
      <c r="AJ87" s="246"/>
      <c r="AK87" s="246"/>
      <c r="AL87" s="246"/>
      <c r="AM87" s="246"/>
      <c r="AN87" s="246"/>
      <c r="AO87" s="246"/>
      <c r="AP87" s="246"/>
      <c r="AQ87" s="246"/>
      <c r="AR87" s="246"/>
      <c r="AS87" s="246"/>
      <c r="AT87" s="246"/>
      <c r="AU87" s="260"/>
    </row>
    <row r="88" spans="1:47" ht="60" customHeight="1" x14ac:dyDescent="0.35">
      <c r="A88" s="256" t="s">
        <v>3479</v>
      </c>
      <c r="B88" s="234" t="s">
        <v>3628</v>
      </c>
      <c r="C88" s="235" t="s">
        <v>3656</v>
      </c>
      <c r="D88" s="238" t="s">
        <v>3657</v>
      </c>
      <c r="E88" s="239" t="s">
        <v>3627</v>
      </c>
      <c r="F88" s="242" t="s">
        <v>3615</v>
      </c>
      <c r="G88" s="245" t="str">
        <f>IF(COUNTIF(H88:AU88,"&lt;&gt;")=0,"",SUMPRODUCT(((Recommendations[ImplStatus]="Implemented")+(Recommendations[ImplStatus]="Compensated"))*ISNUMBER(MATCH(Recommendations[Id],H88:AU88,0)))/COUNTIF(H88:AU88,"&lt;&gt;"))</f>
        <v/>
      </c>
      <c r="H88" s="246"/>
      <c r="I88" s="246"/>
      <c r="J88" s="246"/>
      <c r="K88" s="246"/>
      <c r="L88" s="246"/>
      <c r="M88" s="246"/>
      <c r="N88" s="246"/>
      <c r="O88" s="246"/>
      <c r="P88" s="246"/>
      <c r="Q88" s="246"/>
      <c r="R88" s="246"/>
      <c r="S88" s="246"/>
      <c r="T88" s="246"/>
      <c r="U88" s="246"/>
      <c r="V88" s="246"/>
      <c r="W88" s="246"/>
      <c r="X88" s="246"/>
      <c r="Y88" s="246"/>
      <c r="Z88" s="246"/>
      <c r="AA88" s="246"/>
      <c r="AB88" s="246"/>
      <c r="AC88" s="246"/>
      <c r="AD88" s="246"/>
      <c r="AE88" s="246"/>
      <c r="AF88" s="246"/>
      <c r="AG88" s="246"/>
      <c r="AH88" s="246"/>
      <c r="AI88" s="246"/>
      <c r="AJ88" s="246"/>
      <c r="AK88" s="246"/>
      <c r="AL88" s="246"/>
      <c r="AM88" s="246"/>
      <c r="AN88" s="246"/>
      <c r="AO88" s="246"/>
      <c r="AP88" s="246"/>
      <c r="AQ88" s="246"/>
      <c r="AR88" s="246"/>
      <c r="AS88" s="246"/>
      <c r="AT88" s="246"/>
      <c r="AU88" s="260"/>
    </row>
    <row r="89" spans="1:47" ht="60" customHeight="1" x14ac:dyDescent="0.35">
      <c r="A89" s="256" t="s">
        <v>3479</v>
      </c>
      <c r="B89" s="234" t="s">
        <v>3628</v>
      </c>
      <c r="C89" s="235" t="s">
        <v>3658</v>
      </c>
      <c r="D89" s="238" t="s">
        <v>3659</v>
      </c>
      <c r="E89" s="239" t="s">
        <v>3627</v>
      </c>
      <c r="F89" s="242" t="s">
        <v>3615</v>
      </c>
      <c r="G89" s="245" t="str">
        <f>IF(COUNTIF(H89:AU89,"&lt;&gt;")=0,"",SUMPRODUCT(((Recommendations[ImplStatus]="Implemented")+(Recommendations[ImplStatus]="Compensated"))*ISNUMBER(MATCH(Recommendations[Id],H89:AU89,0)))/COUNTIF(H89:AU89,"&lt;&gt;"))</f>
        <v/>
      </c>
      <c r="H89" s="246"/>
      <c r="I89" s="246"/>
      <c r="J89" s="246"/>
      <c r="K89" s="246"/>
      <c r="L89" s="246"/>
      <c r="M89" s="246"/>
      <c r="N89" s="246"/>
      <c r="O89" s="246"/>
      <c r="P89" s="246"/>
      <c r="Q89" s="246"/>
      <c r="R89" s="246"/>
      <c r="S89" s="246"/>
      <c r="T89" s="246"/>
      <c r="U89" s="246"/>
      <c r="V89" s="246"/>
      <c r="W89" s="246"/>
      <c r="X89" s="246"/>
      <c r="Y89" s="246"/>
      <c r="Z89" s="246"/>
      <c r="AA89" s="246"/>
      <c r="AB89" s="246"/>
      <c r="AC89" s="246"/>
      <c r="AD89" s="246"/>
      <c r="AE89" s="246"/>
      <c r="AF89" s="246"/>
      <c r="AG89" s="246"/>
      <c r="AH89" s="246"/>
      <c r="AI89" s="246"/>
      <c r="AJ89" s="246"/>
      <c r="AK89" s="246"/>
      <c r="AL89" s="246"/>
      <c r="AM89" s="246"/>
      <c r="AN89" s="246"/>
      <c r="AO89" s="246"/>
      <c r="AP89" s="246"/>
      <c r="AQ89" s="246"/>
      <c r="AR89" s="246"/>
      <c r="AS89" s="246"/>
      <c r="AT89" s="246"/>
      <c r="AU89" s="260"/>
    </row>
    <row r="90" spans="1:47" ht="60" customHeight="1" x14ac:dyDescent="0.35">
      <c r="A90" s="256" t="s">
        <v>3479</v>
      </c>
      <c r="B90" s="234" t="s">
        <v>3628</v>
      </c>
      <c r="C90" s="235" t="s">
        <v>3660</v>
      </c>
      <c r="D90" s="238" t="s">
        <v>3661</v>
      </c>
      <c r="E90" s="239" t="s">
        <v>3627</v>
      </c>
      <c r="F90" s="242" t="s">
        <v>3615</v>
      </c>
      <c r="G90" s="245" t="str">
        <f>IF(COUNTIF(H90:AU90,"&lt;&gt;")=0,"",SUMPRODUCT(((Recommendations[ImplStatus]="Implemented")+(Recommendations[ImplStatus]="Compensated"))*ISNUMBER(MATCH(Recommendations[Id],H90:AU90,0)))/COUNTIF(H90:AU90,"&lt;&gt;"))</f>
        <v/>
      </c>
      <c r="H90" s="246"/>
      <c r="I90" s="246"/>
      <c r="J90" s="246"/>
      <c r="K90" s="246"/>
      <c r="L90" s="246"/>
      <c r="M90" s="246"/>
      <c r="N90" s="246"/>
      <c r="O90" s="246"/>
      <c r="P90" s="246"/>
      <c r="Q90" s="246"/>
      <c r="R90" s="246"/>
      <c r="S90" s="246"/>
      <c r="T90" s="246"/>
      <c r="U90" s="246"/>
      <c r="V90" s="246"/>
      <c r="W90" s="246"/>
      <c r="X90" s="246"/>
      <c r="Y90" s="246"/>
      <c r="Z90" s="246"/>
      <c r="AA90" s="246"/>
      <c r="AB90" s="246"/>
      <c r="AC90" s="246"/>
      <c r="AD90" s="246"/>
      <c r="AE90" s="246"/>
      <c r="AF90" s="246"/>
      <c r="AG90" s="246"/>
      <c r="AH90" s="246"/>
      <c r="AI90" s="246"/>
      <c r="AJ90" s="246"/>
      <c r="AK90" s="246"/>
      <c r="AL90" s="246"/>
      <c r="AM90" s="246"/>
      <c r="AN90" s="246"/>
      <c r="AO90" s="246"/>
      <c r="AP90" s="246"/>
      <c r="AQ90" s="246"/>
      <c r="AR90" s="246"/>
      <c r="AS90" s="246"/>
      <c r="AT90" s="246"/>
      <c r="AU90" s="260"/>
    </row>
    <row r="91" spans="1:47" ht="60" customHeight="1" outlineLevel="2" x14ac:dyDescent="0.35">
      <c r="A91" s="255" t="s">
        <v>3479</v>
      </c>
      <c r="B91" s="233" t="s">
        <v>3662</v>
      </c>
      <c r="C91" s="233"/>
      <c r="D91" s="237"/>
      <c r="E91" s="233"/>
      <c r="F91" s="241"/>
      <c r="G91" s="244" t="str">
        <f>IF(COUNTIF(H91:AU91,"&lt;&gt;")=0,"",SUMPRODUCT(((Recommendations[ImplStatus]="Implemented")+(Recommendations[ImplStatus]="Compensated"))*ISNUMBER(MATCH(Recommendations[Id],H91:AU91,0)))/COUNTIF(H91:AU91,"&lt;&gt;"))</f>
        <v/>
      </c>
      <c r="H91" s="241"/>
      <c r="I91" s="241"/>
      <c r="J91" s="241"/>
      <c r="K91" s="241"/>
      <c r="L91" s="241"/>
      <c r="M91" s="241"/>
      <c r="N91" s="241"/>
      <c r="O91" s="241"/>
      <c r="P91" s="241"/>
      <c r="Q91" s="24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59"/>
    </row>
    <row r="92" spans="1:47" ht="60" customHeight="1" x14ac:dyDescent="0.35">
      <c r="A92" s="256" t="s">
        <v>3479</v>
      </c>
      <c r="B92" s="234" t="s">
        <v>3662</v>
      </c>
      <c r="C92" s="235" t="s">
        <v>3663</v>
      </c>
      <c r="D92" s="238" t="s">
        <v>3664</v>
      </c>
      <c r="E92" s="239" t="s">
        <v>3483</v>
      </c>
      <c r="F92" s="242" t="s">
        <v>3615</v>
      </c>
      <c r="G92" s="245" t="str">
        <f>IF(COUNTIF(H92:AU92,"&lt;&gt;")=0,"",SUMPRODUCT(((Recommendations[ImplStatus]="Implemented")+(Recommendations[ImplStatus]="Compensated"))*ISNUMBER(MATCH(Recommendations[Id],H92:AU92,0)))/COUNTIF(H92:AU92,"&lt;&gt;"))</f>
        <v/>
      </c>
      <c r="H92" s="246"/>
      <c r="I92" s="246"/>
      <c r="J92" s="246"/>
      <c r="K92" s="246"/>
      <c r="L92" s="246"/>
      <c r="M92" s="246"/>
      <c r="N92" s="246"/>
      <c r="O92" s="246"/>
      <c r="P92" s="246"/>
      <c r="Q92" s="246"/>
      <c r="R92" s="246"/>
      <c r="S92" s="246"/>
      <c r="T92" s="246"/>
      <c r="U92" s="246"/>
      <c r="V92" s="246"/>
      <c r="W92" s="246"/>
      <c r="X92" s="246"/>
      <c r="Y92" s="246"/>
      <c r="Z92" s="246"/>
      <c r="AA92" s="246"/>
      <c r="AB92" s="246"/>
      <c r="AC92" s="246"/>
      <c r="AD92" s="246"/>
      <c r="AE92" s="246"/>
      <c r="AF92" s="246"/>
      <c r="AG92" s="246"/>
      <c r="AH92" s="246"/>
      <c r="AI92" s="246"/>
      <c r="AJ92" s="246"/>
      <c r="AK92" s="246"/>
      <c r="AL92" s="246"/>
      <c r="AM92" s="246"/>
      <c r="AN92" s="246"/>
      <c r="AO92" s="246"/>
      <c r="AP92" s="246"/>
      <c r="AQ92" s="246"/>
      <c r="AR92" s="246"/>
      <c r="AS92" s="246"/>
      <c r="AT92" s="246"/>
      <c r="AU92" s="260"/>
    </row>
    <row r="93" spans="1:47" ht="60" customHeight="1" x14ac:dyDescent="0.35">
      <c r="A93" s="256" t="s">
        <v>3479</v>
      </c>
      <c r="B93" s="234" t="s">
        <v>3662</v>
      </c>
      <c r="C93" s="235" t="s">
        <v>3665</v>
      </c>
      <c r="D93" s="238" t="s">
        <v>3666</v>
      </c>
      <c r="E93" s="239" t="s">
        <v>3483</v>
      </c>
      <c r="F93" s="242" t="s">
        <v>3615</v>
      </c>
      <c r="G93" s="245" t="str">
        <f>IF(COUNTIF(H93:AU93,"&lt;&gt;")=0,"",SUMPRODUCT(((Recommendations[ImplStatus]="Implemented")+(Recommendations[ImplStatus]="Compensated"))*ISNUMBER(MATCH(Recommendations[Id],H93:AU93,0)))/COUNTIF(H93:AU93,"&lt;&gt;"))</f>
        <v/>
      </c>
      <c r="H93" s="246"/>
      <c r="I93" s="246"/>
      <c r="J93" s="246"/>
      <c r="K93" s="246"/>
      <c r="L93" s="246"/>
      <c r="M93" s="246"/>
      <c r="N93" s="246"/>
      <c r="O93" s="246"/>
      <c r="P93" s="246"/>
      <c r="Q93" s="246"/>
      <c r="R93" s="246"/>
      <c r="S93" s="246"/>
      <c r="T93" s="246"/>
      <c r="U93" s="246"/>
      <c r="V93" s="246"/>
      <c r="W93" s="246"/>
      <c r="X93" s="246"/>
      <c r="Y93" s="246"/>
      <c r="Z93" s="246"/>
      <c r="AA93" s="246"/>
      <c r="AB93" s="246"/>
      <c r="AC93" s="246"/>
      <c r="AD93" s="246"/>
      <c r="AE93" s="246"/>
      <c r="AF93" s="246"/>
      <c r="AG93" s="246"/>
      <c r="AH93" s="246"/>
      <c r="AI93" s="246"/>
      <c r="AJ93" s="246"/>
      <c r="AK93" s="246"/>
      <c r="AL93" s="246"/>
      <c r="AM93" s="246"/>
      <c r="AN93" s="246"/>
      <c r="AO93" s="246"/>
      <c r="AP93" s="246"/>
      <c r="AQ93" s="246"/>
      <c r="AR93" s="246"/>
      <c r="AS93" s="246"/>
      <c r="AT93" s="246"/>
      <c r="AU93" s="260"/>
    </row>
    <row r="94" spans="1:47" ht="60" customHeight="1" x14ac:dyDescent="0.35">
      <c r="A94" s="256" t="s">
        <v>3479</v>
      </c>
      <c r="B94" s="234" t="s">
        <v>3662</v>
      </c>
      <c r="C94" s="235" t="s">
        <v>3667</v>
      </c>
      <c r="D94" s="238" t="s">
        <v>3668</v>
      </c>
      <c r="E94" s="239" t="s">
        <v>3483</v>
      </c>
      <c r="F94" s="242" t="s">
        <v>3615</v>
      </c>
      <c r="G94" s="245" t="str">
        <f>IF(COUNTIF(H94:AU94,"&lt;&gt;")=0,"",SUMPRODUCT(((Recommendations[ImplStatus]="Implemented")+(Recommendations[ImplStatus]="Compensated"))*ISNUMBER(MATCH(Recommendations[Id],H94:AU94,0)))/COUNTIF(H94:AU94,"&lt;&gt;"))</f>
        <v/>
      </c>
      <c r="H94" s="246"/>
      <c r="I94" s="246"/>
      <c r="J94" s="246"/>
      <c r="K94" s="246"/>
      <c r="L94" s="246"/>
      <c r="M94" s="246"/>
      <c r="N94" s="246"/>
      <c r="O94" s="246"/>
      <c r="P94" s="246"/>
      <c r="Q94" s="246"/>
      <c r="R94" s="246"/>
      <c r="S94" s="246"/>
      <c r="T94" s="246"/>
      <c r="U94" s="246"/>
      <c r="V94" s="246"/>
      <c r="W94" s="246"/>
      <c r="X94" s="246"/>
      <c r="Y94" s="246"/>
      <c r="Z94" s="246"/>
      <c r="AA94" s="246"/>
      <c r="AB94" s="246"/>
      <c r="AC94" s="246"/>
      <c r="AD94" s="246"/>
      <c r="AE94" s="246"/>
      <c r="AF94" s="246"/>
      <c r="AG94" s="246"/>
      <c r="AH94" s="246"/>
      <c r="AI94" s="246"/>
      <c r="AJ94" s="246"/>
      <c r="AK94" s="246"/>
      <c r="AL94" s="246"/>
      <c r="AM94" s="246"/>
      <c r="AN94" s="246"/>
      <c r="AO94" s="246"/>
      <c r="AP94" s="246"/>
      <c r="AQ94" s="246"/>
      <c r="AR94" s="246"/>
      <c r="AS94" s="246"/>
      <c r="AT94" s="246"/>
      <c r="AU94" s="260"/>
    </row>
    <row r="95" spans="1:47" ht="60" customHeight="1" x14ac:dyDescent="0.35">
      <c r="A95" s="256" t="s">
        <v>3479</v>
      </c>
      <c r="B95" s="234" t="s">
        <v>3662</v>
      </c>
      <c r="C95" s="235" t="s">
        <v>3669</v>
      </c>
      <c r="D95" s="238" t="s">
        <v>3670</v>
      </c>
      <c r="E95" s="239" t="s">
        <v>3483</v>
      </c>
      <c r="F95" s="242" t="s">
        <v>3615</v>
      </c>
      <c r="G95" s="245" t="str">
        <f>IF(COUNTIF(H95:AU95,"&lt;&gt;")=0,"",SUMPRODUCT(((Recommendations[ImplStatus]="Implemented")+(Recommendations[ImplStatus]="Compensated"))*ISNUMBER(MATCH(Recommendations[Id],H95:AU95,0)))/COUNTIF(H95:AU95,"&lt;&gt;"))</f>
        <v/>
      </c>
      <c r="H95" s="246"/>
      <c r="I95" s="246"/>
      <c r="J95" s="246"/>
      <c r="K95" s="246"/>
      <c r="L95" s="246"/>
      <c r="M95" s="246"/>
      <c r="N95" s="246"/>
      <c r="O95" s="246"/>
      <c r="P95" s="246"/>
      <c r="Q95" s="246"/>
      <c r="R95" s="246"/>
      <c r="S95" s="246"/>
      <c r="T95" s="246"/>
      <c r="U95" s="246"/>
      <c r="V95" s="246"/>
      <c r="W95" s="246"/>
      <c r="X95" s="246"/>
      <c r="Y95" s="246"/>
      <c r="Z95" s="246"/>
      <c r="AA95" s="246"/>
      <c r="AB95" s="246"/>
      <c r="AC95" s="246"/>
      <c r="AD95" s="246"/>
      <c r="AE95" s="246"/>
      <c r="AF95" s="246"/>
      <c r="AG95" s="246"/>
      <c r="AH95" s="246"/>
      <c r="AI95" s="246"/>
      <c r="AJ95" s="246"/>
      <c r="AK95" s="246"/>
      <c r="AL95" s="246"/>
      <c r="AM95" s="246"/>
      <c r="AN95" s="246"/>
      <c r="AO95" s="246"/>
      <c r="AP95" s="246"/>
      <c r="AQ95" s="246"/>
      <c r="AR95" s="246"/>
      <c r="AS95" s="246"/>
      <c r="AT95" s="246"/>
      <c r="AU95" s="260"/>
    </row>
    <row r="96" spans="1:47" ht="60" customHeight="1" x14ac:dyDescent="0.35">
      <c r="A96" s="256" t="s">
        <v>3479</v>
      </c>
      <c r="B96" s="234" t="s">
        <v>3662</v>
      </c>
      <c r="C96" s="235" t="s">
        <v>3671</v>
      </c>
      <c r="D96" s="238" t="s">
        <v>3672</v>
      </c>
      <c r="E96" s="239" t="s">
        <v>3483</v>
      </c>
      <c r="F96" s="242" t="s">
        <v>3615</v>
      </c>
      <c r="G96" s="245" t="str">
        <f>IF(COUNTIF(H96:AU96,"&lt;&gt;")=0,"",SUMPRODUCT(((Recommendations[ImplStatus]="Implemented")+(Recommendations[ImplStatus]="Compensated"))*ISNUMBER(MATCH(Recommendations[Id],H96:AU96,0)))/COUNTIF(H96:AU96,"&lt;&gt;"))</f>
        <v/>
      </c>
      <c r="H96" s="246"/>
      <c r="I96" s="246"/>
      <c r="J96" s="246"/>
      <c r="K96" s="246"/>
      <c r="L96" s="246"/>
      <c r="M96" s="246"/>
      <c r="N96" s="246"/>
      <c r="O96" s="246"/>
      <c r="P96" s="246"/>
      <c r="Q96" s="246"/>
      <c r="R96" s="246"/>
      <c r="S96" s="246"/>
      <c r="T96" s="246"/>
      <c r="U96" s="246"/>
      <c r="V96" s="246"/>
      <c r="W96" s="246"/>
      <c r="X96" s="246"/>
      <c r="Y96" s="246"/>
      <c r="Z96" s="246"/>
      <c r="AA96" s="246"/>
      <c r="AB96" s="246"/>
      <c r="AC96" s="246"/>
      <c r="AD96" s="246"/>
      <c r="AE96" s="246"/>
      <c r="AF96" s="246"/>
      <c r="AG96" s="246"/>
      <c r="AH96" s="246"/>
      <c r="AI96" s="246"/>
      <c r="AJ96" s="246"/>
      <c r="AK96" s="246"/>
      <c r="AL96" s="246"/>
      <c r="AM96" s="246"/>
      <c r="AN96" s="246"/>
      <c r="AO96" s="246"/>
      <c r="AP96" s="246"/>
      <c r="AQ96" s="246"/>
      <c r="AR96" s="246"/>
      <c r="AS96" s="246"/>
      <c r="AT96" s="246"/>
      <c r="AU96" s="260"/>
    </row>
    <row r="97" spans="1:47" ht="60" customHeight="1" x14ac:dyDescent="0.35">
      <c r="A97" s="256" t="s">
        <v>3479</v>
      </c>
      <c r="B97" s="234" t="s">
        <v>3662</v>
      </c>
      <c r="C97" s="235" t="s">
        <v>3673</v>
      </c>
      <c r="D97" s="238" t="s">
        <v>3674</v>
      </c>
      <c r="E97" s="239" t="s">
        <v>3483</v>
      </c>
      <c r="F97" s="242" t="s">
        <v>3675</v>
      </c>
      <c r="G97" s="245" t="str">
        <f>IF(COUNTIF(H97:AU97,"&lt;&gt;")=0,"",SUMPRODUCT(((Recommendations[ImplStatus]="Implemented")+(Recommendations[ImplStatus]="Compensated"))*ISNUMBER(MATCH(Recommendations[Id],H97:AU97,0)))/COUNTIF(H97:AU97,"&lt;&gt;"))</f>
        <v/>
      </c>
      <c r="H97" s="246"/>
      <c r="I97" s="246"/>
      <c r="J97" s="246"/>
      <c r="K97" s="246"/>
      <c r="L97" s="246"/>
      <c r="M97" s="246"/>
      <c r="N97" s="246"/>
      <c r="O97" s="246"/>
      <c r="P97" s="246"/>
      <c r="Q97" s="246"/>
      <c r="R97" s="246"/>
      <c r="S97" s="246"/>
      <c r="T97" s="246"/>
      <c r="U97" s="246"/>
      <c r="V97" s="246"/>
      <c r="W97" s="246"/>
      <c r="X97" s="246"/>
      <c r="Y97" s="246"/>
      <c r="Z97" s="246"/>
      <c r="AA97" s="246"/>
      <c r="AB97" s="246"/>
      <c r="AC97" s="246"/>
      <c r="AD97" s="246"/>
      <c r="AE97" s="246"/>
      <c r="AF97" s="246"/>
      <c r="AG97" s="246"/>
      <c r="AH97" s="246"/>
      <c r="AI97" s="246"/>
      <c r="AJ97" s="246"/>
      <c r="AK97" s="246"/>
      <c r="AL97" s="246"/>
      <c r="AM97" s="246"/>
      <c r="AN97" s="246"/>
      <c r="AO97" s="246"/>
      <c r="AP97" s="246"/>
      <c r="AQ97" s="246"/>
      <c r="AR97" s="246"/>
      <c r="AS97" s="246"/>
      <c r="AT97" s="246"/>
      <c r="AU97" s="260"/>
    </row>
    <row r="98" spans="1:47" ht="60" customHeight="1" x14ac:dyDescent="0.35">
      <c r="A98" s="256" t="s">
        <v>3479</v>
      </c>
      <c r="B98" s="234" t="s">
        <v>3662</v>
      </c>
      <c r="C98" s="235" t="s">
        <v>3676</v>
      </c>
      <c r="D98" s="238" t="s">
        <v>3677</v>
      </c>
      <c r="E98" s="239" t="s">
        <v>3483</v>
      </c>
      <c r="F98" s="242" t="s">
        <v>3675</v>
      </c>
      <c r="G98" s="245" t="str">
        <f>IF(COUNTIF(H98:AU98,"&lt;&gt;")=0,"",SUMPRODUCT(((Recommendations[ImplStatus]="Implemented")+(Recommendations[ImplStatus]="Compensated"))*ISNUMBER(MATCH(Recommendations[Id],H98:AU98,0)))/COUNTIF(H98:AU98,"&lt;&gt;"))</f>
        <v/>
      </c>
      <c r="H98" s="246"/>
      <c r="I98" s="246"/>
      <c r="J98" s="246"/>
      <c r="K98" s="246"/>
      <c r="L98" s="246"/>
      <c r="M98" s="246"/>
      <c r="N98" s="246"/>
      <c r="O98" s="246"/>
      <c r="P98" s="246"/>
      <c r="Q98" s="246"/>
      <c r="R98" s="246"/>
      <c r="S98" s="246"/>
      <c r="T98" s="246"/>
      <c r="U98" s="246"/>
      <c r="V98" s="246"/>
      <c r="W98" s="246"/>
      <c r="X98" s="246"/>
      <c r="Y98" s="246"/>
      <c r="Z98" s="246"/>
      <c r="AA98" s="246"/>
      <c r="AB98" s="246"/>
      <c r="AC98" s="246"/>
      <c r="AD98" s="246"/>
      <c r="AE98" s="246"/>
      <c r="AF98" s="246"/>
      <c r="AG98" s="246"/>
      <c r="AH98" s="246"/>
      <c r="AI98" s="246"/>
      <c r="AJ98" s="246"/>
      <c r="AK98" s="246"/>
      <c r="AL98" s="246"/>
      <c r="AM98" s="246"/>
      <c r="AN98" s="246"/>
      <c r="AO98" s="246"/>
      <c r="AP98" s="246"/>
      <c r="AQ98" s="246"/>
      <c r="AR98" s="246"/>
      <c r="AS98" s="246"/>
      <c r="AT98" s="246"/>
      <c r="AU98" s="260"/>
    </row>
    <row r="99" spans="1:47" ht="60" customHeight="1" x14ac:dyDescent="0.35">
      <c r="A99" s="256" t="s">
        <v>3479</v>
      </c>
      <c r="B99" s="234" t="s">
        <v>3662</v>
      </c>
      <c r="C99" s="235" t="s">
        <v>3678</v>
      </c>
      <c r="D99" s="238" t="s">
        <v>3679</v>
      </c>
      <c r="E99" s="239" t="s">
        <v>3483</v>
      </c>
      <c r="F99" s="242" t="s">
        <v>3675</v>
      </c>
      <c r="G99" s="245" t="str">
        <f>IF(COUNTIF(H99:AU99,"&lt;&gt;")=0,"",SUMPRODUCT(((Recommendations[ImplStatus]="Implemented")+(Recommendations[ImplStatus]="Compensated"))*ISNUMBER(MATCH(Recommendations[Id],H99:AU99,0)))/COUNTIF(H99:AU99,"&lt;&gt;"))</f>
        <v/>
      </c>
      <c r="H99" s="246"/>
      <c r="I99" s="246"/>
      <c r="J99" s="246"/>
      <c r="K99" s="246"/>
      <c r="L99" s="246"/>
      <c r="M99" s="246"/>
      <c r="N99" s="246"/>
      <c r="O99" s="246"/>
      <c r="P99" s="246"/>
      <c r="Q99" s="246"/>
      <c r="R99" s="246"/>
      <c r="S99" s="246"/>
      <c r="T99" s="246"/>
      <c r="U99" s="246"/>
      <c r="V99" s="246"/>
      <c r="W99" s="246"/>
      <c r="X99" s="246"/>
      <c r="Y99" s="246"/>
      <c r="Z99" s="246"/>
      <c r="AA99" s="246"/>
      <c r="AB99" s="246"/>
      <c r="AC99" s="246"/>
      <c r="AD99" s="246"/>
      <c r="AE99" s="246"/>
      <c r="AF99" s="246"/>
      <c r="AG99" s="246"/>
      <c r="AH99" s="246"/>
      <c r="AI99" s="246"/>
      <c r="AJ99" s="246"/>
      <c r="AK99" s="246"/>
      <c r="AL99" s="246"/>
      <c r="AM99" s="246"/>
      <c r="AN99" s="246"/>
      <c r="AO99" s="246"/>
      <c r="AP99" s="246"/>
      <c r="AQ99" s="246"/>
      <c r="AR99" s="246"/>
      <c r="AS99" s="246"/>
      <c r="AT99" s="246"/>
      <c r="AU99" s="260"/>
    </row>
    <row r="100" spans="1:47" ht="60" customHeight="1" x14ac:dyDescent="0.35">
      <c r="A100" s="256" t="s">
        <v>3479</v>
      </c>
      <c r="B100" s="234" t="s">
        <v>3662</v>
      </c>
      <c r="C100" s="235" t="s">
        <v>3680</v>
      </c>
      <c r="D100" s="238" t="s">
        <v>3681</v>
      </c>
      <c r="E100" s="239" t="s">
        <v>3483</v>
      </c>
      <c r="F100" s="242" t="s">
        <v>3675</v>
      </c>
      <c r="G100" s="245" t="str">
        <f>IF(COUNTIF(H100:AU100,"&lt;&gt;")=0,"",SUMPRODUCT(((Recommendations[ImplStatus]="Implemented")+(Recommendations[ImplStatus]="Compensated"))*ISNUMBER(MATCH(Recommendations[Id],H100:AU100,0)))/COUNTIF(H100:AU100,"&lt;&gt;"))</f>
        <v/>
      </c>
      <c r="H100" s="246"/>
      <c r="I100" s="246"/>
      <c r="J100" s="246"/>
      <c r="K100" s="246"/>
      <c r="L100" s="246"/>
      <c r="M100" s="246"/>
      <c r="N100" s="246"/>
      <c r="O100" s="246"/>
      <c r="P100" s="246"/>
      <c r="Q100" s="246"/>
      <c r="R100" s="246"/>
      <c r="S100" s="246"/>
      <c r="T100" s="246"/>
      <c r="U100" s="246"/>
      <c r="V100" s="246"/>
      <c r="W100" s="246"/>
      <c r="X100" s="246"/>
      <c r="Y100" s="246"/>
      <c r="Z100" s="246"/>
      <c r="AA100" s="246"/>
      <c r="AB100" s="246"/>
      <c r="AC100" s="246"/>
      <c r="AD100" s="246"/>
      <c r="AE100" s="246"/>
      <c r="AF100" s="246"/>
      <c r="AG100" s="246"/>
      <c r="AH100" s="246"/>
      <c r="AI100" s="246"/>
      <c r="AJ100" s="246"/>
      <c r="AK100" s="246"/>
      <c r="AL100" s="246"/>
      <c r="AM100" s="246"/>
      <c r="AN100" s="246"/>
      <c r="AO100" s="246"/>
      <c r="AP100" s="246"/>
      <c r="AQ100" s="246"/>
      <c r="AR100" s="246"/>
      <c r="AS100" s="246"/>
      <c r="AT100" s="246"/>
      <c r="AU100" s="260"/>
    </row>
    <row r="101" spans="1:47" ht="60" customHeight="1" x14ac:dyDescent="0.35">
      <c r="A101" s="256" t="s">
        <v>3479</v>
      </c>
      <c r="B101" s="234" t="s">
        <v>3662</v>
      </c>
      <c r="C101" s="235" t="s">
        <v>3682</v>
      </c>
      <c r="D101" s="238" t="s">
        <v>3683</v>
      </c>
      <c r="E101" s="239" t="s">
        <v>3483</v>
      </c>
      <c r="F101" s="242" t="s">
        <v>3615</v>
      </c>
      <c r="G101" s="245" t="str">
        <f>IF(COUNTIF(H101:AU101,"&lt;&gt;")=0,"",SUMPRODUCT(((Recommendations[ImplStatus]="Implemented")+(Recommendations[ImplStatus]="Compensated"))*ISNUMBER(MATCH(Recommendations[Id],H101:AU101,0)))/COUNTIF(H101:AU101,"&lt;&gt;"))</f>
        <v/>
      </c>
      <c r="H101" s="246"/>
      <c r="I101" s="246"/>
      <c r="J101" s="246"/>
      <c r="K101" s="246"/>
      <c r="L101" s="246"/>
      <c r="M101" s="246"/>
      <c r="N101" s="246"/>
      <c r="O101" s="246"/>
      <c r="P101" s="246"/>
      <c r="Q101" s="246"/>
      <c r="R101" s="246"/>
      <c r="S101" s="246"/>
      <c r="T101" s="246"/>
      <c r="U101" s="246"/>
      <c r="V101" s="246"/>
      <c r="W101" s="246"/>
      <c r="X101" s="246"/>
      <c r="Y101" s="246"/>
      <c r="Z101" s="246"/>
      <c r="AA101" s="246"/>
      <c r="AB101" s="246"/>
      <c r="AC101" s="246"/>
      <c r="AD101" s="246"/>
      <c r="AE101" s="246"/>
      <c r="AF101" s="246"/>
      <c r="AG101" s="246"/>
      <c r="AH101" s="246"/>
      <c r="AI101" s="246"/>
      <c r="AJ101" s="246"/>
      <c r="AK101" s="246"/>
      <c r="AL101" s="246"/>
      <c r="AM101" s="246"/>
      <c r="AN101" s="246"/>
      <c r="AO101" s="246"/>
      <c r="AP101" s="246"/>
      <c r="AQ101" s="246"/>
      <c r="AR101" s="246"/>
      <c r="AS101" s="246"/>
      <c r="AT101" s="246"/>
      <c r="AU101" s="260"/>
    </row>
    <row r="102" spans="1:47" ht="60" customHeight="1" x14ac:dyDescent="0.35">
      <c r="A102" s="256" t="s">
        <v>3479</v>
      </c>
      <c r="B102" s="234" t="s">
        <v>3662</v>
      </c>
      <c r="C102" s="235" t="s">
        <v>3684</v>
      </c>
      <c r="D102" s="238" t="s">
        <v>3685</v>
      </c>
      <c r="E102" s="239" t="s">
        <v>3627</v>
      </c>
      <c r="F102" s="242" t="s">
        <v>3615</v>
      </c>
      <c r="G102" s="245" t="str">
        <f>IF(COUNTIF(H102:AU102,"&lt;&gt;")=0,"",SUMPRODUCT(((Recommendations[ImplStatus]="Implemented")+(Recommendations[ImplStatus]="Compensated"))*ISNUMBER(MATCH(Recommendations[Id],H102:AU102,0)))/COUNTIF(H102:AU102,"&lt;&gt;"))</f>
        <v/>
      </c>
      <c r="H102" s="246"/>
      <c r="I102" s="246"/>
      <c r="J102" s="246"/>
      <c r="K102" s="246"/>
      <c r="L102" s="246"/>
      <c r="M102" s="246"/>
      <c r="N102" s="246"/>
      <c r="O102" s="246"/>
      <c r="P102" s="246"/>
      <c r="Q102" s="246"/>
      <c r="R102" s="246"/>
      <c r="S102" s="246"/>
      <c r="T102" s="246"/>
      <c r="U102" s="246"/>
      <c r="V102" s="246"/>
      <c r="W102" s="246"/>
      <c r="X102" s="246"/>
      <c r="Y102" s="246"/>
      <c r="Z102" s="246"/>
      <c r="AA102" s="246"/>
      <c r="AB102" s="246"/>
      <c r="AC102" s="246"/>
      <c r="AD102" s="246"/>
      <c r="AE102" s="246"/>
      <c r="AF102" s="246"/>
      <c r="AG102" s="246"/>
      <c r="AH102" s="246"/>
      <c r="AI102" s="246"/>
      <c r="AJ102" s="246"/>
      <c r="AK102" s="246"/>
      <c r="AL102" s="246"/>
      <c r="AM102" s="246"/>
      <c r="AN102" s="246"/>
      <c r="AO102" s="246"/>
      <c r="AP102" s="246"/>
      <c r="AQ102" s="246"/>
      <c r="AR102" s="246"/>
      <c r="AS102" s="246"/>
      <c r="AT102" s="246"/>
      <c r="AU102" s="260"/>
    </row>
    <row r="103" spans="1:47" ht="60" customHeight="1" x14ac:dyDescent="0.35">
      <c r="A103" s="256" t="s">
        <v>3479</v>
      </c>
      <c r="B103" s="234" t="s">
        <v>3662</v>
      </c>
      <c r="C103" s="235" t="s">
        <v>3686</v>
      </c>
      <c r="D103" s="238" t="s">
        <v>3687</v>
      </c>
      <c r="E103" s="239" t="s">
        <v>3627</v>
      </c>
      <c r="F103" s="242" t="s">
        <v>3615</v>
      </c>
      <c r="G103" s="245" t="str">
        <f>IF(COUNTIF(H103:AU103,"&lt;&gt;")=0,"",SUMPRODUCT(((Recommendations[ImplStatus]="Implemented")+(Recommendations[ImplStatus]="Compensated"))*ISNUMBER(MATCH(Recommendations[Id],H103:AU103,0)))/COUNTIF(H103:AU103,"&lt;&gt;"))</f>
        <v/>
      </c>
      <c r="H103" s="246"/>
      <c r="I103" s="246"/>
      <c r="J103" s="246"/>
      <c r="K103" s="246"/>
      <c r="L103" s="246"/>
      <c r="M103" s="246"/>
      <c r="N103" s="246"/>
      <c r="O103" s="246"/>
      <c r="P103" s="246"/>
      <c r="Q103" s="246"/>
      <c r="R103" s="246"/>
      <c r="S103" s="246"/>
      <c r="T103" s="246"/>
      <c r="U103" s="246"/>
      <c r="V103" s="246"/>
      <c r="W103" s="246"/>
      <c r="X103" s="246"/>
      <c r="Y103" s="246"/>
      <c r="Z103" s="246"/>
      <c r="AA103" s="246"/>
      <c r="AB103" s="246"/>
      <c r="AC103" s="246"/>
      <c r="AD103" s="246"/>
      <c r="AE103" s="246"/>
      <c r="AF103" s="246"/>
      <c r="AG103" s="246"/>
      <c r="AH103" s="246"/>
      <c r="AI103" s="246"/>
      <c r="AJ103" s="246"/>
      <c r="AK103" s="246"/>
      <c r="AL103" s="246"/>
      <c r="AM103" s="246"/>
      <c r="AN103" s="246"/>
      <c r="AO103" s="246"/>
      <c r="AP103" s="246"/>
      <c r="AQ103" s="246"/>
      <c r="AR103" s="246"/>
      <c r="AS103" s="246"/>
      <c r="AT103" s="246"/>
      <c r="AU103" s="260"/>
    </row>
    <row r="104" spans="1:47" ht="60" customHeight="1" x14ac:dyDescent="0.35">
      <c r="A104" s="256" t="s">
        <v>3479</v>
      </c>
      <c r="B104" s="234" t="s">
        <v>3662</v>
      </c>
      <c r="C104" s="235" t="s">
        <v>3688</v>
      </c>
      <c r="D104" s="238" t="s">
        <v>3689</v>
      </c>
      <c r="E104" s="239" t="s">
        <v>3627</v>
      </c>
      <c r="F104" s="242" t="s">
        <v>3615</v>
      </c>
      <c r="G104" s="245" t="str">
        <f>IF(COUNTIF(H104:AU104,"&lt;&gt;")=0,"",SUMPRODUCT(((Recommendations[ImplStatus]="Implemented")+(Recommendations[ImplStatus]="Compensated"))*ISNUMBER(MATCH(Recommendations[Id],H104:AU104,0)))/COUNTIF(H104:AU104,"&lt;&gt;"))</f>
        <v/>
      </c>
      <c r="H104" s="246"/>
      <c r="I104" s="246"/>
      <c r="J104" s="246"/>
      <c r="K104" s="246"/>
      <c r="L104" s="246"/>
      <c r="M104" s="246"/>
      <c r="N104" s="246"/>
      <c r="O104" s="246"/>
      <c r="P104" s="246"/>
      <c r="Q104" s="246"/>
      <c r="R104" s="246"/>
      <c r="S104" s="246"/>
      <c r="T104" s="246"/>
      <c r="U104" s="246"/>
      <c r="V104" s="246"/>
      <c r="W104" s="246"/>
      <c r="X104" s="246"/>
      <c r="Y104" s="246"/>
      <c r="Z104" s="246"/>
      <c r="AA104" s="246"/>
      <c r="AB104" s="246"/>
      <c r="AC104" s="246"/>
      <c r="AD104" s="246"/>
      <c r="AE104" s="246"/>
      <c r="AF104" s="246"/>
      <c r="AG104" s="246"/>
      <c r="AH104" s="246"/>
      <c r="AI104" s="246"/>
      <c r="AJ104" s="246"/>
      <c r="AK104" s="246"/>
      <c r="AL104" s="246"/>
      <c r="AM104" s="246"/>
      <c r="AN104" s="246"/>
      <c r="AO104" s="246"/>
      <c r="AP104" s="246"/>
      <c r="AQ104" s="246"/>
      <c r="AR104" s="246"/>
      <c r="AS104" s="246"/>
      <c r="AT104" s="246"/>
      <c r="AU104" s="260"/>
    </row>
    <row r="105" spans="1:47" ht="60" customHeight="1" x14ac:dyDescent="0.35">
      <c r="A105" s="256" t="s">
        <v>3479</v>
      </c>
      <c r="B105" s="234" t="s">
        <v>3662</v>
      </c>
      <c r="C105" s="235" t="s">
        <v>3690</v>
      </c>
      <c r="D105" s="238" t="s">
        <v>3691</v>
      </c>
      <c r="E105" s="239" t="s">
        <v>3512</v>
      </c>
      <c r="F105" s="242" t="s">
        <v>3615</v>
      </c>
      <c r="G105" s="245" t="str">
        <f>IF(COUNTIF(H105:AU105,"&lt;&gt;")=0,"",SUMPRODUCT(((Recommendations[ImplStatus]="Implemented")+(Recommendations[ImplStatus]="Compensated"))*ISNUMBER(MATCH(Recommendations[Id],H105:AU105,0)))/COUNTIF(H105:AU105,"&lt;&gt;"))</f>
        <v/>
      </c>
      <c r="H105" s="246"/>
      <c r="I105" s="246"/>
      <c r="J105" s="246"/>
      <c r="K105" s="246"/>
      <c r="L105" s="246"/>
      <c r="M105" s="246"/>
      <c r="N105" s="246"/>
      <c r="O105" s="246"/>
      <c r="P105" s="246"/>
      <c r="Q105" s="246"/>
      <c r="R105" s="246"/>
      <c r="S105" s="246"/>
      <c r="T105" s="246"/>
      <c r="U105" s="246"/>
      <c r="V105" s="246"/>
      <c r="W105" s="246"/>
      <c r="X105" s="246"/>
      <c r="Y105" s="246"/>
      <c r="Z105" s="246"/>
      <c r="AA105" s="246"/>
      <c r="AB105" s="246"/>
      <c r="AC105" s="246"/>
      <c r="AD105" s="246"/>
      <c r="AE105" s="246"/>
      <c r="AF105" s="246"/>
      <c r="AG105" s="246"/>
      <c r="AH105" s="246"/>
      <c r="AI105" s="246"/>
      <c r="AJ105" s="246"/>
      <c r="AK105" s="246"/>
      <c r="AL105" s="246"/>
      <c r="AM105" s="246"/>
      <c r="AN105" s="246"/>
      <c r="AO105" s="246"/>
      <c r="AP105" s="246"/>
      <c r="AQ105" s="246"/>
      <c r="AR105" s="246"/>
      <c r="AS105" s="246"/>
      <c r="AT105" s="246"/>
      <c r="AU105" s="260"/>
    </row>
    <row r="106" spans="1:47" ht="60" customHeight="1" outlineLevel="2" x14ac:dyDescent="0.35">
      <c r="A106" s="255" t="s">
        <v>3479</v>
      </c>
      <c r="B106" s="233" t="s">
        <v>3692</v>
      </c>
      <c r="C106" s="233"/>
      <c r="D106" s="237"/>
      <c r="E106" s="233"/>
      <c r="F106" s="241"/>
      <c r="G106" s="244" t="str">
        <f>IF(COUNTIF(H106:AU106,"&lt;&gt;")=0,"",SUMPRODUCT(((Recommendations[ImplStatus]="Implemented")+(Recommendations[ImplStatus]="Compensated"))*ISNUMBER(MATCH(Recommendations[Id],H106:AU106,0)))/COUNTIF(H106:AU106,"&lt;&gt;"))</f>
        <v/>
      </c>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59"/>
    </row>
    <row r="107" spans="1:47" ht="60" customHeight="1" x14ac:dyDescent="0.35">
      <c r="A107" s="256" t="s">
        <v>3479</v>
      </c>
      <c r="B107" s="234" t="s">
        <v>3692</v>
      </c>
      <c r="C107" s="235" t="s">
        <v>3693</v>
      </c>
      <c r="D107" s="238" t="s">
        <v>3694</v>
      </c>
      <c r="E107" s="239" t="s">
        <v>3627</v>
      </c>
      <c r="F107" s="242" t="s">
        <v>3615</v>
      </c>
      <c r="G107" s="245" t="str">
        <f>IF(COUNTIF(H107:AU107,"&lt;&gt;")=0,"",SUMPRODUCT(((Recommendations[ImplStatus]="Implemented")+(Recommendations[ImplStatus]="Compensated"))*ISNUMBER(MATCH(Recommendations[Id],H107:AU107,0)))/COUNTIF(H107:AU107,"&lt;&gt;"))</f>
        <v/>
      </c>
      <c r="H107" s="246"/>
      <c r="I107" s="246"/>
      <c r="J107" s="246"/>
      <c r="K107" s="246"/>
      <c r="L107" s="246"/>
      <c r="M107" s="246"/>
      <c r="N107" s="246"/>
      <c r="O107" s="246"/>
      <c r="P107" s="246"/>
      <c r="Q107" s="246"/>
      <c r="R107" s="246"/>
      <c r="S107" s="246"/>
      <c r="T107" s="246"/>
      <c r="U107" s="246"/>
      <c r="V107" s="246"/>
      <c r="W107" s="246"/>
      <c r="X107" s="246"/>
      <c r="Y107" s="246"/>
      <c r="Z107" s="246"/>
      <c r="AA107" s="246"/>
      <c r="AB107" s="246"/>
      <c r="AC107" s="246"/>
      <c r="AD107" s="246"/>
      <c r="AE107" s="246"/>
      <c r="AF107" s="246"/>
      <c r="AG107" s="246"/>
      <c r="AH107" s="246"/>
      <c r="AI107" s="246"/>
      <c r="AJ107" s="246"/>
      <c r="AK107" s="246"/>
      <c r="AL107" s="246"/>
      <c r="AM107" s="246"/>
      <c r="AN107" s="246"/>
      <c r="AO107" s="246"/>
      <c r="AP107" s="246"/>
      <c r="AQ107" s="246"/>
      <c r="AR107" s="246"/>
      <c r="AS107" s="246"/>
      <c r="AT107" s="246"/>
      <c r="AU107" s="260"/>
    </row>
    <row r="108" spans="1:47" ht="60" customHeight="1" x14ac:dyDescent="0.35">
      <c r="A108" s="256" t="s">
        <v>3479</v>
      </c>
      <c r="B108" s="234" t="s">
        <v>3692</v>
      </c>
      <c r="C108" s="235" t="s">
        <v>3695</v>
      </c>
      <c r="D108" s="238" t="s">
        <v>3696</v>
      </c>
      <c r="E108" s="239" t="s">
        <v>3627</v>
      </c>
      <c r="F108" s="242" t="s">
        <v>3615</v>
      </c>
      <c r="G108" s="245" t="str">
        <f>IF(COUNTIF(H108:AU108,"&lt;&gt;")=0,"",SUMPRODUCT(((Recommendations[ImplStatus]="Implemented")+(Recommendations[ImplStatus]="Compensated"))*ISNUMBER(MATCH(Recommendations[Id],H108:AU108,0)))/COUNTIF(H108:AU108,"&lt;&gt;"))</f>
        <v/>
      </c>
      <c r="H108" s="246"/>
      <c r="I108" s="246"/>
      <c r="J108" s="246"/>
      <c r="K108" s="246"/>
      <c r="L108" s="246"/>
      <c r="M108" s="246"/>
      <c r="N108" s="246"/>
      <c r="O108" s="246"/>
      <c r="P108" s="246"/>
      <c r="Q108" s="246"/>
      <c r="R108" s="246"/>
      <c r="S108" s="246"/>
      <c r="T108" s="246"/>
      <c r="U108" s="246"/>
      <c r="V108" s="246"/>
      <c r="W108" s="246"/>
      <c r="X108" s="246"/>
      <c r="Y108" s="246"/>
      <c r="Z108" s="246"/>
      <c r="AA108" s="246"/>
      <c r="AB108" s="246"/>
      <c r="AC108" s="246"/>
      <c r="AD108" s="246"/>
      <c r="AE108" s="246"/>
      <c r="AF108" s="246"/>
      <c r="AG108" s="246"/>
      <c r="AH108" s="246"/>
      <c r="AI108" s="246"/>
      <c r="AJ108" s="246"/>
      <c r="AK108" s="246"/>
      <c r="AL108" s="246"/>
      <c r="AM108" s="246"/>
      <c r="AN108" s="246"/>
      <c r="AO108" s="246"/>
      <c r="AP108" s="246"/>
      <c r="AQ108" s="246"/>
      <c r="AR108" s="246"/>
      <c r="AS108" s="246"/>
      <c r="AT108" s="246"/>
      <c r="AU108" s="260"/>
    </row>
    <row r="109" spans="1:47" ht="60" customHeight="1" x14ac:dyDescent="0.35">
      <c r="A109" s="256" t="s">
        <v>3479</v>
      </c>
      <c r="B109" s="234" t="s">
        <v>3692</v>
      </c>
      <c r="C109" s="235" t="s">
        <v>3697</v>
      </c>
      <c r="D109" s="238" t="s">
        <v>3698</v>
      </c>
      <c r="E109" s="239" t="s">
        <v>3627</v>
      </c>
      <c r="F109" s="242" t="s">
        <v>3615</v>
      </c>
      <c r="G109" s="245" t="str">
        <f>IF(COUNTIF(H109:AU109,"&lt;&gt;")=0,"",SUMPRODUCT(((Recommendations[ImplStatus]="Implemented")+(Recommendations[ImplStatus]="Compensated"))*ISNUMBER(MATCH(Recommendations[Id],H109:AU109,0)))/COUNTIF(H109:AU109,"&lt;&gt;"))</f>
        <v/>
      </c>
      <c r="H109" s="246"/>
      <c r="I109" s="246"/>
      <c r="J109" s="246"/>
      <c r="K109" s="246"/>
      <c r="L109" s="246"/>
      <c r="M109" s="246"/>
      <c r="N109" s="246"/>
      <c r="O109" s="246"/>
      <c r="P109" s="246"/>
      <c r="Q109" s="246"/>
      <c r="R109" s="246"/>
      <c r="S109" s="246"/>
      <c r="T109" s="246"/>
      <c r="U109" s="246"/>
      <c r="V109" s="246"/>
      <c r="W109" s="246"/>
      <c r="X109" s="246"/>
      <c r="Y109" s="246"/>
      <c r="Z109" s="246"/>
      <c r="AA109" s="246"/>
      <c r="AB109" s="246"/>
      <c r="AC109" s="246"/>
      <c r="AD109" s="246"/>
      <c r="AE109" s="246"/>
      <c r="AF109" s="246"/>
      <c r="AG109" s="246"/>
      <c r="AH109" s="246"/>
      <c r="AI109" s="246"/>
      <c r="AJ109" s="246"/>
      <c r="AK109" s="246"/>
      <c r="AL109" s="246"/>
      <c r="AM109" s="246"/>
      <c r="AN109" s="246"/>
      <c r="AO109" s="246"/>
      <c r="AP109" s="246"/>
      <c r="AQ109" s="246"/>
      <c r="AR109" s="246"/>
      <c r="AS109" s="246"/>
      <c r="AT109" s="246"/>
      <c r="AU109" s="260"/>
    </row>
    <row r="110" spans="1:47" ht="60" customHeight="1" x14ac:dyDescent="0.35">
      <c r="A110" s="256" t="s">
        <v>3479</v>
      </c>
      <c r="B110" s="234" t="s">
        <v>3692</v>
      </c>
      <c r="C110" s="235" t="s">
        <v>3699</v>
      </c>
      <c r="D110" s="238" t="s">
        <v>3700</v>
      </c>
      <c r="E110" s="239" t="s">
        <v>3627</v>
      </c>
      <c r="F110" s="242" t="s">
        <v>3615</v>
      </c>
      <c r="G110" s="245" t="str">
        <f>IF(COUNTIF(H110:AU110,"&lt;&gt;")=0,"",SUMPRODUCT(((Recommendations[ImplStatus]="Implemented")+(Recommendations[ImplStatus]="Compensated"))*ISNUMBER(MATCH(Recommendations[Id],H110:AU110,0)))/COUNTIF(H110:AU110,"&lt;&gt;"))</f>
        <v/>
      </c>
      <c r="H110" s="246"/>
      <c r="I110" s="246"/>
      <c r="J110" s="246"/>
      <c r="K110" s="246"/>
      <c r="L110" s="246"/>
      <c r="M110" s="246"/>
      <c r="N110" s="246"/>
      <c r="O110" s="246"/>
      <c r="P110" s="246"/>
      <c r="Q110" s="246"/>
      <c r="R110" s="246"/>
      <c r="S110" s="246"/>
      <c r="T110" s="246"/>
      <c r="U110" s="246"/>
      <c r="V110" s="246"/>
      <c r="W110" s="246"/>
      <c r="X110" s="246"/>
      <c r="Y110" s="246"/>
      <c r="Z110" s="246"/>
      <c r="AA110" s="246"/>
      <c r="AB110" s="246"/>
      <c r="AC110" s="246"/>
      <c r="AD110" s="246"/>
      <c r="AE110" s="246"/>
      <c r="AF110" s="246"/>
      <c r="AG110" s="246"/>
      <c r="AH110" s="246"/>
      <c r="AI110" s="246"/>
      <c r="AJ110" s="246"/>
      <c r="AK110" s="246"/>
      <c r="AL110" s="246"/>
      <c r="AM110" s="246"/>
      <c r="AN110" s="246"/>
      <c r="AO110" s="246"/>
      <c r="AP110" s="246"/>
      <c r="AQ110" s="246"/>
      <c r="AR110" s="246"/>
      <c r="AS110" s="246"/>
      <c r="AT110" s="246"/>
      <c r="AU110" s="260"/>
    </row>
    <row r="111" spans="1:47" ht="60" customHeight="1" x14ac:dyDescent="0.35">
      <c r="A111" s="256" t="s">
        <v>3479</v>
      </c>
      <c r="B111" s="234" t="s">
        <v>3692</v>
      </c>
      <c r="C111" s="235" t="s">
        <v>3701</v>
      </c>
      <c r="D111" s="238" t="s">
        <v>3702</v>
      </c>
      <c r="E111" s="239" t="s">
        <v>3627</v>
      </c>
      <c r="F111" s="242" t="s">
        <v>3615</v>
      </c>
      <c r="G111" s="245" t="str">
        <f>IF(COUNTIF(H111:AU111,"&lt;&gt;")=0,"",SUMPRODUCT(((Recommendations[ImplStatus]="Implemented")+(Recommendations[ImplStatus]="Compensated"))*ISNUMBER(MATCH(Recommendations[Id],H111:AU111,0)))/COUNTIF(H111:AU111,"&lt;&gt;"))</f>
        <v/>
      </c>
      <c r="H111" s="246"/>
      <c r="I111" s="246"/>
      <c r="J111" s="246"/>
      <c r="K111" s="246"/>
      <c r="L111" s="246"/>
      <c r="M111" s="246"/>
      <c r="N111" s="246"/>
      <c r="O111" s="246"/>
      <c r="P111" s="246"/>
      <c r="Q111" s="246"/>
      <c r="R111" s="246"/>
      <c r="S111" s="246"/>
      <c r="T111" s="246"/>
      <c r="U111" s="246"/>
      <c r="V111" s="246"/>
      <c r="W111" s="246"/>
      <c r="X111" s="246"/>
      <c r="Y111" s="246"/>
      <c r="Z111" s="246"/>
      <c r="AA111" s="246"/>
      <c r="AB111" s="246"/>
      <c r="AC111" s="246"/>
      <c r="AD111" s="246"/>
      <c r="AE111" s="246"/>
      <c r="AF111" s="246"/>
      <c r="AG111" s="246"/>
      <c r="AH111" s="246"/>
      <c r="AI111" s="246"/>
      <c r="AJ111" s="246"/>
      <c r="AK111" s="246"/>
      <c r="AL111" s="246"/>
      <c r="AM111" s="246"/>
      <c r="AN111" s="246"/>
      <c r="AO111" s="246"/>
      <c r="AP111" s="246"/>
      <c r="AQ111" s="246"/>
      <c r="AR111" s="246"/>
      <c r="AS111" s="246"/>
      <c r="AT111" s="246"/>
      <c r="AU111" s="260"/>
    </row>
    <row r="112" spans="1:47" ht="60" customHeight="1" x14ac:dyDescent="0.35">
      <c r="A112" s="256" t="s">
        <v>3479</v>
      </c>
      <c r="B112" s="234" t="s">
        <v>3692</v>
      </c>
      <c r="C112" s="235" t="s">
        <v>3703</v>
      </c>
      <c r="D112" s="238" t="s">
        <v>3704</v>
      </c>
      <c r="E112" s="239" t="s">
        <v>3627</v>
      </c>
      <c r="F112" s="242" t="s">
        <v>3615</v>
      </c>
      <c r="G112" s="245" t="str">
        <f>IF(COUNTIF(H112:AU112,"&lt;&gt;")=0,"",SUMPRODUCT(((Recommendations[ImplStatus]="Implemented")+(Recommendations[ImplStatus]="Compensated"))*ISNUMBER(MATCH(Recommendations[Id],H112:AU112,0)))/COUNTIF(H112:AU112,"&lt;&gt;"))</f>
        <v/>
      </c>
      <c r="H112" s="246"/>
      <c r="I112" s="246"/>
      <c r="J112" s="246"/>
      <c r="K112" s="246"/>
      <c r="L112" s="246"/>
      <c r="M112" s="246"/>
      <c r="N112" s="246"/>
      <c r="O112" s="246"/>
      <c r="P112" s="246"/>
      <c r="Q112" s="246"/>
      <c r="R112" s="246"/>
      <c r="S112" s="246"/>
      <c r="T112" s="246"/>
      <c r="U112" s="246"/>
      <c r="V112" s="246"/>
      <c r="W112" s="246"/>
      <c r="X112" s="246"/>
      <c r="Y112" s="246"/>
      <c r="Z112" s="246"/>
      <c r="AA112" s="246"/>
      <c r="AB112" s="246"/>
      <c r="AC112" s="246"/>
      <c r="AD112" s="246"/>
      <c r="AE112" s="246"/>
      <c r="AF112" s="246"/>
      <c r="AG112" s="246"/>
      <c r="AH112" s="246"/>
      <c r="AI112" s="246"/>
      <c r="AJ112" s="246"/>
      <c r="AK112" s="246"/>
      <c r="AL112" s="246"/>
      <c r="AM112" s="246"/>
      <c r="AN112" s="246"/>
      <c r="AO112" s="246"/>
      <c r="AP112" s="246"/>
      <c r="AQ112" s="246"/>
      <c r="AR112" s="246"/>
      <c r="AS112" s="246"/>
      <c r="AT112" s="246"/>
      <c r="AU112" s="260"/>
    </row>
    <row r="113" spans="1:47" ht="60" customHeight="1" x14ac:dyDescent="0.35">
      <c r="A113" s="256" t="s">
        <v>3479</v>
      </c>
      <c r="B113" s="234" t="s">
        <v>3692</v>
      </c>
      <c r="C113" s="235" t="s">
        <v>3705</v>
      </c>
      <c r="D113" s="238" t="s">
        <v>3706</v>
      </c>
      <c r="E113" s="239" t="s">
        <v>3627</v>
      </c>
      <c r="F113" s="242" t="s">
        <v>3615</v>
      </c>
      <c r="G113" s="245" t="str">
        <f>IF(COUNTIF(H113:AU113,"&lt;&gt;")=0,"",SUMPRODUCT(((Recommendations[ImplStatus]="Implemented")+(Recommendations[ImplStatus]="Compensated"))*ISNUMBER(MATCH(Recommendations[Id],H113:AU113,0)))/COUNTIF(H113:AU113,"&lt;&gt;"))</f>
        <v/>
      </c>
      <c r="H113" s="246"/>
      <c r="I113" s="246"/>
      <c r="J113" s="246"/>
      <c r="K113" s="246"/>
      <c r="L113" s="246"/>
      <c r="M113" s="246"/>
      <c r="N113" s="246"/>
      <c r="O113" s="246"/>
      <c r="P113" s="246"/>
      <c r="Q113" s="246"/>
      <c r="R113" s="246"/>
      <c r="S113" s="246"/>
      <c r="T113" s="246"/>
      <c r="U113" s="246"/>
      <c r="V113" s="246"/>
      <c r="W113" s="246"/>
      <c r="X113" s="246"/>
      <c r="Y113" s="246"/>
      <c r="Z113" s="246"/>
      <c r="AA113" s="246"/>
      <c r="AB113" s="246"/>
      <c r="AC113" s="246"/>
      <c r="AD113" s="246"/>
      <c r="AE113" s="246"/>
      <c r="AF113" s="246"/>
      <c r="AG113" s="246"/>
      <c r="AH113" s="246"/>
      <c r="AI113" s="246"/>
      <c r="AJ113" s="246"/>
      <c r="AK113" s="246"/>
      <c r="AL113" s="246"/>
      <c r="AM113" s="246"/>
      <c r="AN113" s="246"/>
      <c r="AO113" s="246"/>
      <c r="AP113" s="246"/>
      <c r="AQ113" s="246"/>
      <c r="AR113" s="246"/>
      <c r="AS113" s="246"/>
      <c r="AT113" s="246"/>
      <c r="AU113" s="260"/>
    </row>
    <row r="114" spans="1:47" ht="60" customHeight="1" x14ac:dyDescent="0.35">
      <c r="A114" s="256" t="s">
        <v>3479</v>
      </c>
      <c r="B114" s="234" t="s">
        <v>3692</v>
      </c>
      <c r="C114" s="235" t="s">
        <v>3707</v>
      </c>
      <c r="D114" s="238" t="s">
        <v>3708</v>
      </c>
      <c r="E114" s="239" t="s">
        <v>3627</v>
      </c>
      <c r="F114" s="242" t="s">
        <v>3615</v>
      </c>
      <c r="G114" s="245" t="str">
        <f>IF(COUNTIF(H114:AU114,"&lt;&gt;")=0,"",SUMPRODUCT(((Recommendations[ImplStatus]="Implemented")+(Recommendations[ImplStatus]="Compensated"))*ISNUMBER(MATCH(Recommendations[Id],H114:AU114,0)))/COUNTIF(H114:AU114,"&lt;&gt;"))</f>
        <v/>
      </c>
      <c r="H114" s="246"/>
      <c r="I114" s="246"/>
      <c r="J114" s="246"/>
      <c r="K114" s="246"/>
      <c r="L114" s="246"/>
      <c r="M114" s="246"/>
      <c r="N114" s="246"/>
      <c r="O114" s="246"/>
      <c r="P114" s="246"/>
      <c r="Q114" s="246"/>
      <c r="R114" s="246"/>
      <c r="S114" s="246"/>
      <c r="T114" s="246"/>
      <c r="U114" s="246"/>
      <c r="V114" s="246"/>
      <c r="W114" s="246"/>
      <c r="X114" s="246"/>
      <c r="Y114" s="246"/>
      <c r="Z114" s="246"/>
      <c r="AA114" s="246"/>
      <c r="AB114" s="246"/>
      <c r="AC114" s="246"/>
      <c r="AD114" s="246"/>
      <c r="AE114" s="246"/>
      <c r="AF114" s="246"/>
      <c r="AG114" s="246"/>
      <c r="AH114" s="246"/>
      <c r="AI114" s="246"/>
      <c r="AJ114" s="246"/>
      <c r="AK114" s="246"/>
      <c r="AL114" s="246"/>
      <c r="AM114" s="246"/>
      <c r="AN114" s="246"/>
      <c r="AO114" s="246"/>
      <c r="AP114" s="246"/>
      <c r="AQ114" s="246"/>
      <c r="AR114" s="246"/>
      <c r="AS114" s="246"/>
      <c r="AT114" s="246"/>
      <c r="AU114" s="260"/>
    </row>
    <row r="115" spans="1:47" ht="60" customHeight="1" x14ac:dyDescent="0.35">
      <c r="A115" s="256" t="s">
        <v>3479</v>
      </c>
      <c r="B115" s="234" t="s">
        <v>3692</v>
      </c>
      <c r="C115" s="235" t="s">
        <v>3709</v>
      </c>
      <c r="D115" s="238" t="s">
        <v>3710</v>
      </c>
      <c r="E115" s="239" t="s">
        <v>3627</v>
      </c>
      <c r="F115" s="242" t="s">
        <v>3615</v>
      </c>
      <c r="G115" s="245" t="str">
        <f>IF(COUNTIF(H115:AU115,"&lt;&gt;")=0,"",SUMPRODUCT(((Recommendations[ImplStatus]="Implemented")+(Recommendations[ImplStatus]="Compensated"))*ISNUMBER(MATCH(Recommendations[Id],H115:AU115,0)))/COUNTIF(H115:AU115,"&lt;&gt;"))</f>
        <v/>
      </c>
      <c r="H115" s="246"/>
      <c r="I115" s="246"/>
      <c r="J115" s="246"/>
      <c r="K115" s="246"/>
      <c r="L115" s="246"/>
      <c r="M115" s="246"/>
      <c r="N115" s="246"/>
      <c r="O115" s="246"/>
      <c r="P115" s="246"/>
      <c r="Q115" s="246"/>
      <c r="R115" s="246"/>
      <c r="S115" s="246"/>
      <c r="T115" s="246"/>
      <c r="U115" s="246"/>
      <c r="V115" s="246"/>
      <c r="W115" s="246"/>
      <c r="X115" s="246"/>
      <c r="Y115" s="246"/>
      <c r="Z115" s="246"/>
      <c r="AA115" s="246"/>
      <c r="AB115" s="246"/>
      <c r="AC115" s="246"/>
      <c r="AD115" s="246"/>
      <c r="AE115" s="246"/>
      <c r="AF115" s="246"/>
      <c r="AG115" s="246"/>
      <c r="AH115" s="246"/>
      <c r="AI115" s="246"/>
      <c r="AJ115" s="246"/>
      <c r="AK115" s="246"/>
      <c r="AL115" s="246"/>
      <c r="AM115" s="246"/>
      <c r="AN115" s="246"/>
      <c r="AO115" s="246"/>
      <c r="AP115" s="246"/>
      <c r="AQ115" s="246"/>
      <c r="AR115" s="246"/>
      <c r="AS115" s="246"/>
      <c r="AT115" s="246"/>
      <c r="AU115" s="260"/>
    </row>
    <row r="116" spans="1:47" ht="60" customHeight="1" x14ac:dyDescent="0.35">
      <c r="A116" s="256" t="s">
        <v>3479</v>
      </c>
      <c r="B116" s="234" t="s">
        <v>3692</v>
      </c>
      <c r="C116" s="235" t="s">
        <v>3711</v>
      </c>
      <c r="D116" s="238" t="s">
        <v>3712</v>
      </c>
      <c r="E116" s="239" t="s">
        <v>3627</v>
      </c>
      <c r="F116" s="242" t="s">
        <v>3615</v>
      </c>
      <c r="G116" s="245" t="str">
        <f>IF(COUNTIF(H116:AU116,"&lt;&gt;")=0,"",SUMPRODUCT(((Recommendations[ImplStatus]="Implemented")+(Recommendations[ImplStatus]="Compensated"))*ISNUMBER(MATCH(Recommendations[Id],H116:AU116,0)))/COUNTIF(H116:AU116,"&lt;&gt;"))</f>
        <v/>
      </c>
      <c r="H116" s="246"/>
      <c r="I116" s="246"/>
      <c r="J116" s="246"/>
      <c r="K116" s="246"/>
      <c r="L116" s="246"/>
      <c r="M116" s="246"/>
      <c r="N116" s="246"/>
      <c r="O116" s="246"/>
      <c r="P116" s="246"/>
      <c r="Q116" s="246"/>
      <c r="R116" s="246"/>
      <c r="S116" s="246"/>
      <c r="T116" s="246"/>
      <c r="U116" s="246"/>
      <c r="V116" s="246"/>
      <c r="W116" s="246"/>
      <c r="X116" s="246"/>
      <c r="Y116" s="246"/>
      <c r="Z116" s="246"/>
      <c r="AA116" s="246"/>
      <c r="AB116" s="246"/>
      <c r="AC116" s="246"/>
      <c r="AD116" s="246"/>
      <c r="AE116" s="246"/>
      <c r="AF116" s="246"/>
      <c r="AG116" s="246"/>
      <c r="AH116" s="246"/>
      <c r="AI116" s="246"/>
      <c r="AJ116" s="246"/>
      <c r="AK116" s="246"/>
      <c r="AL116" s="246"/>
      <c r="AM116" s="246"/>
      <c r="AN116" s="246"/>
      <c r="AO116" s="246"/>
      <c r="AP116" s="246"/>
      <c r="AQ116" s="246"/>
      <c r="AR116" s="246"/>
      <c r="AS116" s="246"/>
      <c r="AT116" s="246"/>
      <c r="AU116" s="260"/>
    </row>
    <row r="117" spans="1:47" ht="60" customHeight="1" x14ac:dyDescent="0.35">
      <c r="A117" s="256" t="s">
        <v>3479</v>
      </c>
      <c r="B117" s="234" t="s">
        <v>3692</v>
      </c>
      <c r="C117" s="235" t="s">
        <v>3713</v>
      </c>
      <c r="D117" s="238" t="s">
        <v>3714</v>
      </c>
      <c r="E117" s="239" t="s">
        <v>3627</v>
      </c>
      <c r="F117" s="242" t="s">
        <v>3615</v>
      </c>
      <c r="G117" s="245" t="str">
        <f>IF(COUNTIF(H117:AU117,"&lt;&gt;")=0,"",SUMPRODUCT(((Recommendations[ImplStatus]="Implemented")+(Recommendations[ImplStatus]="Compensated"))*ISNUMBER(MATCH(Recommendations[Id],H117:AU117,0)))/COUNTIF(H117:AU117,"&lt;&gt;"))</f>
        <v/>
      </c>
      <c r="H117" s="246"/>
      <c r="I117" s="246"/>
      <c r="J117" s="246"/>
      <c r="K117" s="246"/>
      <c r="L117" s="246"/>
      <c r="M117" s="246"/>
      <c r="N117" s="246"/>
      <c r="O117" s="246"/>
      <c r="P117" s="246"/>
      <c r="Q117" s="246"/>
      <c r="R117" s="246"/>
      <c r="S117" s="246"/>
      <c r="T117" s="246"/>
      <c r="U117" s="246"/>
      <c r="V117" s="246"/>
      <c r="W117" s="246"/>
      <c r="X117" s="246"/>
      <c r="Y117" s="246"/>
      <c r="Z117" s="246"/>
      <c r="AA117" s="246"/>
      <c r="AB117" s="246"/>
      <c r="AC117" s="246"/>
      <c r="AD117" s="246"/>
      <c r="AE117" s="246"/>
      <c r="AF117" s="246"/>
      <c r="AG117" s="246"/>
      <c r="AH117" s="246"/>
      <c r="AI117" s="246"/>
      <c r="AJ117" s="246"/>
      <c r="AK117" s="246"/>
      <c r="AL117" s="246"/>
      <c r="AM117" s="246"/>
      <c r="AN117" s="246"/>
      <c r="AO117" s="246"/>
      <c r="AP117" s="246"/>
      <c r="AQ117" s="246"/>
      <c r="AR117" s="246"/>
      <c r="AS117" s="246"/>
      <c r="AT117" s="246"/>
      <c r="AU117" s="260"/>
    </row>
    <row r="118" spans="1:47" ht="60" customHeight="1" outlineLevel="1" x14ac:dyDescent="0.35">
      <c r="A118" s="254" t="s">
        <v>3715</v>
      </c>
      <c r="B118" s="232"/>
      <c r="C118" s="232"/>
      <c r="D118" s="236"/>
      <c r="E118" s="232"/>
      <c r="F118" s="240"/>
      <c r="G118" s="243" t="str">
        <f>IF(COUNTIF(H118:AU118,"&lt;&gt;")=0,"",SUMPRODUCT(((Recommendations[ImplStatus]="Implemented")+(Recommendations[ImplStatus]="Compensated"))*ISNUMBER(MATCH(Recommendations[Id],H118:AU118,0)))/COUNTIF(H118:AU118,"&lt;&gt;"))</f>
        <v/>
      </c>
      <c r="H118" s="240"/>
      <c r="I118" s="240"/>
      <c r="J118" s="240"/>
      <c r="K118" s="240"/>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58"/>
    </row>
    <row r="119" spans="1:47" ht="60" customHeight="1" outlineLevel="2" x14ac:dyDescent="0.35">
      <c r="A119" s="255" t="s">
        <v>3715</v>
      </c>
      <c r="B119" s="233" t="s">
        <v>3716</v>
      </c>
      <c r="C119" s="233"/>
      <c r="D119" s="237"/>
      <c r="E119" s="233"/>
      <c r="F119" s="241"/>
      <c r="G119" s="244" t="str">
        <f>IF(COUNTIF(H119:AU119,"&lt;&gt;")=0,"",SUMPRODUCT(((Recommendations[ImplStatus]="Implemented")+(Recommendations[ImplStatus]="Compensated"))*ISNUMBER(MATCH(Recommendations[Id],H119:AU119,0)))/COUNTIF(H119:AU119,"&lt;&gt;"))</f>
        <v/>
      </c>
      <c r="H119" s="241"/>
      <c r="I119" s="241"/>
      <c r="J119" s="241"/>
      <c r="K119" s="241"/>
      <c r="L119" s="241"/>
      <c r="M119" s="241"/>
      <c r="N119" s="241"/>
      <c r="O119" s="241"/>
      <c r="P119" s="241"/>
      <c r="Q119" s="24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59"/>
    </row>
    <row r="120" spans="1:47" ht="60" customHeight="1" x14ac:dyDescent="0.35">
      <c r="A120" s="256" t="s">
        <v>3715</v>
      </c>
      <c r="B120" s="234" t="s">
        <v>3716</v>
      </c>
      <c r="C120" s="235" t="s">
        <v>3717</v>
      </c>
      <c r="D120" s="238" t="s">
        <v>3718</v>
      </c>
      <c r="E120" s="239" t="s">
        <v>3483</v>
      </c>
      <c r="F120" s="242" t="s">
        <v>3719</v>
      </c>
      <c r="G120" s="245" t="str">
        <f>IF(COUNTIF(H120:AU120,"&lt;&gt;")=0,"",SUMPRODUCT(((Recommendations[ImplStatus]="Implemented")+(Recommendations[ImplStatus]="Compensated"))*ISNUMBER(MATCH(Recommendations[Id],H120:AU120,0)))/COUNTIF(H120:AU120,"&lt;&gt;"))</f>
        <v/>
      </c>
      <c r="H120" s="246"/>
      <c r="I120" s="246"/>
      <c r="J120" s="246"/>
      <c r="K120" s="246"/>
      <c r="L120" s="246"/>
      <c r="M120" s="246"/>
      <c r="N120" s="246"/>
      <c r="O120" s="246"/>
      <c r="P120" s="246"/>
      <c r="Q120" s="246"/>
      <c r="R120" s="246"/>
      <c r="S120" s="246"/>
      <c r="T120" s="246"/>
      <c r="U120" s="246"/>
      <c r="V120" s="246"/>
      <c r="W120" s="246"/>
      <c r="X120" s="246"/>
      <c r="Y120" s="246"/>
      <c r="Z120" s="246"/>
      <c r="AA120" s="246"/>
      <c r="AB120" s="246"/>
      <c r="AC120" s="246"/>
      <c r="AD120" s="246"/>
      <c r="AE120" s="246"/>
      <c r="AF120" s="246"/>
      <c r="AG120" s="246"/>
      <c r="AH120" s="246"/>
      <c r="AI120" s="246"/>
      <c r="AJ120" s="246"/>
      <c r="AK120" s="246"/>
      <c r="AL120" s="246"/>
      <c r="AM120" s="246"/>
      <c r="AN120" s="246"/>
      <c r="AO120" s="246"/>
      <c r="AP120" s="246"/>
      <c r="AQ120" s="246"/>
      <c r="AR120" s="246"/>
      <c r="AS120" s="246"/>
      <c r="AT120" s="246"/>
      <c r="AU120" s="260"/>
    </row>
    <row r="121" spans="1:47" ht="60" customHeight="1" x14ac:dyDescent="0.35">
      <c r="A121" s="256" t="s">
        <v>3715</v>
      </c>
      <c r="B121" s="234" t="s">
        <v>3716</v>
      </c>
      <c r="C121" s="235" t="s">
        <v>3720</v>
      </c>
      <c r="D121" s="238" t="s">
        <v>3721</v>
      </c>
      <c r="E121" s="239" t="s">
        <v>3483</v>
      </c>
      <c r="F121" s="242" t="s">
        <v>3719</v>
      </c>
      <c r="G121" s="245" t="str">
        <f>IF(COUNTIF(H121:AU121,"&lt;&gt;")=0,"",SUMPRODUCT(((Recommendations[ImplStatus]="Implemented")+(Recommendations[ImplStatus]="Compensated"))*ISNUMBER(MATCH(Recommendations[Id],H121:AU121,0)))/COUNTIF(H121:AU121,"&lt;&gt;"))</f>
        <v/>
      </c>
      <c r="H121" s="246"/>
      <c r="I121" s="246"/>
      <c r="J121" s="246"/>
      <c r="K121" s="246"/>
      <c r="L121" s="246"/>
      <c r="M121" s="246"/>
      <c r="N121" s="246"/>
      <c r="O121" s="246"/>
      <c r="P121" s="246"/>
      <c r="Q121" s="246"/>
      <c r="R121" s="246"/>
      <c r="S121" s="246"/>
      <c r="T121" s="246"/>
      <c r="U121" s="246"/>
      <c r="V121" s="246"/>
      <c r="W121" s="246"/>
      <c r="X121" s="246"/>
      <c r="Y121" s="246"/>
      <c r="Z121" s="246"/>
      <c r="AA121" s="246"/>
      <c r="AB121" s="246"/>
      <c r="AC121" s="246"/>
      <c r="AD121" s="246"/>
      <c r="AE121" s="246"/>
      <c r="AF121" s="246"/>
      <c r="AG121" s="246"/>
      <c r="AH121" s="246"/>
      <c r="AI121" s="246"/>
      <c r="AJ121" s="246"/>
      <c r="AK121" s="246"/>
      <c r="AL121" s="246"/>
      <c r="AM121" s="246"/>
      <c r="AN121" s="246"/>
      <c r="AO121" s="246"/>
      <c r="AP121" s="246"/>
      <c r="AQ121" s="246"/>
      <c r="AR121" s="246"/>
      <c r="AS121" s="246"/>
      <c r="AT121" s="246"/>
      <c r="AU121" s="260"/>
    </row>
    <row r="122" spans="1:47" ht="60" customHeight="1" x14ac:dyDescent="0.35">
      <c r="A122" s="256" t="s">
        <v>3715</v>
      </c>
      <c r="B122" s="234" t="s">
        <v>3716</v>
      </c>
      <c r="C122" s="235" t="s">
        <v>3722</v>
      </c>
      <c r="D122" s="238" t="s">
        <v>3723</v>
      </c>
      <c r="E122" s="239" t="s">
        <v>3483</v>
      </c>
      <c r="F122" s="242" t="s">
        <v>3719</v>
      </c>
      <c r="G122" s="245" t="str">
        <f>IF(COUNTIF(H122:AU122,"&lt;&gt;")=0,"",SUMPRODUCT(((Recommendations[ImplStatus]="Implemented")+(Recommendations[ImplStatus]="Compensated"))*ISNUMBER(MATCH(Recommendations[Id],H122:AU122,0)))/COUNTIF(H122:AU122,"&lt;&gt;"))</f>
        <v/>
      </c>
      <c r="H122" s="246"/>
      <c r="I122" s="246"/>
      <c r="J122" s="246"/>
      <c r="K122" s="246"/>
      <c r="L122" s="246"/>
      <c r="M122" s="246"/>
      <c r="N122" s="246"/>
      <c r="O122" s="246"/>
      <c r="P122" s="246"/>
      <c r="Q122" s="246"/>
      <c r="R122" s="246"/>
      <c r="S122" s="246"/>
      <c r="T122" s="246"/>
      <c r="U122" s="246"/>
      <c r="V122" s="246"/>
      <c r="W122" s="246"/>
      <c r="X122" s="246"/>
      <c r="Y122" s="246"/>
      <c r="Z122" s="246"/>
      <c r="AA122" s="246"/>
      <c r="AB122" s="246"/>
      <c r="AC122" s="246"/>
      <c r="AD122" s="246"/>
      <c r="AE122" s="246"/>
      <c r="AF122" s="246"/>
      <c r="AG122" s="246"/>
      <c r="AH122" s="246"/>
      <c r="AI122" s="246"/>
      <c r="AJ122" s="246"/>
      <c r="AK122" s="246"/>
      <c r="AL122" s="246"/>
      <c r="AM122" s="246"/>
      <c r="AN122" s="246"/>
      <c r="AO122" s="246"/>
      <c r="AP122" s="246"/>
      <c r="AQ122" s="246"/>
      <c r="AR122" s="246"/>
      <c r="AS122" s="246"/>
      <c r="AT122" s="246"/>
      <c r="AU122" s="260"/>
    </row>
    <row r="123" spans="1:47" ht="60" customHeight="1" x14ac:dyDescent="0.35">
      <c r="A123" s="256" t="s">
        <v>3715</v>
      </c>
      <c r="B123" s="234" t="s">
        <v>3716</v>
      </c>
      <c r="C123" s="235" t="s">
        <v>3724</v>
      </c>
      <c r="D123" s="238" t="s">
        <v>3725</v>
      </c>
      <c r="E123" s="239" t="s">
        <v>3483</v>
      </c>
      <c r="F123" s="242" t="s">
        <v>3719</v>
      </c>
      <c r="G123" s="245" t="str">
        <f>IF(COUNTIF(H123:AU123,"&lt;&gt;")=0,"",SUMPRODUCT(((Recommendations[ImplStatus]="Implemented")+(Recommendations[ImplStatus]="Compensated"))*ISNUMBER(MATCH(Recommendations[Id],H123:AU123,0)))/COUNTIF(H123:AU123,"&lt;&gt;"))</f>
        <v/>
      </c>
      <c r="H123" s="246"/>
      <c r="I123" s="246"/>
      <c r="J123" s="246"/>
      <c r="K123" s="246"/>
      <c r="L123" s="246"/>
      <c r="M123" s="246"/>
      <c r="N123" s="246"/>
      <c r="O123" s="246"/>
      <c r="P123" s="246"/>
      <c r="Q123" s="246"/>
      <c r="R123" s="246"/>
      <c r="S123" s="246"/>
      <c r="T123" s="246"/>
      <c r="U123" s="246"/>
      <c r="V123" s="246"/>
      <c r="W123" s="246"/>
      <c r="X123" s="246"/>
      <c r="Y123" s="246"/>
      <c r="Z123" s="246"/>
      <c r="AA123" s="246"/>
      <c r="AB123" s="246"/>
      <c r="AC123" s="246"/>
      <c r="AD123" s="246"/>
      <c r="AE123" s="246"/>
      <c r="AF123" s="246"/>
      <c r="AG123" s="246"/>
      <c r="AH123" s="246"/>
      <c r="AI123" s="246"/>
      <c r="AJ123" s="246"/>
      <c r="AK123" s="246"/>
      <c r="AL123" s="246"/>
      <c r="AM123" s="246"/>
      <c r="AN123" s="246"/>
      <c r="AO123" s="246"/>
      <c r="AP123" s="246"/>
      <c r="AQ123" s="246"/>
      <c r="AR123" s="246"/>
      <c r="AS123" s="246"/>
      <c r="AT123" s="246"/>
      <c r="AU123" s="260"/>
    </row>
    <row r="124" spans="1:47" ht="60" customHeight="1" x14ac:dyDescent="0.35">
      <c r="A124" s="256" t="s">
        <v>3715</v>
      </c>
      <c r="B124" s="234" t="s">
        <v>3716</v>
      </c>
      <c r="C124" s="235" t="s">
        <v>3726</v>
      </c>
      <c r="D124" s="238" t="s">
        <v>3727</v>
      </c>
      <c r="E124" s="239" t="s">
        <v>3483</v>
      </c>
      <c r="F124" s="242" t="s">
        <v>3719</v>
      </c>
      <c r="G124" s="245" t="str">
        <f>IF(COUNTIF(H124:AU124,"&lt;&gt;")=0,"",SUMPRODUCT(((Recommendations[ImplStatus]="Implemented")+(Recommendations[ImplStatus]="Compensated"))*ISNUMBER(MATCH(Recommendations[Id],H124:AU124,0)))/COUNTIF(H124:AU124,"&lt;&gt;"))</f>
        <v/>
      </c>
      <c r="H124" s="246"/>
      <c r="I124" s="246"/>
      <c r="J124" s="246"/>
      <c r="K124" s="246"/>
      <c r="L124" s="246"/>
      <c r="M124" s="246"/>
      <c r="N124" s="246"/>
      <c r="O124" s="246"/>
      <c r="P124" s="246"/>
      <c r="Q124" s="246"/>
      <c r="R124" s="246"/>
      <c r="S124" s="246"/>
      <c r="T124" s="246"/>
      <c r="U124" s="246"/>
      <c r="V124" s="246"/>
      <c r="W124" s="246"/>
      <c r="X124" s="246"/>
      <c r="Y124" s="246"/>
      <c r="Z124" s="246"/>
      <c r="AA124" s="246"/>
      <c r="AB124" s="246"/>
      <c r="AC124" s="246"/>
      <c r="AD124" s="246"/>
      <c r="AE124" s="246"/>
      <c r="AF124" s="246"/>
      <c r="AG124" s="246"/>
      <c r="AH124" s="246"/>
      <c r="AI124" s="246"/>
      <c r="AJ124" s="246"/>
      <c r="AK124" s="246"/>
      <c r="AL124" s="246"/>
      <c r="AM124" s="246"/>
      <c r="AN124" s="246"/>
      <c r="AO124" s="246"/>
      <c r="AP124" s="246"/>
      <c r="AQ124" s="246"/>
      <c r="AR124" s="246"/>
      <c r="AS124" s="246"/>
      <c r="AT124" s="246"/>
      <c r="AU124" s="260"/>
    </row>
    <row r="125" spans="1:47" ht="60" customHeight="1" x14ac:dyDescent="0.35">
      <c r="A125" s="256" t="s">
        <v>3715</v>
      </c>
      <c r="B125" s="234" t="s">
        <v>3716</v>
      </c>
      <c r="C125" s="235" t="s">
        <v>3728</v>
      </c>
      <c r="D125" s="238" t="s">
        <v>3729</v>
      </c>
      <c r="E125" s="239" t="s">
        <v>3483</v>
      </c>
      <c r="F125" s="242" t="s">
        <v>3719</v>
      </c>
      <c r="G125" s="245" t="str">
        <f>IF(COUNTIF(H125:AU125,"&lt;&gt;")=0,"",SUMPRODUCT(((Recommendations[ImplStatus]="Implemented")+(Recommendations[ImplStatus]="Compensated"))*ISNUMBER(MATCH(Recommendations[Id],H125:AU125,0)))/COUNTIF(H125:AU125,"&lt;&gt;"))</f>
        <v/>
      </c>
      <c r="H125" s="246"/>
      <c r="I125" s="246"/>
      <c r="J125" s="246"/>
      <c r="K125" s="246"/>
      <c r="L125" s="246"/>
      <c r="M125" s="246"/>
      <c r="N125" s="246"/>
      <c r="O125" s="246"/>
      <c r="P125" s="246"/>
      <c r="Q125" s="246"/>
      <c r="R125" s="246"/>
      <c r="S125" s="246"/>
      <c r="T125" s="246"/>
      <c r="U125" s="246"/>
      <c r="V125" s="246"/>
      <c r="W125" s="246"/>
      <c r="X125" s="246"/>
      <c r="Y125" s="246"/>
      <c r="Z125" s="246"/>
      <c r="AA125" s="246"/>
      <c r="AB125" s="246"/>
      <c r="AC125" s="246"/>
      <c r="AD125" s="246"/>
      <c r="AE125" s="246"/>
      <c r="AF125" s="246"/>
      <c r="AG125" s="246"/>
      <c r="AH125" s="246"/>
      <c r="AI125" s="246"/>
      <c r="AJ125" s="246"/>
      <c r="AK125" s="246"/>
      <c r="AL125" s="246"/>
      <c r="AM125" s="246"/>
      <c r="AN125" s="246"/>
      <c r="AO125" s="246"/>
      <c r="AP125" s="246"/>
      <c r="AQ125" s="246"/>
      <c r="AR125" s="246"/>
      <c r="AS125" s="246"/>
      <c r="AT125" s="246"/>
      <c r="AU125" s="260"/>
    </row>
    <row r="126" spans="1:47" ht="60" customHeight="1" x14ac:dyDescent="0.35">
      <c r="A126" s="256" t="s">
        <v>3715</v>
      </c>
      <c r="B126" s="234" t="s">
        <v>3716</v>
      </c>
      <c r="C126" s="235" t="s">
        <v>3730</v>
      </c>
      <c r="D126" s="238" t="s">
        <v>3731</v>
      </c>
      <c r="E126" s="239" t="s">
        <v>3483</v>
      </c>
      <c r="F126" s="242" t="s">
        <v>3719</v>
      </c>
      <c r="G126" s="245" t="str">
        <f>IF(COUNTIF(H126:AU126,"&lt;&gt;")=0,"",SUMPRODUCT(((Recommendations[ImplStatus]="Implemented")+(Recommendations[ImplStatus]="Compensated"))*ISNUMBER(MATCH(Recommendations[Id],H126:AU126,0)))/COUNTIF(H126:AU126,"&lt;&gt;"))</f>
        <v/>
      </c>
      <c r="H126" s="246"/>
      <c r="I126" s="246"/>
      <c r="J126" s="246"/>
      <c r="K126" s="246"/>
      <c r="L126" s="246"/>
      <c r="M126" s="246"/>
      <c r="N126" s="246"/>
      <c r="O126" s="246"/>
      <c r="P126" s="246"/>
      <c r="Q126" s="246"/>
      <c r="R126" s="246"/>
      <c r="S126" s="246"/>
      <c r="T126" s="246"/>
      <c r="U126" s="246"/>
      <c r="V126" s="246"/>
      <c r="W126" s="246"/>
      <c r="X126" s="246"/>
      <c r="Y126" s="246"/>
      <c r="Z126" s="246"/>
      <c r="AA126" s="246"/>
      <c r="AB126" s="246"/>
      <c r="AC126" s="246"/>
      <c r="AD126" s="246"/>
      <c r="AE126" s="246"/>
      <c r="AF126" s="246"/>
      <c r="AG126" s="246"/>
      <c r="AH126" s="246"/>
      <c r="AI126" s="246"/>
      <c r="AJ126" s="246"/>
      <c r="AK126" s="246"/>
      <c r="AL126" s="246"/>
      <c r="AM126" s="246"/>
      <c r="AN126" s="246"/>
      <c r="AO126" s="246"/>
      <c r="AP126" s="246"/>
      <c r="AQ126" s="246"/>
      <c r="AR126" s="246"/>
      <c r="AS126" s="246"/>
      <c r="AT126" s="246"/>
      <c r="AU126" s="260"/>
    </row>
    <row r="127" spans="1:47" ht="60" customHeight="1" x14ac:dyDescent="0.35">
      <c r="A127" s="256" t="s">
        <v>3715</v>
      </c>
      <c r="B127" s="234" t="s">
        <v>3716</v>
      </c>
      <c r="C127" s="235" t="s">
        <v>3732</v>
      </c>
      <c r="D127" s="238" t="s">
        <v>3733</v>
      </c>
      <c r="E127" s="239" t="s">
        <v>3483</v>
      </c>
      <c r="F127" s="242" t="s">
        <v>3719</v>
      </c>
      <c r="G127" s="245" t="str">
        <f>IF(COUNTIF(H127:AU127,"&lt;&gt;")=0,"",SUMPRODUCT(((Recommendations[ImplStatus]="Implemented")+(Recommendations[ImplStatus]="Compensated"))*ISNUMBER(MATCH(Recommendations[Id],H127:AU127,0)))/COUNTIF(H127:AU127,"&lt;&gt;"))</f>
        <v/>
      </c>
      <c r="H127" s="246"/>
      <c r="I127" s="246"/>
      <c r="J127" s="246"/>
      <c r="K127" s="246"/>
      <c r="L127" s="246"/>
      <c r="M127" s="246"/>
      <c r="N127" s="246"/>
      <c r="O127" s="246"/>
      <c r="P127" s="246"/>
      <c r="Q127" s="246"/>
      <c r="R127" s="246"/>
      <c r="S127" s="246"/>
      <c r="T127" s="246"/>
      <c r="U127" s="246"/>
      <c r="V127" s="246"/>
      <c r="W127" s="246"/>
      <c r="X127" s="246"/>
      <c r="Y127" s="246"/>
      <c r="Z127" s="246"/>
      <c r="AA127" s="246"/>
      <c r="AB127" s="246"/>
      <c r="AC127" s="246"/>
      <c r="AD127" s="246"/>
      <c r="AE127" s="246"/>
      <c r="AF127" s="246"/>
      <c r="AG127" s="246"/>
      <c r="AH127" s="246"/>
      <c r="AI127" s="246"/>
      <c r="AJ127" s="246"/>
      <c r="AK127" s="246"/>
      <c r="AL127" s="246"/>
      <c r="AM127" s="246"/>
      <c r="AN127" s="246"/>
      <c r="AO127" s="246"/>
      <c r="AP127" s="246"/>
      <c r="AQ127" s="246"/>
      <c r="AR127" s="246"/>
      <c r="AS127" s="246"/>
      <c r="AT127" s="246"/>
      <c r="AU127" s="260"/>
    </row>
    <row r="128" spans="1:47" ht="60" customHeight="1" x14ac:dyDescent="0.35">
      <c r="A128" s="256" t="s">
        <v>3715</v>
      </c>
      <c r="B128" s="234" t="s">
        <v>3716</v>
      </c>
      <c r="C128" s="235" t="s">
        <v>3734</v>
      </c>
      <c r="D128" s="238" t="s">
        <v>3735</v>
      </c>
      <c r="E128" s="239" t="s">
        <v>3483</v>
      </c>
      <c r="F128" s="242" t="s">
        <v>3719</v>
      </c>
      <c r="G128" s="245" t="str">
        <f>IF(COUNTIF(H128:AU128,"&lt;&gt;")=0,"",SUMPRODUCT(((Recommendations[ImplStatus]="Implemented")+(Recommendations[ImplStatus]="Compensated"))*ISNUMBER(MATCH(Recommendations[Id],H128:AU128,0)))/COUNTIF(H128:AU128,"&lt;&gt;"))</f>
        <v/>
      </c>
      <c r="H128" s="246"/>
      <c r="I128" s="246"/>
      <c r="J128" s="246"/>
      <c r="K128" s="246"/>
      <c r="L128" s="246"/>
      <c r="M128" s="246"/>
      <c r="N128" s="246"/>
      <c r="O128" s="246"/>
      <c r="P128" s="246"/>
      <c r="Q128" s="246"/>
      <c r="R128" s="246"/>
      <c r="S128" s="246"/>
      <c r="T128" s="246"/>
      <c r="U128" s="246"/>
      <c r="V128" s="246"/>
      <c r="W128" s="246"/>
      <c r="X128" s="246"/>
      <c r="Y128" s="246"/>
      <c r="Z128" s="246"/>
      <c r="AA128" s="246"/>
      <c r="AB128" s="246"/>
      <c r="AC128" s="246"/>
      <c r="AD128" s="246"/>
      <c r="AE128" s="246"/>
      <c r="AF128" s="246"/>
      <c r="AG128" s="246"/>
      <c r="AH128" s="246"/>
      <c r="AI128" s="246"/>
      <c r="AJ128" s="246"/>
      <c r="AK128" s="246"/>
      <c r="AL128" s="246"/>
      <c r="AM128" s="246"/>
      <c r="AN128" s="246"/>
      <c r="AO128" s="246"/>
      <c r="AP128" s="246"/>
      <c r="AQ128" s="246"/>
      <c r="AR128" s="246"/>
      <c r="AS128" s="246"/>
      <c r="AT128" s="246"/>
      <c r="AU128" s="260"/>
    </row>
    <row r="129" spans="1:47" ht="60" customHeight="1" x14ac:dyDescent="0.35">
      <c r="A129" s="256" t="s">
        <v>3715</v>
      </c>
      <c r="B129" s="234" t="s">
        <v>3716</v>
      </c>
      <c r="C129" s="235" t="s">
        <v>3736</v>
      </c>
      <c r="D129" s="238" t="s">
        <v>3737</v>
      </c>
      <c r="E129" s="239" t="s">
        <v>3483</v>
      </c>
      <c r="F129" s="242" t="s">
        <v>3719</v>
      </c>
      <c r="G129" s="245" t="str">
        <f>IF(COUNTIF(H129:AU129,"&lt;&gt;")=0,"",SUMPRODUCT(((Recommendations[ImplStatus]="Implemented")+(Recommendations[ImplStatus]="Compensated"))*ISNUMBER(MATCH(Recommendations[Id],H129:AU129,0)))/COUNTIF(H129:AU129,"&lt;&gt;"))</f>
        <v/>
      </c>
      <c r="H129" s="246"/>
      <c r="I129" s="246"/>
      <c r="J129" s="246"/>
      <c r="K129" s="246"/>
      <c r="L129" s="246"/>
      <c r="M129" s="246"/>
      <c r="N129" s="246"/>
      <c r="O129" s="246"/>
      <c r="P129" s="246"/>
      <c r="Q129" s="246"/>
      <c r="R129" s="246"/>
      <c r="S129" s="246"/>
      <c r="T129" s="246"/>
      <c r="U129" s="246"/>
      <c r="V129" s="246"/>
      <c r="W129" s="246"/>
      <c r="X129" s="246"/>
      <c r="Y129" s="246"/>
      <c r="Z129" s="246"/>
      <c r="AA129" s="246"/>
      <c r="AB129" s="246"/>
      <c r="AC129" s="246"/>
      <c r="AD129" s="246"/>
      <c r="AE129" s="246"/>
      <c r="AF129" s="246"/>
      <c r="AG129" s="246"/>
      <c r="AH129" s="246"/>
      <c r="AI129" s="246"/>
      <c r="AJ129" s="246"/>
      <c r="AK129" s="246"/>
      <c r="AL129" s="246"/>
      <c r="AM129" s="246"/>
      <c r="AN129" s="246"/>
      <c r="AO129" s="246"/>
      <c r="AP129" s="246"/>
      <c r="AQ129" s="246"/>
      <c r="AR129" s="246"/>
      <c r="AS129" s="246"/>
      <c r="AT129" s="246"/>
      <c r="AU129" s="260"/>
    </row>
    <row r="130" spans="1:47" ht="60" customHeight="1" x14ac:dyDescent="0.35">
      <c r="A130" s="256" t="s">
        <v>3715</v>
      </c>
      <c r="B130" s="234" t="s">
        <v>3716</v>
      </c>
      <c r="C130" s="235" t="s">
        <v>3738</v>
      </c>
      <c r="D130" s="238" t="s">
        <v>3739</v>
      </c>
      <c r="E130" s="239" t="s">
        <v>3483</v>
      </c>
      <c r="F130" s="242" t="s">
        <v>3719</v>
      </c>
      <c r="G130" s="245" t="str">
        <f>IF(COUNTIF(H130:AU130,"&lt;&gt;")=0,"",SUMPRODUCT(((Recommendations[ImplStatus]="Implemented")+(Recommendations[ImplStatus]="Compensated"))*ISNUMBER(MATCH(Recommendations[Id],H130:AU130,0)))/COUNTIF(H130:AU130,"&lt;&gt;"))</f>
        <v/>
      </c>
      <c r="H130" s="246"/>
      <c r="I130" s="246"/>
      <c r="J130" s="246"/>
      <c r="K130" s="246"/>
      <c r="L130" s="246"/>
      <c r="M130" s="246"/>
      <c r="N130" s="246"/>
      <c r="O130" s="246"/>
      <c r="P130" s="246"/>
      <c r="Q130" s="246"/>
      <c r="R130" s="246"/>
      <c r="S130" s="246"/>
      <c r="T130" s="246"/>
      <c r="U130" s="246"/>
      <c r="V130" s="246"/>
      <c r="W130" s="246"/>
      <c r="X130" s="246"/>
      <c r="Y130" s="246"/>
      <c r="Z130" s="246"/>
      <c r="AA130" s="246"/>
      <c r="AB130" s="246"/>
      <c r="AC130" s="246"/>
      <c r="AD130" s="246"/>
      <c r="AE130" s="246"/>
      <c r="AF130" s="246"/>
      <c r="AG130" s="246"/>
      <c r="AH130" s="246"/>
      <c r="AI130" s="246"/>
      <c r="AJ130" s="246"/>
      <c r="AK130" s="246"/>
      <c r="AL130" s="246"/>
      <c r="AM130" s="246"/>
      <c r="AN130" s="246"/>
      <c r="AO130" s="246"/>
      <c r="AP130" s="246"/>
      <c r="AQ130" s="246"/>
      <c r="AR130" s="246"/>
      <c r="AS130" s="246"/>
      <c r="AT130" s="246"/>
      <c r="AU130" s="260"/>
    </row>
    <row r="131" spans="1:47" ht="60" customHeight="1" x14ac:dyDescent="0.35">
      <c r="A131" s="256" t="s">
        <v>3715</v>
      </c>
      <c r="B131" s="234" t="s">
        <v>3716</v>
      </c>
      <c r="C131" s="235" t="s">
        <v>3740</v>
      </c>
      <c r="D131" s="238" t="s">
        <v>3741</v>
      </c>
      <c r="E131" s="239" t="s">
        <v>3483</v>
      </c>
      <c r="F131" s="242" t="s">
        <v>3719</v>
      </c>
      <c r="G131" s="245" t="str">
        <f>IF(COUNTIF(H131:AU131,"&lt;&gt;")=0,"",SUMPRODUCT(((Recommendations[ImplStatus]="Implemented")+(Recommendations[ImplStatus]="Compensated"))*ISNUMBER(MATCH(Recommendations[Id],H131:AU131,0)))/COUNTIF(H131:AU131,"&lt;&gt;"))</f>
        <v/>
      </c>
      <c r="H131" s="246"/>
      <c r="I131" s="246"/>
      <c r="J131" s="246"/>
      <c r="K131" s="246"/>
      <c r="L131" s="246"/>
      <c r="M131" s="246"/>
      <c r="N131" s="246"/>
      <c r="O131" s="246"/>
      <c r="P131" s="246"/>
      <c r="Q131" s="246"/>
      <c r="R131" s="246"/>
      <c r="S131" s="246"/>
      <c r="T131" s="246"/>
      <c r="U131" s="246"/>
      <c r="V131" s="246"/>
      <c r="W131" s="246"/>
      <c r="X131" s="246"/>
      <c r="Y131" s="246"/>
      <c r="Z131" s="246"/>
      <c r="AA131" s="246"/>
      <c r="AB131" s="246"/>
      <c r="AC131" s="246"/>
      <c r="AD131" s="246"/>
      <c r="AE131" s="246"/>
      <c r="AF131" s="246"/>
      <c r="AG131" s="246"/>
      <c r="AH131" s="246"/>
      <c r="AI131" s="246"/>
      <c r="AJ131" s="246"/>
      <c r="AK131" s="246"/>
      <c r="AL131" s="246"/>
      <c r="AM131" s="246"/>
      <c r="AN131" s="246"/>
      <c r="AO131" s="246"/>
      <c r="AP131" s="246"/>
      <c r="AQ131" s="246"/>
      <c r="AR131" s="246"/>
      <c r="AS131" s="246"/>
      <c r="AT131" s="246"/>
      <c r="AU131" s="260"/>
    </row>
    <row r="132" spans="1:47" ht="60" customHeight="1" x14ac:dyDescent="0.35">
      <c r="A132" s="256" t="s">
        <v>3715</v>
      </c>
      <c r="B132" s="234" t="s">
        <v>3716</v>
      </c>
      <c r="C132" s="235" t="s">
        <v>3742</v>
      </c>
      <c r="D132" s="238" t="s">
        <v>3743</v>
      </c>
      <c r="E132" s="239" t="s">
        <v>3483</v>
      </c>
      <c r="F132" s="242" t="s">
        <v>3719</v>
      </c>
      <c r="G132" s="245" t="str">
        <f>IF(COUNTIF(H132:AU132,"&lt;&gt;")=0,"",SUMPRODUCT(((Recommendations[ImplStatus]="Implemented")+(Recommendations[ImplStatus]="Compensated"))*ISNUMBER(MATCH(Recommendations[Id],H132:AU132,0)))/COUNTIF(H132:AU132,"&lt;&gt;"))</f>
        <v/>
      </c>
      <c r="H132" s="246"/>
      <c r="I132" s="246"/>
      <c r="J132" s="246"/>
      <c r="K132" s="246"/>
      <c r="L132" s="246"/>
      <c r="M132" s="246"/>
      <c r="N132" s="246"/>
      <c r="O132" s="246"/>
      <c r="P132" s="246"/>
      <c r="Q132" s="246"/>
      <c r="R132" s="246"/>
      <c r="S132" s="246"/>
      <c r="T132" s="246"/>
      <c r="U132" s="246"/>
      <c r="V132" s="246"/>
      <c r="W132" s="246"/>
      <c r="X132" s="246"/>
      <c r="Y132" s="246"/>
      <c r="Z132" s="246"/>
      <c r="AA132" s="246"/>
      <c r="AB132" s="246"/>
      <c r="AC132" s="246"/>
      <c r="AD132" s="246"/>
      <c r="AE132" s="246"/>
      <c r="AF132" s="246"/>
      <c r="AG132" s="246"/>
      <c r="AH132" s="246"/>
      <c r="AI132" s="246"/>
      <c r="AJ132" s="246"/>
      <c r="AK132" s="246"/>
      <c r="AL132" s="246"/>
      <c r="AM132" s="246"/>
      <c r="AN132" s="246"/>
      <c r="AO132" s="246"/>
      <c r="AP132" s="246"/>
      <c r="AQ132" s="246"/>
      <c r="AR132" s="246"/>
      <c r="AS132" s="246"/>
      <c r="AT132" s="246"/>
      <c r="AU132" s="260"/>
    </row>
    <row r="133" spans="1:47" ht="60" customHeight="1" x14ac:dyDescent="0.35">
      <c r="A133" s="256" t="s">
        <v>3715</v>
      </c>
      <c r="B133" s="234" t="s">
        <v>3716</v>
      </c>
      <c r="C133" s="235" t="s">
        <v>3744</v>
      </c>
      <c r="D133" s="238" t="s">
        <v>3745</v>
      </c>
      <c r="E133" s="239" t="s">
        <v>3512</v>
      </c>
      <c r="F133" s="242" t="s">
        <v>3719</v>
      </c>
      <c r="G133" s="245" t="str">
        <f>IF(COUNTIF(H133:AU133,"&lt;&gt;")=0,"",SUMPRODUCT(((Recommendations[ImplStatus]="Implemented")+(Recommendations[ImplStatus]="Compensated"))*ISNUMBER(MATCH(Recommendations[Id],H133:AU133,0)))/COUNTIF(H133:AU133,"&lt;&gt;"))</f>
        <v/>
      </c>
      <c r="H133" s="246"/>
      <c r="I133" s="246"/>
      <c r="J133" s="246"/>
      <c r="K133" s="246"/>
      <c r="L133" s="246"/>
      <c r="M133" s="246"/>
      <c r="N133" s="246"/>
      <c r="O133" s="246"/>
      <c r="P133" s="246"/>
      <c r="Q133" s="246"/>
      <c r="R133" s="246"/>
      <c r="S133" s="246"/>
      <c r="T133" s="246"/>
      <c r="U133" s="246"/>
      <c r="V133" s="246"/>
      <c r="W133" s="246"/>
      <c r="X133" s="246"/>
      <c r="Y133" s="246"/>
      <c r="Z133" s="246"/>
      <c r="AA133" s="246"/>
      <c r="AB133" s="246"/>
      <c r="AC133" s="246"/>
      <c r="AD133" s="246"/>
      <c r="AE133" s="246"/>
      <c r="AF133" s="246"/>
      <c r="AG133" s="246"/>
      <c r="AH133" s="246"/>
      <c r="AI133" s="246"/>
      <c r="AJ133" s="246"/>
      <c r="AK133" s="246"/>
      <c r="AL133" s="246"/>
      <c r="AM133" s="246"/>
      <c r="AN133" s="246"/>
      <c r="AO133" s="246"/>
      <c r="AP133" s="246"/>
      <c r="AQ133" s="246"/>
      <c r="AR133" s="246"/>
      <c r="AS133" s="246"/>
      <c r="AT133" s="246"/>
      <c r="AU133" s="260"/>
    </row>
    <row r="134" spans="1:47" ht="60" customHeight="1" x14ac:dyDescent="0.35">
      <c r="A134" s="256" t="s">
        <v>3715</v>
      </c>
      <c r="B134" s="234" t="s">
        <v>3716</v>
      </c>
      <c r="C134" s="235" t="s">
        <v>3746</v>
      </c>
      <c r="D134" s="238" t="s">
        <v>3747</v>
      </c>
      <c r="E134" s="239" t="s">
        <v>3512</v>
      </c>
      <c r="F134" s="242" t="s">
        <v>3719</v>
      </c>
      <c r="G134" s="245" t="str">
        <f>IF(COUNTIF(H134:AU134,"&lt;&gt;")=0,"",SUMPRODUCT(((Recommendations[ImplStatus]="Implemented")+(Recommendations[ImplStatus]="Compensated"))*ISNUMBER(MATCH(Recommendations[Id],H134:AU134,0)))/COUNTIF(H134:AU134,"&lt;&gt;"))</f>
        <v/>
      </c>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60"/>
    </row>
    <row r="135" spans="1:47" ht="60" customHeight="1" x14ac:dyDescent="0.35">
      <c r="A135" s="256" t="s">
        <v>3715</v>
      </c>
      <c r="B135" s="234" t="s">
        <v>3716</v>
      </c>
      <c r="C135" s="235" t="s">
        <v>3748</v>
      </c>
      <c r="D135" s="238" t="s">
        <v>3749</v>
      </c>
      <c r="E135" s="239" t="s">
        <v>3627</v>
      </c>
      <c r="F135" s="242" t="s">
        <v>3719</v>
      </c>
      <c r="G135" s="245" t="str">
        <f>IF(COUNTIF(H135:AU135,"&lt;&gt;")=0,"",SUMPRODUCT(((Recommendations[ImplStatus]="Implemented")+(Recommendations[ImplStatus]="Compensated"))*ISNUMBER(MATCH(Recommendations[Id],H135:AU135,0)))/COUNTIF(H135:AU135,"&lt;&gt;"))</f>
        <v/>
      </c>
      <c r="H135" s="246"/>
      <c r="I135" s="246"/>
      <c r="J135" s="246"/>
      <c r="K135" s="246"/>
      <c r="L135" s="246"/>
      <c r="M135" s="246"/>
      <c r="N135" s="246"/>
      <c r="O135" s="246"/>
      <c r="P135" s="246"/>
      <c r="Q135" s="246"/>
      <c r="R135" s="246"/>
      <c r="S135" s="246"/>
      <c r="T135" s="246"/>
      <c r="U135" s="246"/>
      <c r="V135" s="246"/>
      <c r="W135" s="246"/>
      <c r="X135" s="246"/>
      <c r="Y135" s="246"/>
      <c r="Z135" s="246"/>
      <c r="AA135" s="246"/>
      <c r="AB135" s="246"/>
      <c r="AC135" s="246"/>
      <c r="AD135" s="246"/>
      <c r="AE135" s="246"/>
      <c r="AF135" s="246"/>
      <c r="AG135" s="246"/>
      <c r="AH135" s="246"/>
      <c r="AI135" s="246"/>
      <c r="AJ135" s="246"/>
      <c r="AK135" s="246"/>
      <c r="AL135" s="246"/>
      <c r="AM135" s="246"/>
      <c r="AN135" s="246"/>
      <c r="AO135" s="246"/>
      <c r="AP135" s="246"/>
      <c r="AQ135" s="246"/>
      <c r="AR135" s="246"/>
      <c r="AS135" s="246"/>
      <c r="AT135" s="246"/>
      <c r="AU135" s="260"/>
    </row>
    <row r="136" spans="1:47" ht="60" customHeight="1" x14ac:dyDescent="0.35">
      <c r="A136" s="256" t="s">
        <v>3715</v>
      </c>
      <c r="B136" s="234" t="s">
        <v>3716</v>
      </c>
      <c r="C136" s="235" t="s">
        <v>3750</v>
      </c>
      <c r="D136" s="238" t="s">
        <v>3751</v>
      </c>
      <c r="E136" s="239" t="s">
        <v>3512</v>
      </c>
      <c r="F136" s="242" t="s">
        <v>3719</v>
      </c>
      <c r="G136" s="245" t="str">
        <f>IF(COUNTIF(H136:AU136,"&lt;&gt;")=0,"",SUMPRODUCT(((Recommendations[ImplStatus]="Implemented")+(Recommendations[ImplStatus]="Compensated"))*ISNUMBER(MATCH(Recommendations[Id],H136:AU136,0)))/COUNTIF(H136:AU136,"&lt;&gt;"))</f>
        <v/>
      </c>
      <c r="H136" s="246"/>
      <c r="I136" s="246"/>
      <c r="J136" s="246"/>
      <c r="K136" s="246"/>
      <c r="L136" s="246"/>
      <c r="M136" s="246"/>
      <c r="N136" s="246"/>
      <c r="O136" s="246"/>
      <c r="P136" s="246"/>
      <c r="Q136" s="246"/>
      <c r="R136" s="246"/>
      <c r="S136" s="246"/>
      <c r="T136" s="246"/>
      <c r="U136" s="246"/>
      <c r="V136" s="246"/>
      <c r="W136" s="246"/>
      <c r="X136" s="246"/>
      <c r="Y136" s="246"/>
      <c r="Z136" s="246"/>
      <c r="AA136" s="246"/>
      <c r="AB136" s="246"/>
      <c r="AC136" s="246"/>
      <c r="AD136" s="246"/>
      <c r="AE136" s="246"/>
      <c r="AF136" s="246"/>
      <c r="AG136" s="246"/>
      <c r="AH136" s="246"/>
      <c r="AI136" s="246"/>
      <c r="AJ136" s="246"/>
      <c r="AK136" s="246"/>
      <c r="AL136" s="246"/>
      <c r="AM136" s="246"/>
      <c r="AN136" s="246"/>
      <c r="AO136" s="246"/>
      <c r="AP136" s="246"/>
      <c r="AQ136" s="246"/>
      <c r="AR136" s="246"/>
      <c r="AS136" s="246"/>
      <c r="AT136" s="246"/>
      <c r="AU136" s="260"/>
    </row>
    <row r="137" spans="1:47" ht="60" customHeight="1" x14ac:dyDescent="0.35">
      <c r="A137" s="256" t="s">
        <v>3715</v>
      </c>
      <c r="B137" s="234" t="s">
        <v>3716</v>
      </c>
      <c r="C137" s="235" t="s">
        <v>3752</v>
      </c>
      <c r="D137" s="238" t="s">
        <v>3753</v>
      </c>
      <c r="E137" s="239" t="s">
        <v>3512</v>
      </c>
      <c r="F137" s="242" t="s">
        <v>3719</v>
      </c>
      <c r="G137" s="245" t="str">
        <f>IF(COUNTIF(H137:AU137,"&lt;&gt;")=0,"",SUMPRODUCT(((Recommendations[ImplStatus]="Implemented")+(Recommendations[ImplStatus]="Compensated"))*ISNUMBER(MATCH(Recommendations[Id],H137:AU137,0)))/COUNTIF(H137:AU137,"&lt;&gt;"))</f>
        <v/>
      </c>
      <c r="H137" s="246"/>
      <c r="I137" s="246"/>
      <c r="J137" s="246"/>
      <c r="K137" s="246"/>
      <c r="L137" s="246"/>
      <c r="M137" s="246"/>
      <c r="N137" s="246"/>
      <c r="O137" s="246"/>
      <c r="P137" s="246"/>
      <c r="Q137" s="246"/>
      <c r="R137" s="246"/>
      <c r="S137" s="246"/>
      <c r="T137" s="246"/>
      <c r="U137" s="246"/>
      <c r="V137" s="246"/>
      <c r="W137" s="246"/>
      <c r="X137" s="246"/>
      <c r="Y137" s="246"/>
      <c r="Z137" s="246"/>
      <c r="AA137" s="246"/>
      <c r="AB137" s="246"/>
      <c r="AC137" s="246"/>
      <c r="AD137" s="246"/>
      <c r="AE137" s="246"/>
      <c r="AF137" s="246"/>
      <c r="AG137" s="246"/>
      <c r="AH137" s="246"/>
      <c r="AI137" s="246"/>
      <c r="AJ137" s="246"/>
      <c r="AK137" s="246"/>
      <c r="AL137" s="246"/>
      <c r="AM137" s="246"/>
      <c r="AN137" s="246"/>
      <c r="AO137" s="246"/>
      <c r="AP137" s="246"/>
      <c r="AQ137" s="246"/>
      <c r="AR137" s="246"/>
      <c r="AS137" s="246"/>
      <c r="AT137" s="246"/>
      <c r="AU137" s="260"/>
    </row>
    <row r="138" spans="1:47" ht="60" customHeight="1" x14ac:dyDescent="0.35">
      <c r="A138" s="256" t="s">
        <v>3715</v>
      </c>
      <c r="B138" s="234" t="s">
        <v>3716</v>
      </c>
      <c r="C138" s="235" t="s">
        <v>3754</v>
      </c>
      <c r="D138" s="238" t="s">
        <v>3755</v>
      </c>
      <c r="E138" s="239" t="s">
        <v>3627</v>
      </c>
      <c r="F138" s="242" t="s">
        <v>3719</v>
      </c>
      <c r="G138" s="245" t="str">
        <f>IF(COUNTIF(H138:AU138,"&lt;&gt;")=0,"",SUMPRODUCT(((Recommendations[ImplStatus]="Implemented")+(Recommendations[ImplStatus]="Compensated"))*ISNUMBER(MATCH(Recommendations[Id],H138:AU138,0)))/COUNTIF(H138:AU138,"&lt;&gt;"))</f>
        <v/>
      </c>
      <c r="H138" s="246"/>
      <c r="I138" s="246"/>
      <c r="J138" s="246"/>
      <c r="K138" s="246"/>
      <c r="L138" s="246"/>
      <c r="M138" s="246"/>
      <c r="N138" s="246"/>
      <c r="O138" s="246"/>
      <c r="P138" s="246"/>
      <c r="Q138" s="246"/>
      <c r="R138" s="246"/>
      <c r="S138" s="246"/>
      <c r="T138" s="246"/>
      <c r="U138" s="246"/>
      <c r="V138" s="246"/>
      <c r="W138" s="246"/>
      <c r="X138" s="246"/>
      <c r="Y138" s="246"/>
      <c r="Z138" s="246"/>
      <c r="AA138" s="246"/>
      <c r="AB138" s="246"/>
      <c r="AC138" s="246"/>
      <c r="AD138" s="246"/>
      <c r="AE138" s="246"/>
      <c r="AF138" s="246"/>
      <c r="AG138" s="246"/>
      <c r="AH138" s="246"/>
      <c r="AI138" s="246"/>
      <c r="AJ138" s="246"/>
      <c r="AK138" s="246"/>
      <c r="AL138" s="246"/>
      <c r="AM138" s="246"/>
      <c r="AN138" s="246"/>
      <c r="AO138" s="246"/>
      <c r="AP138" s="246"/>
      <c r="AQ138" s="246"/>
      <c r="AR138" s="246"/>
      <c r="AS138" s="246"/>
      <c r="AT138" s="246"/>
      <c r="AU138" s="260"/>
    </row>
    <row r="139" spans="1:47" ht="60" customHeight="1" x14ac:dyDescent="0.35">
      <c r="A139" s="256" t="s">
        <v>3715</v>
      </c>
      <c r="B139" s="234" t="s">
        <v>3716</v>
      </c>
      <c r="C139" s="235" t="s">
        <v>3756</v>
      </c>
      <c r="D139" s="238" t="s">
        <v>3757</v>
      </c>
      <c r="E139" s="239" t="s">
        <v>3627</v>
      </c>
      <c r="F139" s="242" t="s">
        <v>3719</v>
      </c>
      <c r="G139" s="245" t="str">
        <f>IF(COUNTIF(H139:AU139,"&lt;&gt;")=0,"",SUMPRODUCT(((Recommendations[ImplStatus]="Implemented")+(Recommendations[ImplStatus]="Compensated"))*ISNUMBER(MATCH(Recommendations[Id],H139:AU139,0)))/COUNTIF(H139:AU139,"&lt;&gt;"))</f>
        <v/>
      </c>
      <c r="H139" s="246"/>
      <c r="I139" s="246"/>
      <c r="J139" s="246"/>
      <c r="K139" s="246"/>
      <c r="L139" s="246"/>
      <c r="M139" s="246"/>
      <c r="N139" s="246"/>
      <c r="O139" s="246"/>
      <c r="P139" s="246"/>
      <c r="Q139" s="246"/>
      <c r="R139" s="246"/>
      <c r="S139" s="246"/>
      <c r="T139" s="246"/>
      <c r="U139" s="246"/>
      <c r="V139" s="246"/>
      <c r="W139" s="246"/>
      <c r="X139" s="246"/>
      <c r="Y139" s="246"/>
      <c r="Z139" s="246"/>
      <c r="AA139" s="246"/>
      <c r="AB139" s="246"/>
      <c r="AC139" s="246"/>
      <c r="AD139" s="246"/>
      <c r="AE139" s="246"/>
      <c r="AF139" s="246"/>
      <c r="AG139" s="246"/>
      <c r="AH139" s="246"/>
      <c r="AI139" s="246"/>
      <c r="AJ139" s="246"/>
      <c r="AK139" s="246"/>
      <c r="AL139" s="246"/>
      <c r="AM139" s="246"/>
      <c r="AN139" s="246"/>
      <c r="AO139" s="246"/>
      <c r="AP139" s="246"/>
      <c r="AQ139" s="246"/>
      <c r="AR139" s="246"/>
      <c r="AS139" s="246"/>
      <c r="AT139" s="246"/>
      <c r="AU139" s="260"/>
    </row>
    <row r="140" spans="1:47" ht="60" customHeight="1" x14ac:dyDescent="0.35">
      <c r="A140" s="256" t="s">
        <v>3715</v>
      </c>
      <c r="B140" s="234" t="s">
        <v>3716</v>
      </c>
      <c r="C140" s="235" t="s">
        <v>3758</v>
      </c>
      <c r="D140" s="238" t="s">
        <v>3759</v>
      </c>
      <c r="E140" s="239" t="s">
        <v>3483</v>
      </c>
      <c r="F140" s="242" t="s">
        <v>3719</v>
      </c>
      <c r="G140" s="245" t="str">
        <f>IF(COUNTIF(H140:AU140,"&lt;&gt;")=0,"",SUMPRODUCT(((Recommendations[ImplStatus]="Implemented")+(Recommendations[ImplStatus]="Compensated"))*ISNUMBER(MATCH(Recommendations[Id],H140:AU140,0)))/COUNTIF(H140:AU140,"&lt;&gt;"))</f>
        <v/>
      </c>
      <c r="H140" s="246"/>
      <c r="I140" s="246"/>
      <c r="J140" s="246"/>
      <c r="K140" s="246"/>
      <c r="L140" s="246"/>
      <c r="M140" s="246"/>
      <c r="N140" s="246"/>
      <c r="O140" s="246"/>
      <c r="P140" s="246"/>
      <c r="Q140" s="246"/>
      <c r="R140" s="246"/>
      <c r="S140" s="246"/>
      <c r="T140" s="246"/>
      <c r="U140" s="246"/>
      <c r="V140" s="246"/>
      <c r="W140" s="246"/>
      <c r="X140" s="246"/>
      <c r="Y140" s="246"/>
      <c r="Z140" s="246"/>
      <c r="AA140" s="246"/>
      <c r="AB140" s="246"/>
      <c r="AC140" s="246"/>
      <c r="AD140" s="246"/>
      <c r="AE140" s="246"/>
      <c r="AF140" s="246"/>
      <c r="AG140" s="246"/>
      <c r="AH140" s="246"/>
      <c r="AI140" s="246"/>
      <c r="AJ140" s="246"/>
      <c r="AK140" s="246"/>
      <c r="AL140" s="246"/>
      <c r="AM140" s="246"/>
      <c r="AN140" s="246"/>
      <c r="AO140" s="246"/>
      <c r="AP140" s="246"/>
      <c r="AQ140" s="246"/>
      <c r="AR140" s="246"/>
      <c r="AS140" s="246"/>
      <c r="AT140" s="246"/>
      <c r="AU140" s="260"/>
    </row>
    <row r="141" spans="1:47" ht="60" customHeight="1" x14ac:dyDescent="0.35">
      <c r="A141" s="256" t="s">
        <v>3715</v>
      </c>
      <c r="B141" s="234" t="s">
        <v>3716</v>
      </c>
      <c r="C141" s="235" t="s">
        <v>3760</v>
      </c>
      <c r="D141" s="238" t="s">
        <v>3761</v>
      </c>
      <c r="E141" s="239" t="s">
        <v>3762</v>
      </c>
      <c r="F141" s="242" t="s">
        <v>3763</v>
      </c>
      <c r="G141" s="245" t="str">
        <f>IF(COUNTIF(H141:AU141,"&lt;&gt;")=0,"",SUMPRODUCT(((Recommendations[ImplStatus]="Implemented")+(Recommendations[ImplStatus]="Compensated"))*ISNUMBER(MATCH(Recommendations[Id],H141:AU141,0)))/COUNTIF(H141:AU141,"&lt;&gt;"))</f>
        <v/>
      </c>
      <c r="H141" s="246"/>
      <c r="I141" s="246"/>
      <c r="J141" s="246"/>
      <c r="K141" s="246"/>
      <c r="L141" s="246"/>
      <c r="M141" s="246"/>
      <c r="N141" s="246"/>
      <c r="O141" s="246"/>
      <c r="P141" s="246"/>
      <c r="Q141" s="246"/>
      <c r="R141" s="246"/>
      <c r="S141" s="246"/>
      <c r="T141" s="246"/>
      <c r="U141" s="246"/>
      <c r="V141" s="246"/>
      <c r="W141" s="246"/>
      <c r="X141" s="246"/>
      <c r="Y141" s="246"/>
      <c r="Z141" s="246"/>
      <c r="AA141" s="246"/>
      <c r="AB141" s="246"/>
      <c r="AC141" s="246"/>
      <c r="AD141" s="246"/>
      <c r="AE141" s="246"/>
      <c r="AF141" s="246"/>
      <c r="AG141" s="246"/>
      <c r="AH141" s="246"/>
      <c r="AI141" s="246"/>
      <c r="AJ141" s="246"/>
      <c r="AK141" s="246"/>
      <c r="AL141" s="246"/>
      <c r="AM141" s="246"/>
      <c r="AN141" s="246"/>
      <c r="AO141" s="246"/>
      <c r="AP141" s="246"/>
      <c r="AQ141" s="246"/>
      <c r="AR141" s="246"/>
      <c r="AS141" s="246"/>
      <c r="AT141" s="246"/>
      <c r="AU141" s="260"/>
    </row>
    <row r="142" spans="1:47" ht="60" customHeight="1" x14ac:dyDescent="0.35">
      <c r="A142" s="256" t="s">
        <v>3715</v>
      </c>
      <c r="B142" s="234" t="s">
        <v>3716</v>
      </c>
      <c r="C142" s="235" t="s">
        <v>3764</v>
      </c>
      <c r="D142" s="238" t="s">
        <v>3765</v>
      </c>
      <c r="E142" s="239" t="s">
        <v>3762</v>
      </c>
      <c r="F142" s="242" t="s">
        <v>3763</v>
      </c>
      <c r="G142" s="245" t="str">
        <f>IF(COUNTIF(H142:AU142,"&lt;&gt;")=0,"",SUMPRODUCT(((Recommendations[ImplStatus]="Implemented")+(Recommendations[ImplStatus]="Compensated"))*ISNUMBER(MATCH(Recommendations[Id],H142:AU142,0)))/COUNTIF(H142:AU142,"&lt;&gt;"))</f>
        <v/>
      </c>
      <c r="H142" s="246"/>
      <c r="I142" s="246"/>
      <c r="J142" s="246"/>
      <c r="K142" s="246"/>
      <c r="L142" s="246"/>
      <c r="M142" s="246"/>
      <c r="N142" s="246"/>
      <c r="O142" s="246"/>
      <c r="P142" s="246"/>
      <c r="Q142" s="246"/>
      <c r="R142" s="246"/>
      <c r="S142" s="246"/>
      <c r="T142" s="246"/>
      <c r="U142" s="246"/>
      <c r="V142" s="246"/>
      <c r="W142" s="246"/>
      <c r="X142" s="246"/>
      <c r="Y142" s="246"/>
      <c r="Z142" s="246"/>
      <c r="AA142" s="246"/>
      <c r="AB142" s="246"/>
      <c r="AC142" s="246"/>
      <c r="AD142" s="246"/>
      <c r="AE142" s="246"/>
      <c r="AF142" s="246"/>
      <c r="AG142" s="246"/>
      <c r="AH142" s="246"/>
      <c r="AI142" s="246"/>
      <c r="AJ142" s="246"/>
      <c r="AK142" s="246"/>
      <c r="AL142" s="246"/>
      <c r="AM142" s="246"/>
      <c r="AN142" s="246"/>
      <c r="AO142" s="246"/>
      <c r="AP142" s="246"/>
      <c r="AQ142" s="246"/>
      <c r="AR142" s="246"/>
      <c r="AS142" s="246"/>
      <c r="AT142" s="246"/>
      <c r="AU142" s="260"/>
    </row>
    <row r="143" spans="1:47" ht="60" customHeight="1" x14ac:dyDescent="0.35">
      <c r="A143" s="256" t="s">
        <v>3715</v>
      </c>
      <c r="B143" s="234" t="s">
        <v>3716</v>
      </c>
      <c r="C143" s="235" t="s">
        <v>3766</v>
      </c>
      <c r="D143" s="238" t="s">
        <v>3767</v>
      </c>
      <c r="E143" s="239" t="s">
        <v>3762</v>
      </c>
      <c r="F143" s="242" t="s">
        <v>3763</v>
      </c>
      <c r="G143" s="245" t="str">
        <f>IF(COUNTIF(H143:AU143,"&lt;&gt;")=0,"",SUMPRODUCT(((Recommendations[ImplStatus]="Implemented")+(Recommendations[ImplStatus]="Compensated"))*ISNUMBER(MATCH(Recommendations[Id],H143:AU143,0)))/COUNTIF(H143:AU143,"&lt;&gt;"))</f>
        <v/>
      </c>
      <c r="H143" s="246"/>
      <c r="I143" s="246"/>
      <c r="J143" s="246"/>
      <c r="K143" s="246"/>
      <c r="L143" s="246"/>
      <c r="M143" s="246"/>
      <c r="N143" s="246"/>
      <c r="O143" s="246"/>
      <c r="P143" s="246"/>
      <c r="Q143" s="246"/>
      <c r="R143" s="246"/>
      <c r="S143" s="246"/>
      <c r="T143" s="246"/>
      <c r="U143" s="246"/>
      <c r="V143" s="246"/>
      <c r="W143" s="246"/>
      <c r="X143" s="246"/>
      <c r="Y143" s="246"/>
      <c r="Z143" s="246"/>
      <c r="AA143" s="246"/>
      <c r="AB143" s="246"/>
      <c r="AC143" s="246"/>
      <c r="AD143" s="246"/>
      <c r="AE143" s="246"/>
      <c r="AF143" s="246"/>
      <c r="AG143" s="246"/>
      <c r="AH143" s="246"/>
      <c r="AI143" s="246"/>
      <c r="AJ143" s="246"/>
      <c r="AK143" s="246"/>
      <c r="AL143" s="246"/>
      <c r="AM143" s="246"/>
      <c r="AN143" s="246"/>
      <c r="AO143" s="246"/>
      <c r="AP143" s="246"/>
      <c r="AQ143" s="246"/>
      <c r="AR143" s="246"/>
      <c r="AS143" s="246"/>
      <c r="AT143" s="246"/>
      <c r="AU143" s="260"/>
    </row>
    <row r="144" spans="1:47" ht="60" customHeight="1" x14ac:dyDescent="0.35">
      <c r="A144" s="256" t="s">
        <v>3715</v>
      </c>
      <c r="B144" s="234" t="s">
        <v>3716</v>
      </c>
      <c r="C144" s="235" t="s">
        <v>3768</v>
      </c>
      <c r="D144" s="238" t="s">
        <v>3769</v>
      </c>
      <c r="E144" s="239" t="s">
        <v>3579</v>
      </c>
      <c r="F144" s="242" t="s">
        <v>3763</v>
      </c>
      <c r="G144" s="245" t="str">
        <f>IF(COUNTIF(H144:AU144,"&lt;&gt;")=0,"",SUMPRODUCT(((Recommendations[ImplStatus]="Implemented")+(Recommendations[ImplStatus]="Compensated"))*ISNUMBER(MATCH(Recommendations[Id],H144:AU144,0)))/COUNTIF(H144:AU144,"&lt;&gt;"))</f>
        <v/>
      </c>
      <c r="H144" s="246"/>
      <c r="I144" s="246"/>
      <c r="J144" s="246"/>
      <c r="K144" s="246"/>
      <c r="L144" s="246"/>
      <c r="M144" s="246"/>
      <c r="N144" s="246"/>
      <c r="O144" s="246"/>
      <c r="P144" s="246"/>
      <c r="Q144" s="246"/>
      <c r="R144" s="246"/>
      <c r="S144" s="246"/>
      <c r="T144" s="246"/>
      <c r="U144" s="246"/>
      <c r="V144" s="246"/>
      <c r="W144" s="246"/>
      <c r="X144" s="246"/>
      <c r="Y144" s="246"/>
      <c r="Z144" s="246"/>
      <c r="AA144" s="246"/>
      <c r="AB144" s="246"/>
      <c r="AC144" s="246"/>
      <c r="AD144" s="246"/>
      <c r="AE144" s="246"/>
      <c r="AF144" s="246"/>
      <c r="AG144" s="246"/>
      <c r="AH144" s="246"/>
      <c r="AI144" s="246"/>
      <c r="AJ144" s="246"/>
      <c r="AK144" s="246"/>
      <c r="AL144" s="246"/>
      <c r="AM144" s="246"/>
      <c r="AN144" s="246"/>
      <c r="AO144" s="246"/>
      <c r="AP144" s="246"/>
      <c r="AQ144" s="246"/>
      <c r="AR144" s="246"/>
      <c r="AS144" s="246"/>
      <c r="AT144" s="246"/>
      <c r="AU144" s="260"/>
    </row>
    <row r="145" spans="1:47" ht="60" customHeight="1" x14ac:dyDescent="0.35">
      <c r="A145" s="256" t="s">
        <v>3715</v>
      </c>
      <c r="B145" s="234" t="s">
        <v>3716</v>
      </c>
      <c r="C145" s="235" t="s">
        <v>3770</v>
      </c>
      <c r="D145" s="238" t="s">
        <v>3771</v>
      </c>
      <c r="E145" s="239" t="s">
        <v>3579</v>
      </c>
      <c r="F145" s="242" t="s">
        <v>3763</v>
      </c>
      <c r="G145" s="245" t="str">
        <f>IF(COUNTIF(H145:AU145,"&lt;&gt;")=0,"",SUMPRODUCT(((Recommendations[ImplStatus]="Implemented")+(Recommendations[ImplStatus]="Compensated"))*ISNUMBER(MATCH(Recommendations[Id],H145:AU145,0)))/COUNTIF(H145:AU145,"&lt;&gt;"))</f>
        <v/>
      </c>
      <c r="H145" s="246"/>
      <c r="I145" s="246"/>
      <c r="J145" s="246"/>
      <c r="K145" s="246"/>
      <c r="L145" s="246"/>
      <c r="M145" s="246"/>
      <c r="N145" s="246"/>
      <c r="O145" s="246"/>
      <c r="P145" s="246"/>
      <c r="Q145" s="246"/>
      <c r="R145" s="246"/>
      <c r="S145" s="246"/>
      <c r="T145" s="246"/>
      <c r="U145" s="246"/>
      <c r="V145" s="246"/>
      <c r="W145" s="246"/>
      <c r="X145" s="246"/>
      <c r="Y145" s="246"/>
      <c r="Z145" s="246"/>
      <c r="AA145" s="246"/>
      <c r="AB145" s="246"/>
      <c r="AC145" s="246"/>
      <c r="AD145" s="246"/>
      <c r="AE145" s="246"/>
      <c r="AF145" s="246"/>
      <c r="AG145" s="246"/>
      <c r="AH145" s="246"/>
      <c r="AI145" s="246"/>
      <c r="AJ145" s="246"/>
      <c r="AK145" s="246"/>
      <c r="AL145" s="246"/>
      <c r="AM145" s="246"/>
      <c r="AN145" s="246"/>
      <c r="AO145" s="246"/>
      <c r="AP145" s="246"/>
      <c r="AQ145" s="246"/>
      <c r="AR145" s="246"/>
      <c r="AS145" s="246"/>
      <c r="AT145" s="246"/>
      <c r="AU145" s="260"/>
    </row>
    <row r="146" spans="1:47" ht="60" customHeight="1" x14ac:dyDescent="0.35">
      <c r="A146" s="256" t="s">
        <v>3715</v>
      </c>
      <c r="B146" s="234" t="s">
        <v>3716</v>
      </c>
      <c r="C146" s="235" t="s">
        <v>3772</v>
      </c>
      <c r="D146" s="238" t="s">
        <v>3773</v>
      </c>
      <c r="E146" s="239" t="s">
        <v>3579</v>
      </c>
      <c r="F146" s="242" t="s">
        <v>3763</v>
      </c>
      <c r="G146" s="245" t="str">
        <f>IF(COUNTIF(H146:AU146,"&lt;&gt;")=0,"",SUMPRODUCT(((Recommendations[ImplStatus]="Implemented")+(Recommendations[ImplStatus]="Compensated"))*ISNUMBER(MATCH(Recommendations[Id],H146:AU146,0)))/COUNTIF(H146:AU146,"&lt;&gt;"))</f>
        <v/>
      </c>
      <c r="H146" s="246"/>
      <c r="I146" s="246"/>
      <c r="J146" s="246"/>
      <c r="K146" s="246"/>
      <c r="L146" s="246"/>
      <c r="M146" s="246"/>
      <c r="N146" s="246"/>
      <c r="O146" s="246"/>
      <c r="P146" s="246"/>
      <c r="Q146" s="246"/>
      <c r="R146" s="246"/>
      <c r="S146" s="246"/>
      <c r="T146" s="246"/>
      <c r="U146" s="246"/>
      <c r="V146" s="246"/>
      <c r="W146" s="246"/>
      <c r="X146" s="246"/>
      <c r="Y146" s="246"/>
      <c r="Z146" s="246"/>
      <c r="AA146" s="246"/>
      <c r="AB146" s="246"/>
      <c r="AC146" s="246"/>
      <c r="AD146" s="246"/>
      <c r="AE146" s="246"/>
      <c r="AF146" s="246"/>
      <c r="AG146" s="246"/>
      <c r="AH146" s="246"/>
      <c r="AI146" s="246"/>
      <c r="AJ146" s="246"/>
      <c r="AK146" s="246"/>
      <c r="AL146" s="246"/>
      <c r="AM146" s="246"/>
      <c r="AN146" s="246"/>
      <c r="AO146" s="246"/>
      <c r="AP146" s="246"/>
      <c r="AQ146" s="246"/>
      <c r="AR146" s="246"/>
      <c r="AS146" s="246"/>
      <c r="AT146" s="246"/>
      <c r="AU146" s="260"/>
    </row>
    <row r="147" spans="1:47" ht="60" customHeight="1" outlineLevel="2" x14ac:dyDescent="0.35">
      <c r="A147" s="255" t="s">
        <v>3715</v>
      </c>
      <c r="B147" s="233" t="s">
        <v>3774</v>
      </c>
      <c r="C147" s="233"/>
      <c r="D147" s="237"/>
      <c r="E147" s="233"/>
      <c r="F147" s="241"/>
      <c r="G147" s="244" t="str">
        <f>IF(COUNTIF(H147:AU147,"&lt;&gt;")=0,"",SUMPRODUCT(((Recommendations[ImplStatus]="Implemented")+(Recommendations[ImplStatus]="Compensated"))*ISNUMBER(MATCH(Recommendations[Id],H147:AU147,0)))/COUNTIF(H147:AU147,"&lt;&gt;"))</f>
        <v/>
      </c>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59"/>
    </row>
    <row r="148" spans="1:47" ht="60" customHeight="1" x14ac:dyDescent="0.35">
      <c r="A148" s="256" t="s">
        <v>3715</v>
      </c>
      <c r="B148" s="234" t="s">
        <v>3774</v>
      </c>
      <c r="C148" s="235" t="s">
        <v>3775</v>
      </c>
      <c r="D148" s="238" t="s">
        <v>3776</v>
      </c>
      <c r="E148" s="239" t="s">
        <v>3512</v>
      </c>
      <c r="F148" s="242" t="s">
        <v>3777</v>
      </c>
      <c r="G148" s="245" t="str">
        <f>IF(COUNTIF(H148:AU148,"&lt;&gt;")=0,"",SUMPRODUCT(((Recommendations[ImplStatus]="Implemented")+(Recommendations[ImplStatus]="Compensated"))*ISNUMBER(MATCH(Recommendations[Id],H148:AU148,0)))/COUNTIF(H148:AU148,"&lt;&gt;"))</f>
        <v/>
      </c>
      <c r="H148" s="246"/>
      <c r="I148" s="246"/>
      <c r="J148" s="246"/>
      <c r="K148" s="246"/>
      <c r="L148" s="246"/>
      <c r="M148" s="246"/>
      <c r="N148" s="246"/>
      <c r="O148" s="246"/>
      <c r="P148" s="246"/>
      <c r="Q148" s="246"/>
      <c r="R148" s="246"/>
      <c r="S148" s="246"/>
      <c r="T148" s="246"/>
      <c r="U148" s="246"/>
      <c r="V148" s="246"/>
      <c r="W148" s="246"/>
      <c r="X148" s="246"/>
      <c r="Y148" s="246"/>
      <c r="Z148" s="246"/>
      <c r="AA148" s="246"/>
      <c r="AB148" s="246"/>
      <c r="AC148" s="246"/>
      <c r="AD148" s="246"/>
      <c r="AE148" s="246"/>
      <c r="AF148" s="246"/>
      <c r="AG148" s="246"/>
      <c r="AH148" s="246"/>
      <c r="AI148" s="246"/>
      <c r="AJ148" s="246"/>
      <c r="AK148" s="246"/>
      <c r="AL148" s="246"/>
      <c r="AM148" s="246"/>
      <c r="AN148" s="246"/>
      <c r="AO148" s="246"/>
      <c r="AP148" s="246"/>
      <c r="AQ148" s="246"/>
      <c r="AR148" s="246"/>
      <c r="AS148" s="246"/>
      <c r="AT148" s="246"/>
      <c r="AU148" s="260"/>
    </row>
    <row r="149" spans="1:47" ht="60" customHeight="1" x14ac:dyDescent="0.35">
      <c r="A149" s="256" t="s">
        <v>3715</v>
      </c>
      <c r="B149" s="234" t="s">
        <v>3774</v>
      </c>
      <c r="C149" s="235" t="s">
        <v>3778</v>
      </c>
      <c r="D149" s="238" t="s">
        <v>3779</v>
      </c>
      <c r="E149" s="239" t="s">
        <v>3512</v>
      </c>
      <c r="F149" s="242" t="s">
        <v>3777</v>
      </c>
      <c r="G149" s="245" t="str">
        <f>IF(COUNTIF(H149:AU149,"&lt;&gt;")=0,"",SUMPRODUCT(((Recommendations[ImplStatus]="Implemented")+(Recommendations[ImplStatus]="Compensated"))*ISNUMBER(MATCH(Recommendations[Id],H149:AU149,0)))/COUNTIF(H149:AU149,"&lt;&gt;"))</f>
        <v/>
      </c>
      <c r="H149" s="246"/>
      <c r="I149" s="246"/>
      <c r="J149" s="246"/>
      <c r="K149" s="246"/>
      <c r="L149" s="246"/>
      <c r="M149" s="246"/>
      <c r="N149" s="246"/>
      <c r="O149" s="246"/>
      <c r="P149" s="246"/>
      <c r="Q149" s="246"/>
      <c r="R149" s="246"/>
      <c r="S149" s="246"/>
      <c r="T149" s="246"/>
      <c r="U149" s="246"/>
      <c r="V149" s="246"/>
      <c r="W149" s="246"/>
      <c r="X149" s="246"/>
      <c r="Y149" s="246"/>
      <c r="Z149" s="246"/>
      <c r="AA149" s="246"/>
      <c r="AB149" s="246"/>
      <c r="AC149" s="246"/>
      <c r="AD149" s="246"/>
      <c r="AE149" s="246"/>
      <c r="AF149" s="246"/>
      <c r="AG149" s="246"/>
      <c r="AH149" s="246"/>
      <c r="AI149" s="246"/>
      <c r="AJ149" s="246"/>
      <c r="AK149" s="246"/>
      <c r="AL149" s="246"/>
      <c r="AM149" s="246"/>
      <c r="AN149" s="246"/>
      <c r="AO149" s="246"/>
      <c r="AP149" s="246"/>
      <c r="AQ149" s="246"/>
      <c r="AR149" s="246"/>
      <c r="AS149" s="246"/>
      <c r="AT149" s="246"/>
      <c r="AU149" s="260"/>
    </row>
    <row r="150" spans="1:47" ht="60" customHeight="1" x14ac:dyDescent="0.35">
      <c r="A150" s="256" t="s">
        <v>3715</v>
      </c>
      <c r="B150" s="234" t="s">
        <v>3774</v>
      </c>
      <c r="C150" s="235" t="s">
        <v>3780</v>
      </c>
      <c r="D150" s="238" t="s">
        <v>3781</v>
      </c>
      <c r="E150" s="239" t="s">
        <v>3512</v>
      </c>
      <c r="F150" s="242" t="s">
        <v>3777</v>
      </c>
      <c r="G150" s="245" t="str">
        <f>IF(COUNTIF(H150:AU150,"&lt;&gt;")=0,"",SUMPRODUCT(((Recommendations[ImplStatus]="Implemented")+(Recommendations[ImplStatus]="Compensated"))*ISNUMBER(MATCH(Recommendations[Id],H150:AU150,0)))/COUNTIF(H150:AU150,"&lt;&gt;"))</f>
        <v/>
      </c>
      <c r="H150" s="246"/>
      <c r="I150" s="246"/>
      <c r="J150" s="246"/>
      <c r="K150" s="246"/>
      <c r="L150" s="246"/>
      <c r="M150" s="246"/>
      <c r="N150" s="246"/>
      <c r="O150" s="246"/>
      <c r="P150" s="246"/>
      <c r="Q150" s="246"/>
      <c r="R150" s="246"/>
      <c r="S150" s="246"/>
      <c r="T150" s="246"/>
      <c r="U150" s="246"/>
      <c r="V150" s="246"/>
      <c r="W150" s="246"/>
      <c r="X150" s="246"/>
      <c r="Y150" s="246"/>
      <c r="Z150" s="246"/>
      <c r="AA150" s="246"/>
      <c r="AB150" s="246"/>
      <c r="AC150" s="246"/>
      <c r="AD150" s="246"/>
      <c r="AE150" s="246"/>
      <c r="AF150" s="246"/>
      <c r="AG150" s="246"/>
      <c r="AH150" s="246"/>
      <c r="AI150" s="246"/>
      <c r="AJ150" s="246"/>
      <c r="AK150" s="246"/>
      <c r="AL150" s="246"/>
      <c r="AM150" s="246"/>
      <c r="AN150" s="246"/>
      <c r="AO150" s="246"/>
      <c r="AP150" s="246"/>
      <c r="AQ150" s="246"/>
      <c r="AR150" s="246"/>
      <c r="AS150" s="246"/>
      <c r="AT150" s="246"/>
      <c r="AU150" s="260"/>
    </row>
    <row r="151" spans="1:47" ht="60" customHeight="1" x14ac:dyDescent="0.35">
      <c r="A151" s="256" t="s">
        <v>3715</v>
      </c>
      <c r="B151" s="234" t="s">
        <v>3774</v>
      </c>
      <c r="C151" s="235" t="s">
        <v>3782</v>
      </c>
      <c r="D151" s="238" t="s">
        <v>3783</v>
      </c>
      <c r="E151" s="239" t="s">
        <v>3512</v>
      </c>
      <c r="F151" s="242" t="s">
        <v>3777</v>
      </c>
      <c r="G151" s="245" t="str">
        <f>IF(COUNTIF(H151:AU151,"&lt;&gt;")=0,"",SUMPRODUCT(((Recommendations[ImplStatus]="Implemented")+(Recommendations[ImplStatus]="Compensated"))*ISNUMBER(MATCH(Recommendations[Id],H151:AU151,0)))/COUNTIF(H151:AU151,"&lt;&gt;"))</f>
        <v/>
      </c>
      <c r="H151" s="246"/>
      <c r="I151" s="246"/>
      <c r="J151" s="246"/>
      <c r="K151" s="246"/>
      <c r="L151" s="246"/>
      <c r="M151" s="246"/>
      <c r="N151" s="246"/>
      <c r="O151" s="246"/>
      <c r="P151" s="246"/>
      <c r="Q151" s="246"/>
      <c r="R151" s="246"/>
      <c r="S151" s="246"/>
      <c r="T151" s="246"/>
      <c r="U151" s="246"/>
      <c r="V151" s="246"/>
      <c r="W151" s="246"/>
      <c r="X151" s="246"/>
      <c r="Y151" s="246"/>
      <c r="Z151" s="246"/>
      <c r="AA151" s="246"/>
      <c r="AB151" s="246"/>
      <c r="AC151" s="246"/>
      <c r="AD151" s="246"/>
      <c r="AE151" s="246"/>
      <c r="AF151" s="246"/>
      <c r="AG151" s="246"/>
      <c r="AH151" s="246"/>
      <c r="AI151" s="246"/>
      <c r="AJ151" s="246"/>
      <c r="AK151" s="246"/>
      <c r="AL151" s="246"/>
      <c r="AM151" s="246"/>
      <c r="AN151" s="246"/>
      <c r="AO151" s="246"/>
      <c r="AP151" s="246"/>
      <c r="AQ151" s="246"/>
      <c r="AR151" s="246"/>
      <c r="AS151" s="246"/>
      <c r="AT151" s="246"/>
      <c r="AU151" s="260"/>
    </row>
    <row r="152" spans="1:47" ht="60" customHeight="1" x14ac:dyDescent="0.35">
      <c r="A152" s="256" t="s">
        <v>3715</v>
      </c>
      <c r="B152" s="234" t="s">
        <v>3774</v>
      </c>
      <c r="C152" s="235" t="s">
        <v>3784</v>
      </c>
      <c r="D152" s="238" t="s">
        <v>3785</v>
      </c>
      <c r="E152" s="239" t="s">
        <v>3512</v>
      </c>
      <c r="F152" s="242" t="s">
        <v>3777</v>
      </c>
      <c r="G152" s="245" t="str">
        <f>IF(COUNTIF(H152:AU152,"&lt;&gt;")=0,"",SUMPRODUCT(((Recommendations[ImplStatus]="Implemented")+(Recommendations[ImplStatus]="Compensated"))*ISNUMBER(MATCH(Recommendations[Id],H152:AU152,0)))/COUNTIF(H152:AU152,"&lt;&gt;"))</f>
        <v/>
      </c>
      <c r="H152" s="246"/>
      <c r="I152" s="246"/>
      <c r="J152" s="246"/>
      <c r="K152" s="246"/>
      <c r="L152" s="246"/>
      <c r="M152" s="246"/>
      <c r="N152" s="246"/>
      <c r="O152" s="246"/>
      <c r="P152" s="246"/>
      <c r="Q152" s="246"/>
      <c r="R152" s="246"/>
      <c r="S152" s="246"/>
      <c r="T152" s="246"/>
      <c r="U152" s="246"/>
      <c r="V152" s="246"/>
      <c r="W152" s="246"/>
      <c r="X152" s="246"/>
      <c r="Y152" s="246"/>
      <c r="Z152" s="246"/>
      <c r="AA152" s="246"/>
      <c r="AB152" s="246"/>
      <c r="AC152" s="246"/>
      <c r="AD152" s="246"/>
      <c r="AE152" s="246"/>
      <c r="AF152" s="246"/>
      <c r="AG152" s="246"/>
      <c r="AH152" s="246"/>
      <c r="AI152" s="246"/>
      <c r="AJ152" s="246"/>
      <c r="AK152" s="246"/>
      <c r="AL152" s="246"/>
      <c r="AM152" s="246"/>
      <c r="AN152" s="246"/>
      <c r="AO152" s="246"/>
      <c r="AP152" s="246"/>
      <c r="AQ152" s="246"/>
      <c r="AR152" s="246"/>
      <c r="AS152" s="246"/>
      <c r="AT152" s="246"/>
      <c r="AU152" s="260"/>
    </row>
    <row r="153" spans="1:47" ht="60" customHeight="1" x14ac:dyDescent="0.35">
      <c r="A153" s="256" t="s">
        <v>3715</v>
      </c>
      <c r="B153" s="234" t="s">
        <v>3774</v>
      </c>
      <c r="C153" s="235" t="s">
        <v>3786</v>
      </c>
      <c r="D153" s="238" t="s">
        <v>3787</v>
      </c>
      <c r="E153" s="239" t="s">
        <v>3512</v>
      </c>
      <c r="F153" s="242" t="s">
        <v>3777</v>
      </c>
      <c r="G153" s="245" t="str">
        <f>IF(COUNTIF(H153:AU153,"&lt;&gt;")=0,"",SUMPRODUCT(((Recommendations[ImplStatus]="Implemented")+(Recommendations[ImplStatus]="Compensated"))*ISNUMBER(MATCH(Recommendations[Id],H153:AU153,0)))/COUNTIF(H153:AU153,"&lt;&gt;"))</f>
        <v/>
      </c>
      <c r="H153" s="246"/>
      <c r="I153" s="246"/>
      <c r="J153" s="246"/>
      <c r="K153" s="246"/>
      <c r="L153" s="246"/>
      <c r="M153" s="246"/>
      <c r="N153" s="246"/>
      <c r="O153" s="246"/>
      <c r="P153" s="246"/>
      <c r="Q153" s="246"/>
      <c r="R153" s="246"/>
      <c r="S153" s="246"/>
      <c r="T153" s="246"/>
      <c r="U153" s="246"/>
      <c r="V153" s="246"/>
      <c r="W153" s="246"/>
      <c r="X153" s="246"/>
      <c r="Y153" s="246"/>
      <c r="Z153" s="246"/>
      <c r="AA153" s="246"/>
      <c r="AB153" s="246"/>
      <c r="AC153" s="246"/>
      <c r="AD153" s="246"/>
      <c r="AE153" s="246"/>
      <c r="AF153" s="246"/>
      <c r="AG153" s="246"/>
      <c r="AH153" s="246"/>
      <c r="AI153" s="246"/>
      <c r="AJ153" s="246"/>
      <c r="AK153" s="246"/>
      <c r="AL153" s="246"/>
      <c r="AM153" s="246"/>
      <c r="AN153" s="246"/>
      <c r="AO153" s="246"/>
      <c r="AP153" s="246"/>
      <c r="AQ153" s="246"/>
      <c r="AR153" s="246"/>
      <c r="AS153" s="246"/>
      <c r="AT153" s="246"/>
      <c r="AU153" s="260"/>
    </row>
    <row r="154" spans="1:47" ht="60" customHeight="1" x14ac:dyDescent="0.35">
      <c r="A154" s="256" t="s">
        <v>3715</v>
      </c>
      <c r="B154" s="234" t="s">
        <v>3774</v>
      </c>
      <c r="C154" s="235" t="s">
        <v>3788</v>
      </c>
      <c r="D154" s="238" t="s">
        <v>3789</v>
      </c>
      <c r="E154" s="239" t="s">
        <v>3512</v>
      </c>
      <c r="F154" s="242" t="s">
        <v>3777</v>
      </c>
      <c r="G154" s="245" t="str">
        <f>IF(COUNTIF(H154:AU154,"&lt;&gt;")=0,"",SUMPRODUCT(((Recommendations[ImplStatus]="Implemented")+(Recommendations[ImplStatus]="Compensated"))*ISNUMBER(MATCH(Recommendations[Id],H154:AU154,0)))/COUNTIF(H154:AU154,"&lt;&gt;"))</f>
        <v/>
      </c>
      <c r="H154" s="246"/>
      <c r="I154" s="246"/>
      <c r="J154" s="246"/>
      <c r="K154" s="246"/>
      <c r="L154" s="246"/>
      <c r="M154" s="246"/>
      <c r="N154" s="246"/>
      <c r="O154" s="246"/>
      <c r="P154" s="246"/>
      <c r="Q154" s="246"/>
      <c r="R154" s="246"/>
      <c r="S154" s="246"/>
      <c r="T154" s="246"/>
      <c r="U154" s="246"/>
      <c r="V154" s="246"/>
      <c r="W154" s="246"/>
      <c r="X154" s="246"/>
      <c r="Y154" s="246"/>
      <c r="Z154" s="246"/>
      <c r="AA154" s="246"/>
      <c r="AB154" s="246"/>
      <c r="AC154" s="246"/>
      <c r="AD154" s="246"/>
      <c r="AE154" s="246"/>
      <c r="AF154" s="246"/>
      <c r="AG154" s="246"/>
      <c r="AH154" s="246"/>
      <c r="AI154" s="246"/>
      <c r="AJ154" s="246"/>
      <c r="AK154" s="246"/>
      <c r="AL154" s="246"/>
      <c r="AM154" s="246"/>
      <c r="AN154" s="246"/>
      <c r="AO154" s="246"/>
      <c r="AP154" s="246"/>
      <c r="AQ154" s="246"/>
      <c r="AR154" s="246"/>
      <c r="AS154" s="246"/>
      <c r="AT154" s="246"/>
      <c r="AU154" s="260"/>
    </row>
    <row r="155" spans="1:47" ht="60" customHeight="1" x14ac:dyDescent="0.35">
      <c r="A155" s="256" t="s">
        <v>3715</v>
      </c>
      <c r="B155" s="234" t="s">
        <v>3774</v>
      </c>
      <c r="C155" s="235" t="s">
        <v>3790</v>
      </c>
      <c r="D155" s="238" t="s">
        <v>3791</v>
      </c>
      <c r="E155" s="239" t="s">
        <v>3512</v>
      </c>
      <c r="F155" s="242" t="s">
        <v>3777</v>
      </c>
      <c r="G155" s="245" t="str">
        <f>IF(COUNTIF(H155:AU155,"&lt;&gt;")=0,"",SUMPRODUCT(((Recommendations[ImplStatus]="Implemented")+(Recommendations[ImplStatus]="Compensated"))*ISNUMBER(MATCH(Recommendations[Id],H155:AU155,0)))/COUNTIF(H155:AU155,"&lt;&gt;"))</f>
        <v/>
      </c>
      <c r="H155" s="246"/>
      <c r="I155" s="246"/>
      <c r="J155" s="246"/>
      <c r="K155" s="246"/>
      <c r="L155" s="246"/>
      <c r="M155" s="246"/>
      <c r="N155" s="246"/>
      <c r="O155" s="246"/>
      <c r="P155" s="246"/>
      <c r="Q155" s="246"/>
      <c r="R155" s="246"/>
      <c r="S155" s="246"/>
      <c r="T155" s="246"/>
      <c r="U155" s="246"/>
      <c r="V155" s="246"/>
      <c r="W155" s="246"/>
      <c r="X155" s="246"/>
      <c r="Y155" s="246"/>
      <c r="Z155" s="246"/>
      <c r="AA155" s="246"/>
      <c r="AB155" s="246"/>
      <c r="AC155" s="246"/>
      <c r="AD155" s="246"/>
      <c r="AE155" s="246"/>
      <c r="AF155" s="246"/>
      <c r="AG155" s="246"/>
      <c r="AH155" s="246"/>
      <c r="AI155" s="246"/>
      <c r="AJ155" s="246"/>
      <c r="AK155" s="246"/>
      <c r="AL155" s="246"/>
      <c r="AM155" s="246"/>
      <c r="AN155" s="246"/>
      <c r="AO155" s="246"/>
      <c r="AP155" s="246"/>
      <c r="AQ155" s="246"/>
      <c r="AR155" s="246"/>
      <c r="AS155" s="246"/>
      <c r="AT155" s="246"/>
      <c r="AU155" s="260"/>
    </row>
    <row r="156" spans="1:47" ht="60" customHeight="1" x14ac:dyDescent="0.35">
      <c r="A156" s="256" t="s">
        <v>3715</v>
      </c>
      <c r="B156" s="234" t="s">
        <v>3774</v>
      </c>
      <c r="C156" s="235" t="s">
        <v>3792</v>
      </c>
      <c r="D156" s="238" t="s">
        <v>3793</v>
      </c>
      <c r="E156" s="239" t="s">
        <v>3512</v>
      </c>
      <c r="F156" s="242" t="s">
        <v>3777</v>
      </c>
      <c r="G156" s="245" t="str">
        <f>IF(COUNTIF(H156:AU156,"&lt;&gt;")=0,"",SUMPRODUCT(((Recommendations[ImplStatus]="Implemented")+(Recommendations[ImplStatus]="Compensated"))*ISNUMBER(MATCH(Recommendations[Id],H156:AU156,0)))/COUNTIF(H156:AU156,"&lt;&gt;"))</f>
        <v/>
      </c>
      <c r="H156" s="246"/>
      <c r="I156" s="246"/>
      <c r="J156" s="246"/>
      <c r="K156" s="246"/>
      <c r="L156" s="246"/>
      <c r="M156" s="246"/>
      <c r="N156" s="246"/>
      <c r="O156" s="246"/>
      <c r="P156" s="246"/>
      <c r="Q156" s="246"/>
      <c r="R156" s="246"/>
      <c r="S156" s="246"/>
      <c r="T156" s="246"/>
      <c r="U156" s="246"/>
      <c r="V156" s="246"/>
      <c r="W156" s="246"/>
      <c r="X156" s="246"/>
      <c r="Y156" s="246"/>
      <c r="Z156" s="246"/>
      <c r="AA156" s="246"/>
      <c r="AB156" s="246"/>
      <c r="AC156" s="246"/>
      <c r="AD156" s="246"/>
      <c r="AE156" s="246"/>
      <c r="AF156" s="246"/>
      <c r="AG156" s="246"/>
      <c r="AH156" s="246"/>
      <c r="AI156" s="246"/>
      <c r="AJ156" s="246"/>
      <c r="AK156" s="246"/>
      <c r="AL156" s="246"/>
      <c r="AM156" s="246"/>
      <c r="AN156" s="246"/>
      <c r="AO156" s="246"/>
      <c r="AP156" s="246"/>
      <c r="AQ156" s="246"/>
      <c r="AR156" s="246"/>
      <c r="AS156" s="246"/>
      <c r="AT156" s="246"/>
      <c r="AU156" s="260"/>
    </row>
    <row r="157" spans="1:47" ht="60" customHeight="1" x14ac:dyDescent="0.35">
      <c r="A157" s="256" t="s">
        <v>3715</v>
      </c>
      <c r="B157" s="234" t="s">
        <v>3774</v>
      </c>
      <c r="C157" s="235" t="s">
        <v>3794</v>
      </c>
      <c r="D157" s="238" t="s">
        <v>3795</v>
      </c>
      <c r="E157" s="239" t="s">
        <v>3512</v>
      </c>
      <c r="F157" s="242" t="s">
        <v>3777</v>
      </c>
      <c r="G157" s="245" t="str">
        <f>IF(COUNTIF(H157:AU157,"&lt;&gt;")=0,"",SUMPRODUCT(((Recommendations[ImplStatus]="Implemented")+(Recommendations[ImplStatus]="Compensated"))*ISNUMBER(MATCH(Recommendations[Id],H157:AU157,0)))/COUNTIF(H157:AU157,"&lt;&gt;"))</f>
        <v/>
      </c>
      <c r="H157" s="246"/>
      <c r="I157" s="246"/>
      <c r="J157" s="246"/>
      <c r="K157" s="246"/>
      <c r="L157" s="246"/>
      <c r="M157" s="246"/>
      <c r="N157" s="246"/>
      <c r="O157" s="246"/>
      <c r="P157" s="246"/>
      <c r="Q157" s="246"/>
      <c r="R157" s="246"/>
      <c r="S157" s="246"/>
      <c r="T157" s="246"/>
      <c r="U157" s="246"/>
      <c r="V157" s="246"/>
      <c r="W157" s="246"/>
      <c r="X157" s="246"/>
      <c r="Y157" s="246"/>
      <c r="Z157" s="246"/>
      <c r="AA157" s="246"/>
      <c r="AB157" s="246"/>
      <c r="AC157" s="246"/>
      <c r="AD157" s="246"/>
      <c r="AE157" s="246"/>
      <c r="AF157" s="246"/>
      <c r="AG157" s="246"/>
      <c r="AH157" s="246"/>
      <c r="AI157" s="246"/>
      <c r="AJ157" s="246"/>
      <c r="AK157" s="246"/>
      <c r="AL157" s="246"/>
      <c r="AM157" s="246"/>
      <c r="AN157" s="246"/>
      <c r="AO157" s="246"/>
      <c r="AP157" s="246"/>
      <c r="AQ157" s="246"/>
      <c r="AR157" s="246"/>
      <c r="AS157" s="246"/>
      <c r="AT157" s="246"/>
      <c r="AU157" s="260"/>
    </row>
    <row r="158" spans="1:47" ht="60" customHeight="1" x14ac:dyDescent="0.35">
      <c r="A158" s="256" t="s">
        <v>3715</v>
      </c>
      <c r="B158" s="234" t="s">
        <v>3774</v>
      </c>
      <c r="C158" s="235" t="s">
        <v>3796</v>
      </c>
      <c r="D158" s="238" t="s">
        <v>3797</v>
      </c>
      <c r="E158" s="239" t="s">
        <v>3512</v>
      </c>
      <c r="F158" s="242" t="s">
        <v>3777</v>
      </c>
      <c r="G158" s="245" t="str">
        <f>IF(COUNTIF(H158:AU158,"&lt;&gt;")=0,"",SUMPRODUCT(((Recommendations[ImplStatus]="Implemented")+(Recommendations[ImplStatus]="Compensated"))*ISNUMBER(MATCH(Recommendations[Id],H158:AU158,0)))/COUNTIF(H158:AU158,"&lt;&gt;"))</f>
        <v/>
      </c>
      <c r="H158" s="246"/>
      <c r="I158" s="246"/>
      <c r="J158" s="246"/>
      <c r="K158" s="246"/>
      <c r="L158" s="246"/>
      <c r="M158" s="246"/>
      <c r="N158" s="246"/>
      <c r="O158" s="246"/>
      <c r="P158" s="246"/>
      <c r="Q158" s="246"/>
      <c r="R158" s="246"/>
      <c r="S158" s="246"/>
      <c r="T158" s="246"/>
      <c r="U158" s="246"/>
      <c r="V158" s="246"/>
      <c r="W158" s="246"/>
      <c r="X158" s="246"/>
      <c r="Y158" s="246"/>
      <c r="Z158" s="246"/>
      <c r="AA158" s="246"/>
      <c r="AB158" s="246"/>
      <c r="AC158" s="246"/>
      <c r="AD158" s="246"/>
      <c r="AE158" s="246"/>
      <c r="AF158" s="246"/>
      <c r="AG158" s="246"/>
      <c r="AH158" s="246"/>
      <c r="AI158" s="246"/>
      <c r="AJ158" s="246"/>
      <c r="AK158" s="246"/>
      <c r="AL158" s="246"/>
      <c r="AM158" s="246"/>
      <c r="AN158" s="246"/>
      <c r="AO158" s="246"/>
      <c r="AP158" s="246"/>
      <c r="AQ158" s="246"/>
      <c r="AR158" s="246"/>
      <c r="AS158" s="246"/>
      <c r="AT158" s="246"/>
      <c r="AU158" s="260"/>
    </row>
    <row r="159" spans="1:47" ht="60" customHeight="1" x14ac:dyDescent="0.35">
      <c r="A159" s="256" t="s">
        <v>3715</v>
      </c>
      <c r="B159" s="234" t="s">
        <v>3774</v>
      </c>
      <c r="C159" s="235" t="s">
        <v>3798</v>
      </c>
      <c r="D159" s="238" t="s">
        <v>3799</v>
      </c>
      <c r="E159" s="239" t="s">
        <v>3512</v>
      </c>
      <c r="F159" s="242" t="s">
        <v>3777</v>
      </c>
      <c r="G159" s="245" t="str">
        <f>IF(COUNTIF(H159:AU159,"&lt;&gt;")=0,"",SUMPRODUCT(((Recommendations[ImplStatus]="Implemented")+(Recommendations[ImplStatus]="Compensated"))*ISNUMBER(MATCH(Recommendations[Id],H159:AU159,0)))/COUNTIF(H159:AU159,"&lt;&gt;"))</f>
        <v/>
      </c>
      <c r="H159" s="246"/>
      <c r="I159" s="246"/>
      <c r="J159" s="246"/>
      <c r="K159" s="246"/>
      <c r="L159" s="246"/>
      <c r="M159" s="246"/>
      <c r="N159" s="246"/>
      <c r="O159" s="246"/>
      <c r="P159" s="246"/>
      <c r="Q159" s="246"/>
      <c r="R159" s="246"/>
      <c r="S159" s="246"/>
      <c r="T159" s="246"/>
      <c r="U159" s="246"/>
      <c r="V159" s="246"/>
      <c r="W159" s="246"/>
      <c r="X159" s="246"/>
      <c r="Y159" s="246"/>
      <c r="Z159" s="246"/>
      <c r="AA159" s="246"/>
      <c r="AB159" s="246"/>
      <c r="AC159" s="246"/>
      <c r="AD159" s="246"/>
      <c r="AE159" s="246"/>
      <c r="AF159" s="246"/>
      <c r="AG159" s="246"/>
      <c r="AH159" s="246"/>
      <c r="AI159" s="246"/>
      <c r="AJ159" s="246"/>
      <c r="AK159" s="246"/>
      <c r="AL159" s="246"/>
      <c r="AM159" s="246"/>
      <c r="AN159" s="246"/>
      <c r="AO159" s="246"/>
      <c r="AP159" s="246"/>
      <c r="AQ159" s="246"/>
      <c r="AR159" s="246"/>
      <c r="AS159" s="246"/>
      <c r="AT159" s="246"/>
      <c r="AU159" s="260"/>
    </row>
    <row r="160" spans="1:47" ht="60" customHeight="1" x14ac:dyDescent="0.35">
      <c r="A160" s="256" t="s">
        <v>3715</v>
      </c>
      <c r="B160" s="234" t="s">
        <v>3774</v>
      </c>
      <c r="C160" s="235" t="s">
        <v>3800</v>
      </c>
      <c r="D160" s="238" t="s">
        <v>3801</v>
      </c>
      <c r="E160" s="239" t="s">
        <v>3512</v>
      </c>
      <c r="F160" s="242" t="s">
        <v>3802</v>
      </c>
      <c r="G160" s="245" t="str">
        <f>IF(COUNTIF(H160:AU160,"&lt;&gt;")=0,"",SUMPRODUCT(((Recommendations[ImplStatus]="Implemented")+(Recommendations[ImplStatus]="Compensated"))*ISNUMBER(MATCH(Recommendations[Id],H160:AU160,0)))/COUNTIF(H160:AU160,"&lt;&gt;"))</f>
        <v/>
      </c>
      <c r="H160" s="246"/>
      <c r="I160" s="246"/>
      <c r="J160" s="246"/>
      <c r="K160" s="246"/>
      <c r="L160" s="246"/>
      <c r="M160" s="246"/>
      <c r="N160" s="246"/>
      <c r="O160" s="246"/>
      <c r="P160" s="246"/>
      <c r="Q160" s="246"/>
      <c r="R160" s="246"/>
      <c r="S160" s="246"/>
      <c r="T160" s="246"/>
      <c r="U160" s="246"/>
      <c r="V160" s="246"/>
      <c r="W160" s="246"/>
      <c r="X160" s="246"/>
      <c r="Y160" s="246"/>
      <c r="Z160" s="246"/>
      <c r="AA160" s="246"/>
      <c r="AB160" s="246"/>
      <c r="AC160" s="246"/>
      <c r="AD160" s="246"/>
      <c r="AE160" s="246"/>
      <c r="AF160" s="246"/>
      <c r="AG160" s="246"/>
      <c r="AH160" s="246"/>
      <c r="AI160" s="246"/>
      <c r="AJ160" s="246"/>
      <c r="AK160" s="246"/>
      <c r="AL160" s="246"/>
      <c r="AM160" s="246"/>
      <c r="AN160" s="246"/>
      <c r="AO160" s="246"/>
      <c r="AP160" s="246"/>
      <c r="AQ160" s="246"/>
      <c r="AR160" s="246"/>
      <c r="AS160" s="246"/>
      <c r="AT160" s="246"/>
      <c r="AU160" s="260"/>
    </row>
    <row r="161" spans="1:47" ht="60" customHeight="1" x14ac:dyDescent="0.35">
      <c r="A161" s="256" t="s">
        <v>3715</v>
      </c>
      <c r="B161" s="234" t="s">
        <v>3774</v>
      </c>
      <c r="C161" s="235" t="s">
        <v>3803</v>
      </c>
      <c r="D161" s="238" t="s">
        <v>3804</v>
      </c>
      <c r="E161" s="239" t="s">
        <v>3512</v>
      </c>
      <c r="F161" s="242" t="s">
        <v>3802</v>
      </c>
      <c r="G161" s="245" t="str">
        <f>IF(COUNTIF(H161:AU161,"&lt;&gt;")=0,"",SUMPRODUCT(((Recommendations[ImplStatus]="Implemented")+(Recommendations[ImplStatus]="Compensated"))*ISNUMBER(MATCH(Recommendations[Id],H161:AU161,0)))/COUNTIF(H161:AU161,"&lt;&gt;"))</f>
        <v/>
      </c>
      <c r="H161" s="246"/>
      <c r="I161" s="246"/>
      <c r="J161" s="246"/>
      <c r="K161" s="246"/>
      <c r="L161" s="246"/>
      <c r="M161" s="246"/>
      <c r="N161" s="246"/>
      <c r="O161" s="246"/>
      <c r="P161" s="246"/>
      <c r="Q161" s="246"/>
      <c r="R161" s="246"/>
      <c r="S161" s="246"/>
      <c r="T161" s="246"/>
      <c r="U161" s="246"/>
      <c r="V161" s="246"/>
      <c r="W161" s="246"/>
      <c r="X161" s="246"/>
      <c r="Y161" s="246"/>
      <c r="Z161" s="246"/>
      <c r="AA161" s="246"/>
      <c r="AB161" s="246"/>
      <c r="AC161" s="246"/>
      <c r="AD161" s="246"/>
      <c r="AE161" s="246"/>
      <c r="AF161" s="246"/>
      <c r="AG161" s="246"/>
      <c r="AH161" s="246"/>
      <c r="AI161" s="246"/>
      <c r="AJ161" s="246"/>
      <c r="AK161" s="246"/>
      <c r="AL161" s="246"/>
      <c r="AM161" s="246"/>
      <c r="AN161" s="246"/>
      <c r="AO161" s="246"/>
      <c r="AP161" s="246"/>
      <c r="AQ161" s="246"/>
      <c r="AR161" s="246"/>
      <c r="AS161" s="246"/>
      <c r="AT161" s="246"/>
      <c r="AU161" s="260"/>
    </row>
    <row r="162" spans="1:47" ht="60" customHeight="1" x14ac:dyDescent="0.35">
      <c r="A162" s="256" t="s">
        <v>3715</v>
      </c>
      <c r="B162" s="234" t="s">
        <v>3774</v>
      </c>
      <c r="C162" s="235" t="s">
        <v>3805</v>
      </c>
      <c r="D162" s="238" t="s">
        <v>3806</v>
      </c>
      <c r="E162" s="239" t="s">
        <v>3512</v>
      </c>
      <c r="F162" s="242" t="s">
        <v>3802</v>
      </c>
      <c r="G162" s="245" t="str">
        <f>IF(COUNTIF(H162:AU162,"&lt;&gt;")=0,"",SUMPRODUCT(((Recommendations[ImplStatus]="Implemented")+(Recommendations[ImplStatus]="Compensated"))*ISNUMBER(MATCH(Recommendations[Id],H162:AU162,0)))/COUNTIF(H162:AU162,"&lt;&gt;"))</f>
        <v/>
      </c>
      <c r="H162" s="246"/>
      <c r="I162" s="246"/>
      <c r="J162" s="246"/>
      <c r="K162" s="246"/>
      <c r="L162" s="246"/>
      <c r="M162" s="246"/>
      <c r="N162" s="246"/>
      <c r="O162" s="246"/>
      <c r="P162" s="246"/>
      <c r="Q162" s="246"/>
      <c r="R162" s="246"/>
      <c r="S162" s="246"/>
      <c r="T162" s="246"/>
      <c r="U162" s="246"/>
      <c r="V162" s="246"/>
      <c r="W162" s="246"/>
      <c r="X162" s="246"/>
      <c r="Y162" s="246"/>
      <c r="Z162" s="246"/>
      <c r="AA162" s="246"/>
      <c r="AB162" s="246"/>
      <c r="AC162" s="246"/>
      <c r="AD162" s="246"/>
      <c r="AE162" s="246"/>
      <c r="AF162" s="246"/>
      <c r="AG162" s="246"/>
      <c r="AH162" s="246"/>
      <c r="AI162" s="246"/>
      <c r="AJ162" s="246"/>
      <c r="AK162" s="246"/>
      <c r="AL162" s="246"/>
      <c r="AM162" s="246"/>
      <c r="AN162" s="246"/>
      <c r="AO162" s="246"/>
      <c r="AP162" s="246"/>
      <c r="AQ162" s="246"/>
      <c r="AR162" s="246"/>
      <c r="AS162" s="246"/>
      <c r="AT162" s="246"/>
      <c r="AU162" s="260"/>
    </row>
    <row r="163" spans="1:47" ht="60" customHeight="1" x14ac:dyDescent="0.35">
      <c r="A163" s="256" t="s">
        <v>3715</v>
      </c>
      <c r="B163" s="234" t="s">
        <v>3774</v>
      </c>
      <c r="C163" s="235" t="s">
        <v>3807</v>
      </c>
      <c r="D163" s="238" t="s">
        <v>3808</v>
      </c>
      <c r="E163" s="239" t="s">
        <v>3512</v>
      </c>
      <c r="F163" s="242" t="s">
        <v>3802</v>
      </c>
      <c r="G163" s="245" t="str">
        <f>IF(COUNTIF(H163:AU163,"&lt;&gt;")=0,"",SUMPRODUCT(((Recommendations[ImplStatus]="Implemented")+(Recommendations[ImplStatus]="Compensated"))*ISNUMBER(MATCH(Recommendations[Id],H163:AU163,0)))/COUNTIF(H163:AU163,"&lt;&gt;"))</f>
        <v/>
      </c>
      <c r="H163" s="246"/>
      <c r="I163" s="246"/>
      <c r="J163" s="246"/>
      <c r="K163" s="246"/>
      <c r="L163" s="246"/>
      <c r="M163" s="246"/>
      <c r="N163" s="246"/>
      <c r="O163" s="246"/>
      <c r="P163" s="246"/>
      <c r="Q163" s="246"/>
      <c r="R163" s="246"/>
      <c r="S163" s="246"/>
      <c r="T163" s="246"/>
      <c r="U163" s="246"/>
      <c r="V163" s="246"/>
      <c r="W163" s="246"/>
      <c r="X163" s="246"/>
      <c r="Y163" s="246"/>
      <c r="Z163" s="246"/>
      <c r="AA163" s="246"/>
      <c r="AB163" s="246"/>
      <c r="AC163" s="246"/>
      <c r="AD163" s="246"/>
      <c r="AE163" s="246"/>
      <c r="AF163" s="246"/>
      <c r="AG163" s="246"/>
      <c r="AH163" s="246"/>
      <c r="AI163" s="246"/>
      <c r="AJ163" s="246"/>
      <c r="AK163" s="246"/>
      <c r="AL163" s="246"/>
      <c r="AM163" s="246"/>
      <c r="AN163" s="246"/>
      <c r="AO163" s="246"/>
      <c r="AP163" s="246"/>
      <c r="AQ163" s="246"/>
      <c r="AR163" s="246"/>
      <c r="AS163" s="246"/>
      <c r="AT163" s="246"/>
      <c r="AU163" s="260"/>
    </row>
    <row r="164" spans="1:47" ht="60" customHeight="1" x14ac:dyDescent="0.35">
      <c r="A164" s="256" t="s">
        <v>3715</v>
      </c>
      <c r="B164" s="234" t="s">
        <v>3774</v>
      </c>
      <c r="C164" s="235" t="s">
        <v>3809</v>
      </c>
      <c r="D164" s="238" t="s">
        <v>3810</v>
      </c>
      <c r="E164" s="239" t="s">
        <v>3512</v>
      </c>
      <c r="F164" s="242" t="s">
        <v>3802</v>
      </c>
      <c r="G164" s="245" t="str">
        <f>IF(COUNTIF(H164:AU164,"&lt;&gt;")=0,"",SUMPRODUCT(((Recommendations[ImplStatus]="Implemented")+(Recommendations[ImplStatus]="Compensated"))*ISNUMBER(MATCH(Recommendations[Id],H164:AU164,0)))/COUNTIF(H164:AU164,"&lt;&gt;"))</f>
        <v/>
      </c>
      <c r="H164" s="246"/>
      <c r="I164" s="246"/>
      <c r="J164" s="246"/>
      <c r="K164" s="246"/>
      <c r="L164" s="246"/>
      <c r="M164" s="246"/>
      <c r="N164" s="246"/>
      <c r="O164" s="246"/>
      <c r="P164" s="246"/>
      <c r="Q164" s="246"/>
      <c r="R164" s="246"/>
      <c r="S164" s="246"/>
      <c r="T164" s="246"/>
      <c r="U164" s="246"/>
      <c r="V164" s="246"/>
      <c r="W164" s="246"/>
      <c r="X164" s="246"/>
      <c r="Y164" s="246"/>
      <c r="Z164" s="246"/>
      <c r="AA164" s="246"/>
      <c r="AB164" s="246"/>
      <c r="AC164" s="246"/>
      <c r="AD164" s="246"/>
      <c r="AE164" s="246"/>
      <c r="AF164" s="246"/>
      <c r="AG164" s="246"/>
      <c r="AH164" s="246"/>
      <c r="AI164" s="246"/>
      <c r="AJ164" s="246"/>
      <c r="AK164" s="246"/>
      <c r="AL164" s="246"/>
      <c r="AM164" s="246"/>
      <c r="AN164" s="246"/>
      <c r="AO164" s="246"/>
      <c r="AP164" s="246"/>
      <c r="AQ164" s="246"/>
      <c r="AR164" s="246"/>
      <c r="AS164" s="246"/>
      <c r="AT164" s="246"/>
      <c r="AU164" s="260"/>
    </row>
    <row r="165" spans="1:47" ht="60" customHeight="1" outlineLevel="2" x14ac:dyDescent="0.35">
      <c r="A165" s="255" t="s">
        <v>3715</v>
      </c>
      <c r="B165" s="233" t="s">
        <v>3811</v>
      </c>
      <c r="C165" s="233"/>
      <c r="D165" s="237"/>
      <c r="E165" s="233"/>
      <c r="F165" s="241"/>
      <c r="G165" s="244" t="str">
        <f>IF(COUNTIF(H165:AU165,"&lt;&gt;")=0,"",SUMPRODUCT(((Recommendations[ImplStatus]="Implemented")+(Recommendations[ImplStatus]="Compensated"))*ISNUMBER(MATCH(Recommendations[Id],H165:AU165,0)))/COUNTIF(H165:AU165,"&lt;&gt;"))</f>
        <v/>
      </c>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59"/>
    </row>
    <row r="166" spans="1:47" ht="60" customHeight="1" x14ac:dyDescent="0.35">
      <c r="A166" s="256" t="s">
        <v>3715</v>
      </c>
      <c r="B166" s="234" t="s">
        <v>3811</v>
      </c>
      <c r="C166" s="235" t="s">
        <v>3812</v>
      </c>
      <c r="D166" s="238" t="s">
        <v>3813</v>
      </c>
      <c r="E166" s="239" t="s">
        <v>3483</v>
      </c>
      <c r="F166" s="242" t="s">
        <v>3814</v>
      </c>
      <c r="G166" s="245" t="str">
        <f>IF(COUNTIF(H166:AU166,"&lt;&gt;")=0,"",SUMPRODUCT(((Recommendations[ImplStatus]="Implemented")+(Recommendations[ImplStatus]="Compensated"))*ISNUMBER(MATCH(Recommendations[Id],H166:AU166,0)))/COUNTIF(H166:AU166,"&lt;&gt;"))</f>
        <v/>
      </c>
      <c r="H166" s="246"/>
      <c r="I166" s="246"/>
      <c r="J166" s="246"/>
      <c r="K166" s="246"/>
      <c r="L166" s="246"/>
      <c r="M166" s="246"/>
      <c r="N166" s="246"/>
      <c r="O166" s="246"/>
      <c r="P166" s="246"/>
      <c r="Q166" s="246"/>
      <c r="R166" s="246"/>
      <c r="S166" s="246"/>
      <c r="T166" s="246"/>
      <c r="U166" s="246"/>
      <c r="V166" s="246"/>
      <c r="W166" s="246"/>
      <c r="X166" s="246"/>
      <c r="Y166" s="246"/>
      <c r="Z166" s="246"/>
      <c r="AA166" s="246"/>
      <c r="AB166" s="246"/>
      <c r="AC166" s="246"/>
      <c r="AD166" s="246"/>
      <c r="AE166" s="246"/>
      <c r="AF166" s="246"/>
      <c r="AG166" s="246"/>
      <c r="AH166" s="246"/>
      <c r="AI166" s="246"/>
      <c r="AJ166" s="246"/>
      <c r="AK166" s="246"/>
      <c r="AL166" s="246"/>
      <c r="AM166" s="246"/>
      <c r="AN166" s="246"/>
      <c r="AO166" s="246"/>
      <c r="AP166" s="246"/>
      <c r="AQ166" s="246"/>
      <c r="AR166" s="246"/>
      <c r="AS166" s="246"/>
      <c r="AT166" s="246"/>
      <c r="AU166" s="260"/>
    </row>
    <row r="167" spans="1:47" ht="60" customHeight="1" x14ac:dyDescent="0.35">
      <c r="A167" s="256" t="s">
        <v>3715</v>
      </c>
      <c r="B167" s="234" t="s">
        <v>3811</v>
      </c>
      <c r="C167" s="235" t="s">
        <v>3815</v>
      </c>
      <c r="D167" s="238" t="s">
        <v>3816</v>
      </c>
      <c r="E167" s="239" t="s">
        <v>3627</v>
      </c>
      <c r="F167" s="242" t="s">
        <v>3814</v>
      </c>
      <c r="G167" s="245" t="str">
        <f>IF(COUNTIF(H167:AU167,"&lt;&gt;")=0,"",SUMPRODUCT(((Recommendations[ImplStatus]="Implemented")+(Recommendations[ImplStatus]="Compensated"))*ISNUMBER(MATCH(Recommendations[Id],H167:AU167,0)))/COUNTIF(H167:AU167,"&lt;&gt;"))</f>
        <v/>
      </c>
      <c r="H167" s="246"/>
      <c r="I167" s="246"/>
      <c r="J167" s="246"/>
      <c r="K167" s="246"/>
      <c r="L167" s="246"/>
      <c r="M167" s="246"/>
      <c r="N167" s="246"/>
      <c r="O167" s="246"/>
      <c r="P167" s="246"/>
      <c r="Q167" s="246"/>
      <c r="R167" s="246"/>
      <c r="S167" s="246"/>
      <c r="T167" s="246"/>
      <c r="U167" s="246"/>
      <c r="V167" s="246"/>
      <c r="W167" s="246"/>
      <c r="X167" s="246"/>
      <c r="Y167" s="246"/>
      <c r="Z167" s="246"/>
      <c r="AA167" s="246"/>
      <c r="AB167" s="246"/>
      <c r="AC167" s="246"/>
      <c r="AD167" s="246"/>
      <c r="AE167" s="246"/>
      <c r="AF167" s="246"/>
      <c r="AG167" s="246"/>
      <c r="AH167" s="246"/>
      <c r="AI167" s="246"/>
      <c r="AJ167" s="246"/>
      <c r="AK167" s="246"/>
      <c r="AL167" s="246"/>
      <c r="AM167" s="246"/>
      <c r="AN167" s="246"/>
      <c r="AO167" s="246"/>
      <c r="AP167" s="246"/>
      <c r="AQ167" s="246"/>
      <c r="AR167" s="246"/>
      <c r="AS167" s="246"/>
      <c r="AT167" s="246"/>
      <c r="AU167" s="260"/>
    </row>
    <row r="168" spans="1:47" ht="60" customHeight="1" x14ac:dyDescent="0.35">
      <c r="A168" s="256" t="s">
        <v>3715</v>
      </c>
      <c r="B168" s="234" t="s">
        <v>3811</v>
      </c>
      <c r="C168" s="235" t="s">
        <v>3817</v>
      </c>
      <c r="D168" s="238" t="s">
        <v>3818</v>
      </c>
      <c r="E168" s="239" t="s">
        <v>3579</v>
      </c>
      <c r="F168" s="242" t="s">
        <v>3814</v>
      </c>
      <c r="G168" s="245" t="str">
        <f>IF(COUNTIF(H168:AU168,"&lt;&gt;")=0,"",SUMPRODUCT(((Recommendations[ImplStatus]="Implemented")+(Recommendations[ImplStatus]="Compensated"))*ISNUMBER(MATCH(Recommendations[Id],H168:AU168,0)))/COUNTIF(H168:AU168,"&lt;&gt;"))</f>
        <v/>
      </c>
      <c r="H168" s="246"/>
      <c r="I168" s="246"/>
      <c r="J168" s="246"/>
      <c r="K168" s="246"/>
      <c r="L168" s="246"/>
      <c r="M168" s="246"/>
      <c r="N168" s="246"/>
      <c r="O168" s="246"/>
      <c r="P168" s="246"/>
      <c r="Q168" s="246"/>
      <c r="R168" s="246"/>
      <c r="S168" s="246"/>
      <c r="T168" s="246"/>
      <c r="U168" s="246"/>
      <c r="V168" s="246"/>
      <c r="W168" s="246"/>
      <c r="X168" s="246"/>
      <c r="Y168" s="246"/>
      <c r="Z168" s="246"/>
      <c r="AA168" s="246"/>
      <c r="AB168" s="246"/>
      <c r="AC168" s="246"/>
      <c r="AD168" s="246"/>
      <c r="AE168" s="246"/>
      <c r="AF168" s="246"/>
      <c r="AG168" s="246"/>
      <c r="AH168" s="246"/>
      <c r="AI168" s="246"/>
      <c r="AJ168" s="246"/>
      <c r="AK168" s="246"/>
      <c r="AL168" s="246"/>
      <c r="AM168" s="246"/>
      <c r="AN168" s="246"/>
      <c r="AO168" s="246"/>
      <c r="AP168" s="246"/>
      <c r="AQ168" s="246"/>
      <c r="AR168" s="246"/>
      <c r="AS168" s="246"/>
      <c r="AT168" s="246"/>
      <c r="AU168" s="260"/>
    </row>
    <row r="169" spans="1:47" ht="60" customHeight="1" x14ac:dyDescent="0.35">
      <c r="A169" s="256" t="s">
        <v>3715</v>
      </c>
      <c r="B169" s="234" t="s">
        <v>3811</v>
      </c>
      <c r="C169" s="235" t="s">
        <v>3819</v>
      </c>
      <c r="D169" s="238" t="s">
        <v>3820</v>
      </c>
      <c r="E169" s="239" t="s">
        <v>3579</v>
      </c>
      <c r="F169" s="242" t="s">
        <v>3814</v>
      </c>
      <c r="G169" s="245" t="str">
        <f>IF(COUNTIF(H169:AU169,"&lt;&gt;")=0,"",SUMPRODUCT(((Recommendations[ImplStatus]="Implemented")+(Recommendations[ImplStatus]="Compensated"))*ISNUMBER(MATCH(Recommendations[Id],H169:AU169,0)))/COUNTIF(H169:AU169,"&lt;&gt;"))</f>
        <v/>
      </c>
      <c r="H169" s="246"/>
      <c r="I169" s="246"/>
      <c r="J169" s="246"/>
      <c r="K169" s="246"/>
      <c r="L169" s="246"/>
      <c r="M169" s="246"/>
      <c r="N169" s="246"/>
      <c r="O169" s="246"/>
      <c r="P169" s="246"/>
      <c r="Q169" s="246"/>
      <c r="R169" s="246"/>
      <c r="S169" s="246"/>
      <c r="T169" s="246"/>
      <c r="U169" s="246"/>
      <c r="V169" s="246"/>
      <c r="W169" s="246"/>
      <c r="X169" s="246"/>
      <c r="Y169" s="246"/>
      <c r="Z169" s="246"/>
      <c r="AA169" s="246"/>
      <c r="AB169" s="246"/>
      <c r="AC169" s="246"/>
      <c r="AD169" s="246"/>
      <c r="AE169" s="246"/>
      <c r="AF169" s="246"/>
      <c r="AG169" s="246"/>
      <c r="AH169" s="246"/>
      <c r="AI169" s="246"/>
      <c r="AJ169" s="246"/>
      <c r="AK169" s="246"/>
      <c r="AL169" s="246"/>
      <c r="AM169" s="246"/>
      <c r="AN169" s="246"/>
      <c r="AO169" s="246"/>
      <c r="AP169" s="246"/>
      <c r="AQ169" s="246"/>
      <c r="AR169" s="246"/>
      <c r="AS169" s="246"/>
      <c r="AT169" s="246"/>
      <c r="AU169" s="260"/>
    </row>
    <row r="170" spans="1:47" ht="60" customHeight="1" x14ac:dyDescent="0.35">
      <c r="A170" s="256" t="s">
        <v>3715</v>
      </c>
      <c r="B170" s="234" t="s">
        <v>3811</v>
      </c>
      <c r="C170" s="235" t="s">
        <v>3821</v>
      </c>
      <c r="D170" s="238" t="s">
        <v>3822</v>
      </c>
      <c r="E170" s="239" t="s">
        <v>3627</v>
      </c>
      <c r="F170" s="242" t="s">
        <v>3814</v>
      </c>
      <c r="G170" s="245" t="str">
        <f>IF(COUNTIF(H170:AU170,"&lt;&gt;")=0,"",SUMPRODUCT(((Recommendations[ImplStatus]="Implemented")+(Recommendations[ImplStatus]="Compensated"))*ISNUMBER(MATCH(Recommendations[Id],H170:AU170,0)))/COUNTIF(H170:AU170,"&lt;&gt;"))</f>
        <v/>
      </c>
      <c r="H170" s="246"/>
      <c r="I170" s="246"/>
      <c r="J170" s="246"/>
      <c r="K170" s="246"/>
      <c r="L170" s="246"/>
      <c r="M170" s="246"/>
      <c r="N170" s="246"/>
      <c r="O170" s="246"/>
      <c r="P170" s="246"/>
      <c r="Q170" s="246"/>
      <c r="R170" s="246"/>
      <c r="S170" s="246"/>
      <c r="T170" s="246"/>
      <c r="U170" s="246"/>
      <c r="V170" s="246"/>
      <c r="W170" s="246"/>
      <c r="X170" s="246"/>
      <c r="Y170" s="246"/>
      <c r="Z170" s="246"/>
      <c r="AA170" s="246"/>
      <c r="AB170" s="246"/>
      <c r="AC170" s="246"/>
      <c r="AD170" s="246"/>
      <c r="AE170" s="246"/>
      <c r="AF170" s="246"/>
      <c r="AG170" s="246"/>
      <c r="AH170" s="246"/>
      <c r="AI170" s="246"/>
      <c r="AJ170" s="246"/>
      <c r="AK170" s="246"/>
      <c r="AL170" s="246"/>
      <c r="AM170" s="246"/>
      <c r="AN170" s="246"/>
      <c r="AO170" s="246"/>
      <c r="AP170" s="246"/>
      <c r="AQ170" s="246"/>
      <c r="AR170" s="246"/>
      <c r="AS170" s="246"/>
      <c r="AT170" s="246"/>
      <c r="AU170" s="260"/>
    </row>
    <row r="171" spans="1:47" ht="60" customHeight="1" x14ac:dyDescent="0.35">
      <c r="A171" s="256" t="s">
        <v>3715</v>
      </c>
      <c r="B171" s="234" t="s">
        <v>3811</v>
      </c>
      <c r="C171" s="235" t="s">
        <v>3823</v>
      </c>
      <c r="D171" s="238" t="s">
        <v>3824</v>
      </c>
      <c r="E171" s="239" t="s">
        <v>3512</v>
      </c>
      <c r="F171" s="242" t="s">
        <v>3814</v>
      </c>
      <c r="G171" s="245" t="str">
        <f>IF(COUNTIF(H171:AU171,"&lt;&gt;")=0,"",SUMPRODUCT(((Recommendations[ImplStatus]="Implemented")+(Recommendations[ImplStatus]="Compensated"))*ISNUMBER(MATCH(Recommendations[Id],H171:AU171,0)))/COUNTIF(H171:AU171,"&lt;&gt;"))</f>
        <v/>
      </c>
      <c r="H171" s="246"/>
      <c r="I171" s="246"/>
      <c r="J171" s="246"/>
      <c r="K171" s="246"/>
      <c r="L171" s="246"/>
      <c r="M171" s="246"/>
      <c r="N171" s="246"/>
      <c r="O171" s="246"/>
      <c r="P171" s="246"/>
      <c r="Q171" s="246"/>
      <c r="R171" s="246"/>
      <c r="S171" s="246"/>
      <c r="T171" s="246"/>
      <c r="U171" s="246"/>
      <c r="V171" s="246"/>
      <c r="W171" s="246"/>
      <c r="X171" s="246"/>
      <c r="Y171" s="246"/>
      <c r="Z171" s="246"/>
      <c r="AA171" s="246"/>
      <c r="AB171" s="246"/>
      <c r="AC171" s="246"/>
      <c r="AD171" s="246"/>
      <c r="AE171" s="246"/>
      <c r="AF171" s="246"/>
      <c r="AG171" s="246"/>
      <c r="AH171" s="246"/>
      <c r="AI171" s="246"/>
      <c r="AJ171" s="246"/>
      <c r="AK171" s="246"/>
      <c r="AL171" s="246"/>
      <c r="AM171" s="246"/>
      <c r="AN171" s="246"/>
      <c r="AO171" s="246"/>
      <c r="AP171" s="246"/>
      <c r="AQ171" s="246"/>
      <c r="AR171" s="246"/>
      <c r="AS171" s="246"/>
      <c r="AT171" s="246"/>
      <c r="AU171" s="260"/>
    </row>
    <row r="172" spans="1:47" ht="60" customHeight="1" x14ac:dyDescent="0.35">
      <c r="A172" s="256" t="s">
        <v>3715</v>
      </c>
      <c r="B172" s="234" t="s">
        <v>3811</v>
      </c>
      <c r="C172" s="235" t="s">
        <v>3825</v>
      </c>
      <c r="D172" s="238" t="s">
        <v>3826</v>
      </c>
      <c r="E172" s="239" t="s">
        <v>3579</v>
      </c>
      <c r="F172" s="242" t="s">
        <v>3814</v>
      </c>
      <c r="G172" s="245" t="str">
        <f>IF(COUNTIF(H172:AU172,"&lt;&gt;")=0,"",SUMPRODUCT(((Recommendations[ImplStatus]="Implemented")+(Recommendations[ImplStatus]="Compensated"))*ISNUMBER(MATCH(Recommendations[Id],H172:AU172,0)))/COUNTIF(H172:AU172,"&lt;&gt;"))</f>
        <v/>
      </c>
      <c r="H172" s="246"/>
      <c r="I172" s="246"/>
      <c r="J172" s="246"/>
      <c r="K172" s="246"/>
      <c r="L172" s="246"/>
      <c r="M172" s="246"/>
      <c r="N172" s="246"/>
      <c r="O172" s="246"/>
      <c r="P172" s="246"/>
      <c r="Q172" s="246"/>
      <c r="R172" s="246"/>
      <c r="S172" s="246"/>
      <c r="T172" s="246"/>
      <c r="U172" s="246"/>
      <c r="V172" s="246"/>
      <c r="W172" s="246"/>
      <c r="X172" s="246"/>
      <c r="Y172" s="246"/>
      <c r="Z172" s="246"/>
      <c r="AA172" s="246"/>
      <c r="AB172" s="246"/>
      <c r="AC172" s="246"/>
      <c r="AD172" s="246"/>
      <c r="AE172" s="246"/>
      <c r="AF172" s="246"/>
      <c r="AG172" s="246"/>
      <c r="AH172" s="246"/>
      <c r="AI172" s="246"/>
      <c r="AJ172" s="246"/>
      <c r="AK172" s="246"/>
      <c r="AL172" s="246"/>
      <c r="AM172" s="246"/>
      <c r="AN172" s="246"/>
      <c r="AO172" s="246"/>
      <c r="AP172" s="246"/>
      <c r="AQ172" s="246"/>
      <c r="AR172" s="246"/>
      <c r="AS172" s="246"/>
      <c r="AT172" s="246"/>
      <c r="AU172" s="260"/>
    </row>
    <row r="173" spans="1:47" ht="60" customHeight="1" x14ac:dyDescent="0.35">
      <c r="A173" s="256" t="s">
        <v>3715</v>
      </c>
      <c r="B173" s="234" t="s">
        <v>3811</v>
      </c>
      <c r="C173" s="235" t="s">
        <v>3827</v>
      </c>
      <c r="D173" s="238" t="s">
        <v>3828</v>
      </c>
      <c r="E173" s="239" t="s">
        <v>3512</v>
      </c>
      <c r="F173" s="242" t="s">
        <v>3814</v>
      </c>
      <c r="G173" s="245" t="str">
        <f>IF(COUNTIF(H173:AU173,"&lt;&gt;")=0,"",SUMPRODUCT(((Recommendations[ImplStatus]="Implemented")+(Recommendations[ImplStatus]="Compensated"))*ISNUMBER(MATCH(Recommendations[Id],H173:AU173,0)))/COUNTIF(H173:AU173,"&lt;&gt;"))</f>
        <v/>
      </c>
      <c r="H173" s="246"/>
      <c r="I173" s="246"/>
      <c r="J173" s="246"/>
      <c r="K173" s="246"/>
      <c r="L173" s="246"/>
      <c r="M173" s="246"/>
      <c r="N173" s="246"/>
      <c r="O173" s="246"/>
      <c r="P173" s="246"/>
      <c r="Q173" s="246"/>
      <c r="R173" s="246"/>
      <c r="S173" s="246"/>
      <c r="T173" s="246"/>
      <c r="U173" s="246"/>
      <c r="V173" s="246"/>
      <c r="W173" s="246"/>
      <c r="X173" s="246"/>
      <c r="Y173" s="246"/>
      <c r="Z173" s="246"/>
      <c r="AA173" s="246"/>
      <c r="AB173" s="246"/>
      <c r="AC173" s="246"/>
      <c r="AD173" s="246"/>
      <c r="AE173" s="246"/>
      <c r="AF173" s="246"/>
      <c r="AG173" s="246"/>
      <c r="AH173" s="246"/>
      <c r="AI173" s="246"/>
      <c r="AJ173" s="246"/>
      <c r="AK173" s="246"/>
      <c r="AL173" s="246"/>
      <c r="AM173" s="246"/>
      <c r="AN173" s="246"/>
      <c r="AO173" s="246"/>
      <c r="AP173" s="246"/>
      <c r="AQ173" s="246"/>
      <c r="AR173" s="246"/>
      <c r="AS173" s="246"/>
      <c r="AT173" s="246"/>
      <c r="AU173" s="260"/>
    </row>
    <row r="174" spans="1:47" ht="60" customHeight="1" x14ac:dyDescent="0.35">
      <c r="A174" s="256" t="s">
        <v>3715</v>
      </c>
      <c r="B174" s="234" t="s">
        <v>3811</v>
      </c>
      <c r="C174" s="235" t="s">
        <v>3829</v>
      </c>
      <c r="D174" s="238" t="s">
        <v>3830</v>
      </c>
      <c r="E174" s="239" t="s">
        <v>3579</v>
      </c>
      <c r="F174" s="242" t="s">
        <v>3814</v>
      </c>
      <c r="G174" s="245" t="str">
        <f>IF(COUNTIF(H174:AU174,"&lt;&gt;")=0,"",SUMPRODUCT(((Recommendations[ImplStatus]="Implemented")+(Recommendations[ImplStatus]="Compensated"))*ISNUMBER(MATCH(Recommendations[Id],H174:AU174,0)))/COUNTIF(H174:AU174,"&lt;&gt;"))</f>
        <v/>
      </c>
      <c r="H174" s="246"/>
      <c r="I174" s="246"/>
      <c r="J174" s="246"/>
      <c r="K174" s="246"/>
      <c r="L174" s="246"/>
      <c r="M174" s="246"/>
      <c r="N174" s="246"/>
      <c r="O174" s="246"/>
      <c r="P174" s="246"/>
      <c r="Q174" s="246"/>
      <c r="R174" s="246"/>
      <c r="S174" s="246"/>
      <c r="T174" s="246"/>
      <c r="U174" s="246"/>
      <c r="V174" s="246"/>
      <c r="W174" s="246"/>
      <c r="X174" s="246"/>
      <c r="Y174" s="246"/>
      <c r="Z174" s="246"/>
      <c r="AA174" s="246"/>
      <c r="AB174" s="246"/>
      <c r="AC174" s="246"/>
      <c r="AD174" s="246"/>
      <c r="AE174" s="246"/>
      <c r="AF174" s="246"/>
      <c r="AG174" s="246"/>
      <c r="AH174" s="246"/>
      <c r="AI174" s="246"/>
      <c r="AJ174" s="246"/>
      <c r="AK174" s="246"/>
      <c r="AL174" s="246"/>
      <c r="AM174" s="246"/>
      <c r="AN174" s="246"/>
      <c r="AO174" s="246"/>
      <c r="AP174" s="246"/>
      <c r="AQ174" s="246"/>
      <c r="AR174" s="246"/>
      <c r="AS174" s="246"/>
      <c r="AT174" s="246"/>
      <c r="AU174" s="260"/>
    </row>
    <row r="175" spans="1:47" ht="60" customHeight="1" x14ac:dyDescent="0.35">
      <c r="A175" s="256" t="s">
        <v>3715</v>
      </c>
      <c r="B175" s="234" t="s">
        <v>3811</v>
      </c>
      <c r="C175" s="235" t="s">
        <v>3831</v>
      </c>
      <c r="D175" s="238" t="s">
        <v>3832</v>
      </c>
      <c r="E175" s="239" t="s">
        <v>3512</v>
      </c>
      <c r="F175" s="242" t="s">
        <v>3814</v>
      </c>
      <c r="G175" s="245" t="str">
        <f>IF(COUNTIF(H175:AU175,"&lt;&gt;")=0,"",SUMPRODUCT(((Recommendations[ImplStatus]="Implemented")+(Recommendations[ImplStatus]="Compensated"))*ISNUMBER(MATCH(Recommendations[Id],H175:AU175,0)))/COUNTIF(H175:AU175,"&lt;&gt;"))</f>
        <v/>
      </c>
      <c r="H175" s="246"/>
      <c r="I175" s="246"/>
      <c r="J175" s="246"/>
      <c r="K175" s="246"/>
      <c r="L175" s="246"/>
      <c r="M175" s="246"/>
      <c r="N175" s="246"/>
      <c r="O175" s="246"/>
      <c r="P175" s="246"/>
      <c r="Q175" s="246"/>
      <c r="R175" s="246"/>
      <c r="S175" s="246"/>
      <c r="T175" s="246"/>
      <c r="U175" s="246"/>
      <c r="V175" s="246"/>
      <c r="W175" s="246"/>
      <c r="X175" s="246"/>
      <c r="Y175" s="246"/>
      <c r="Z175" s="246"/>
      <c r="AA175" s="246"/>
      <c r="AB175" s="246"/>
      <c r="AC175" s="246"/>
      <c r="AD175" s="246"/>
      <c r="AE175" s="246"/>
      <c r="AF175" s="246"/>
      <c r="AG175" s="246"/>
      <c r="AH175" s="246"/>
      <c r="AI175" s="246"/>
      <c r="AJ175" s="246"/>
      <c r="AK175" s="246"/>
      <c r="AL175" s="246"/>
      <c r="AM175" s="246"/>
      <c r="AN175" s="246"/>
      <c r="AO175" s="246"/>
      <c r="AP175" s="246"/>
      <c r="AQ175" s="246"/>
      <c r="AR175" s="246"/>
      <c r="AS175" s="246"/>
      <c r="AT175" s="246"/>
      <c r="AU175" s="260"/>
    </row>
    <row r="176" spans="1:47" ht="60" customHeight="1" x14ac:dyDescent="0.35">
      <c r="A176" s="256" t="s">
        <v>3715</v>
      </c>
      <c r="B176" s="234" t="s">
        <v>3811</v>
      </c>
      <c r="C176" s="235" t="s">
        <v>3833</v>
      </c>
      <c r="D176" s="238" t="s">
        <v>3834</v>
      </c>
      <c r="E176" s="239" t="s">
        <v>3483</v>
      </c>
      <c r="F176" s="242" t="s">
        <v>3814</v>
      </c>
      <c r="G176" s="245" t="str">
        <f>IF(COUNTIF(H176:AU176,"&lt;&gt;")=0,"",SUMPRODUCT(((Recommendations[ImplStatus]="Implemented")+(Recommendations[ImplStatus]="Compensated"))*ISNUMBER(MATCH(Recommendations[Id],H176:AU176,0)))/COUNTIF(H176:AU176,"&lt;&gt;"))</f>
        <v/>
      </c>
      <c r="H176" s="246"/>
      <c r="I176" s="246"/>
      <c r="J176" s="246"/>
      <c r="K176" s="246"/>
      <c r="L176" s="246"/>
      <c r="M176" s="246"/>
      <c r="N176" s="246"/>
      <c r="O176" s="246"/>
      <c r="P176" s="246"/>
      <c r="Q176" s="246"/>
      <c r="R176" s="246"/>
      <c r="S176" s="246"/>
      <c r="T176" s="246"/>
      <c r="U176" s="246"/>
      <c r="V176" s="246"/>
      <c r="W176" s="246"/>
      <c r="X176" s="246"/>
      <c r="Y176" s="246"/>
      <c r="Z176" s="246"/>
      <c r="AA176" s="246"/>
      <c r="AB176" s="246"/>
      <c r="AC176" s="246"/>
      <c r="AD176" s="246"/>
      <c r="AE176" s="246"/>
      <c r="AF176" s="246"/>
      <c r="AG176" s="246"/>
      <c r="AH176" s="246"/>
      <c r="AI176" s="246"/>
      <c r="AJ176" s="246"/>
      <c r="AK176" s="246"/>
      <c r="AL176" s="246"/>
      <c r="AM176" s="246"/>
      <c r="AN176" s="246"/>
      <c r="AO176" s="246"/>
      <c r="AP176" s="246"/>
      <c r="AQ176" s="246"/>
      <c r="AR176" s="246"/>
      <c r="AS176" s="246"/>
      <c r="AT176" s="246"/>
      <c r="AU176" s="260"/>
    </row>
    <row r="177" spans="1:47" ht="60" customHeight="1" x14ac:dyDescent="0.35">
      <c r="A177" s="256" t="s">
        <v>3715</v>
      </c>
      <c r="B177" s="234" t="s">
        <v>3811</v>
      </c>
      <c r="C177" s="235" t="s">
        <v>3835</v>
      </c>
      <c r="D177" s="238" t="s">
        <v>3836</v>
      </c>
      <c r="E177" s="239" t="s">
        <v>3483</v>
      </c>
      <c r="F177" s="242" t="s">
        <v>3814</v>
      </c>
      <c r="G177" s="245" t="str">
        <f>IF(COUNTIF(H177:AU177,"&lt;&gt;")=0,"",SUMPRODUCT(((Recommendations[ImplStatus]="Implemented")+(Recommendations[ImplStatus]="Compensated"))*ISNUMBER(MATCH(Recommendations[Id],H177:AU177,0)))/COUNTIF(H177:AU177,"&lt;&gt;"))</f>
        <v/>
      </c>
      <c r="H177" s="246"/>
      <c r="I177" s="246"/>
      <c r="J177" s="246"/>
      <c r="K177" s="246"/>
      <c r="L177" s="246"/>
      <c r="M177" s="246"/>
      <c r="N177" s="246"/>
      <c r="O177" s="246"/>
      <c r="P177" s="246"/>
      <c r="Q177" s="246"/>
      <c r="R177" s="246"/>
      <c r="S177" s="246"/>
      <c r="T177" s="246"/>
      <c r="U177" s="246"/>
      <c r="V177" s="246"/>
      <c r="W177" s="246"/>
      <c r="X177" s="246"/>
      <c r="Y177" s="246"/>
      <c r="Z177" s="246"/>
      <c r="AA177" s="246"/>
      <c r="AB177" s="246"/>
      <c r="AC177" s="246"/>
      <c r="AD177" s="246"/>
      <c r="AE177" s="246"/>
      <c r="AF177" s="246"/>
      <c r="AG177" s="246"/>
      <c r="AH177" s="246"/>
      <c r="AI177" s="246"/>
      <c r="AJ177" s="246"/>
      <c r="AK177" s="246"/>
      <c r="AL177" s="246"/>
      <c r="AM177" s="246"/>
      <c r="AN177" s="246"/>
      <c r="AO177" s="246"/>
      <c r="AP177" s="246"/>
      <c r="AQ177" s="246"/>
      <c r="AR177" s="246"/>
      <c r="AS177" s="246"/>
      <c r="AT177" s="246"/>
      <c r="AU177" s="260"/>
    </row>
    <row r="178" spans="1:47" ht="60" customHeight="1" x14ac:dyDescent="0.35">
      <c r="A178" s="256" t="s">
        <v>3715</v>
      </c>
      <c r="B178" s="234" t="s">
        <v>3811</v>
      </c>
      <c r="C178" s="235" t="s">
        <v>3837</v>
      </c>
      <c r="D178" s="238" t="s">
        <v>3838</v>
      </c>
      <c r="E178" s="239" t="s">
        <v>3512</v>
      </c>
      <c r="F178" s="242" t="s">
        <v>3814</v>
      </c>
      <c r="G178" s="245" t="str">
        <f>IF(COUNTIF(H178:AU178,"&lt;&gt;")=0,"",SUMPRODUCT(((Recommendations[ImplStatus]="Implemented")+(Recommendations[ImplStatus]="Compensated"))*ISNUMBER(MATCH(Recommendations[Id],H178:AU178,0)))/COUNTIF(H178:AU178,"&lt;&gt;"))</f>
        <v/>
      </c>
      <c r="H178" s="246"/>
      <c r="I178" s="246"/>
      <c r="J178" s="246"/>
      <c r="K178" s="246"/>
      <c r="L178" s="246"/>
      <c r="M178" s="246"/>
      <c r="N178" s="246"/>
      <c r="O178" s="246"/>
      <c r="P178" s="246"/>
      <c r="Q178" s="246"/>
      <c r="R178" s="246"/>
      <c r="S178" s="246"/>
      <c r="T178" s="246"/>
      <c r="U178" s="246"/>
      <c r="V178" s="246"/>
      <c r="W178" s="246"/>
      <c r="X178" s="246"/>
      <c r="Y178" s="246"/>
      <c r="Z178" s="246"/>
      <c r="AA178" s="246"/>
      <c r="AB178" s="246"/>
      <c r="AC178" s="246"/>
      <c r="AD178" s="246"/>
      <c r="AE178" s="246"/>
      <c r="AF178" s="246"/>
      <c r="AG178" s="246"/>
      <c r="AH178" s="246"/>
      <c r="AI178" s="246"/>
      <c r="AJ178" s="246"/>
      <c r="AK178" s="246"/>
      <c r="AL178" s="246"/>
      <c r="AM178" s="246"/>
      <c r="AN178" s="246"/>
      <c r="AO178" s="246"/>
      <c r="AP178" s="246"/>
      <c r="AQ178" s="246"/>
      <c r="AR178" s="246"/>
      <c r="AS178" s="246"/>
      <c r="AT178" s="246"/>
      <c r="AU178" s="260"/>
    </row>
    <row r="179" spans="1:47" ht="60" customHeight="1" x14ac:dyDescent="0.35">
      <c r="A179" s="256" t="s">
        <v>3715</v>
      </c>
      <c r="B179" s="234" t="s">
        <v>3811</v>
      </c>
      <c r="C179" s="235" t="s">
        <v>3839</v>
      </c>
      <c r="D179" s="238" t="s">
        <v>3840</v>
      </c>
      <c r="E179" s="239" t="s">
        <v>3627</v>
      </c>
      <c r="F179" s="242" t="s">
        <v>3814</v>
      </c>
      <c r="G179" s="245" t="str">
        <f>IF(COUNTIF(H179:AU179,"&lt;&gt;")=0,"",SUMPRODUCT(((Recommendations[ImplStatus]="Implemented")+(Recommendations[ImplStatus]="Compensated"))*ISNUMBER(MATCH(Recommendations[Id],H179:AU179,0)))/COUNTIF(H179:AU179,"&lt;&gt;"))</f>
        <v/>
      </c>
      <c r="H179" s="246"/>
      <c r="I179" s="246"/>
      <c r="J179" s="246"/>
      <c r="K179" s="246"/>
      <c r="L179" s="246"/>
      <c r="M179" s="246"/>
      <c r="N179" s="246"/>
      <c r="O179" s="246"/>
      <c r="P179" s="246"/>
      <c r="Q179" s="246"/>
      <c r="R179" s="246"/>
      <c r="S179" s="246"/>
      <c r="T179" s="246"/>
      <c r="U179" s="246"/>
      <c r="V179" s="246"/>
      <c r="W179" s="246"/>
      <c r="X179" s="246"/>
      <c r="Y179" s="246"/>
      <c r="Z179" s="246"/>
      <c r="AA179" s="246"/>
      <c r="AB179" s="246"/>
      <c r="AC179" s="246"/>
      <c r="AD179" s="246"/>
      <c r="AE179" s="246"/>
      <c r="AF179" s="246"/>
      <c r="AG179" s="246"/>
      <c r="AH179" s="246"/>
      <c r="AI179" s="246"/>
      <c r="AJ179" s="246"/>
      <c r="AK179" s="246"/>
      <c r="AL179" s="246"/>
      <c r="AM179" s="246"/>
      <c r="AN179" s="246"/>
      <c r="AO179" s="246"/>
      <c r="AP179" s="246"/>
      <c r="AQ179" s="246"/>
      <c r="AR179" s="246"/>
      <c r="AS179" s="246"/>
      <c r="AT179" s="246"/>
      <c r="AU179" s="260"/>
    </row>
    <row r="180" spans="1:47" ht="60" customHeight="1" x14ac:dyDescent="0.35">
      <c r="A180" s="256" t="s">
        <v>3715</v>
      </c>
      <c r="B180" s="234" t="s">
        <v>3811</v>
      </c>
      <c r="C180" s="235" t="s">
        <v>3841</v>
      </c>
      <c r="D180" s="238" t="s">
        <v>3842</v>
      </c>
      <c r="E180" s="239" t="s">
        <v>3627</v>
      </c>
      <c r="F180" s="242" t="s">
        <v>3814</v>
      </c>
      <c r="G180" s="245" t="str">
        <f>IF(COUNTIF(H180:AU180,"&lt;&gt;")=0,"",SUMPRODUCT(((Recommendations[ImplStatus]="Implemented")+(Recommendations[ImplStatus]="Compensated"))*ISNUMBER(MATCH(Recommendations[Id],H180:AU180,0)))/COUNTIF(H180:AU180,"&lt;&gt;"))</f>
        <v/>
      </c>
      <c r="H180" s="246"/>
      <c r="I180" s="246"/>
      <c r="J180" s="246"/>
      <c r="K180" s="246"/>
      <c r="L180" s="246"/>
      <c r="M180" s="246"/>
      <c r="N180" s="246"/>
      <c r="O180" s="246"/>
      <c r="P180" s="246"/>
      <c r="Q180" s="246"/>
      <c r="R180" s="246"/>
      <c r="S180" s="246"/>
      <c r="T180" s="246"/>
      <c r="U180" s="246"/>
      <c r="V180" s="246"/>
      <c r="W180" s="246"/>
      <c r="X180" s="246"/>
      <c r="Y180" s="246"/>
      <c r="Z180" s="246"/>
      <c r="AA180" s="246"/>
      <c r="AB180" s="246"/>
      <c r="AC180" s="246"/>
      <c r="AD180" s="246"/>
      <c r="AE180" s="246"/>
      <c r="AF180" s="246"/>
      <c r="AG180" s="246"/>
      <c r="AH180" s="246"/>
      <c r="AI180" s="246"/>
      <c r="AJ180" s="246"/>
      <c r="AK180" s="246"/>
      <c r="AL180" s="246"/>
      <c r="AM180" s="246"/>
      <c r="AN180" s="246"/>
      <c r="AO180" s="246"/>
      <c r="AP180" s="246"/>
      <c r="AQ180" s="246"/>
      <c r="AR180" s="246"/>
      <c r="AS180" s="246"/>
      <c r="AT180" s="246"/>
      <c r="AU180" s="260"/>
    </row>
    <row r="181" spans="1:47" ht="60" customHeight="1" outlineLevel="2" x14ac:dyDescent="0.35">
      <c r="A181" s="255" t="s">
        <v>3715</v>
      </c>
      <c r="B181" s="233" t="s">
        <v>3843</v>
      </c>
      <c r="C181" s="233"/>
      <c r="D181" s="237"/>
      <c r="E181" s="233"/>
      <c r="F181" s="241"/>
      <c r="G181" s="244" t="str">
        <f>IF(COUNTIF(H181:AU181,"&lt;&gt;")=0,"",SUMPRODUCT(((Recommendations[ImplStatus]="Implemented")+(Recommendations[ImplStatus]="Compensated"))*ISNUMBER(MATCH(Recommendations[Id],H181:AU181,0)))/COUNTIF(H181:AU181,"&lt;&gt;"))</f>
        <v/>
      </c>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59"/>
    </row>
    <row r="182" spans="1:47" ht="60" customHeight="1" x14ac:dyDescent="0.35">
      <c r="A182" s="256" t="s">
        <v>3715</v>
      </c>
      <c r="B182" s="234" t="s">
        <v>3843</v>
      </c>
      <c r="C182" s="235" t="s">
        <v>3844</v>
      </c>
      <c r="D182" s="238" t="s">
        <v>3845</v>
      </c>
      <c r="E182" s="239" t="s">
        <v>3483</v>
      </c>
      <c r="F182" s="242" t="s">
        <v>3846</v>
      </c>
      <c r="G182" s="245" t="str">
        <f>IF(COUNTIF(H182:AU182,"&lt;&gt;")=0,"",SUMPRODUCT(((Recommendations[ImplStatus]="Implemented")+(Recommendations[ImplStatus]="Compensated"))*ISNUMBER(MATCH(Recommendations[Id],H182:AU182,0)))/COUNTIF(H182:AU182,"&lt;&gt;"))</f>
        <v/>
      </c>
      <c r="H182" s="246"/>
      <c r="I182" s="246"/>
      <c r="J182" s="246"/>
      <c r="K182" s="246"/>
      <c r="L182" s="246"/>
      <c r="M182" s="246"/>
      <c r="N182" s="246"/>
      <c r="O182" s="246"/>
      <c r="P182" s="246"/>
      <c r="Q182" s="246"/>
      <c r="R182" s="246"/>
      <c r="S182" s="246"/>
      <c r="T182" s="246"/>
      <c r="U182" s="246"/>
      <c r="V182" s="246"/>
      <c r="W182" s="246"/>
      <c r="X182" s="246"/>
      <c r="Y182" s="246"/>
      <c r="Z182" s="246"/>
      <c r="AA182" s="246"/>
      <c r="AB182" s="246"/>
      <c r="AC182" s="246"/>
      <c r="AD182" s="246"/>
      <c r="AE182" s="246"/>
      <c r="AF182" s="246"/>
      <c r="AG182" s="246"/>
      <c r="AH182" s="246"/>
      <c r="AI182" s="246"/>
      <c r="AJ182" s="246"/>
      <c r="AK182" s="246"/>
      <c r="AL182" s="246"/>
      <c r="AM182" s="246"/>
      <c r="AN182" s="246"/>
      <c r="AO182" s="246"/>
      <c r="AP182" s="246"/>
      <c r="AQ182" s="246"/>
      <c r="AR182" s="246"/>
      <c r="AS182" s="246"/>
      <c r="AT182" s="246"/>
      <c r="AU182" s="260"/>
    </row>
    <row r="183" spans="1:47" ht="60" customHeight="1" x14ac:dyDescent="0.35">
      <c r="A183" s="256" t="s">
        <v>3715</v>
      </c>
      <c r="B183" s="234" t="s">
        <v>3843</v>
      </c>
      <c r="C183" s="235" t="s">
        <v>3847</v>
      </c>
      <c r="D183" s="238" t="s">
        <v>3848</v>
      </c>
      <c r="E183" s="239" t="s">
        <v>3483</v>
      </c>
      <c r="F183" s="242" t="s">
        <v>3846</v>
      </c>
      <c r="G183" s="245" t="str">
        <f>IF(COUNTIF(H183:AU183,"&lt;&gt;")=0,"",SUMPRODUCT(((Recommendations[ImplStatus]="Implemented")+(Recommendations[ImplStatus]="Compensated"))*ISNUMBER(MATCH(Recommendations[Id],H183:AU183,0)))/COUNTIF(H183:AU183,"&lt;&gt;"))</f>
        <v/>
      </c>
      <c r="H183" s="246"/>
      <c r="I183" s="246"/>
      <c r="J183" s="246"/>
      <c r="K183" s="246"/>
      <c r="L183" s="246"/>
      <c r="M183" s="246"/>
      <c r="N183" s="246"/>
      <c r="O183" s="246"/>
      <c r="P183" s="246"/>
      <c r="Q183" s="246"/>
      <c r="R183" s="246"/>
      <c r="S183" s="246"/>
      <c r="T183" s="246"/>
      <c r="U183" s="246"/>
      <c r="V183" s="246"/>
      <c r="W183" s="246"/>
      <c r="X183" s="246"/>
      <c r="Y183" s="246"/>
      <c r="Z183" s="246"/>
      <c r="AA183" s="246"/>
      <c r="AB183" s="246"/>
      <c r="AC183" s="246"/>
      <c r="AD183" s="246"/>
      <c r="AE183" s="246"/>
      <c r="AF183" s="246"/>
      <c r="AG183" s="246"/>
      <c r="AH183" s="246"/>
      <c r="AI183" s="246"/>
      <c r="AJ183" s="246"/>
      <c r="AK183" s="246"/>
      <c r="AL183" s="246"/>
      <c r="AM183" s="246"/>
      <c r="AN183" s="246"/>
      <c r="AO183" s="246"/>
      <c r="AP183" s="246"/>
      <c r="AQ183" s="246"/>
      <c r="AR183" s="246"/>
      <c r="AS183" s="246"/>
      <c r="AT183" s="246"/>
      <c r="AU183" s="260"/>
    </row>
    <row r="184" spans="1:47" ht="60" customHeight="1" x14ac:dyDescent="0.35">
      <c r="A184" s="256" t="s">
        <v>3715</v>
      </c>
      <c r="B184" s="234" t="s">
        <v>3843</v>
      </c>
      <c r="C184" s="235" t="s">
        <v>3849</v>
      </c>
      <c r="D184" s="238" t="s">
        <v>3850</v>
      </c>
      <c r="E184" s="239" t="s">
        <v>3483</v>
      </c>
      <c r="F184" s="242" t="s">
        <v>3846</v>
      </c>
      <c r="G184" s="245" t="str">
        <f>IF(COUNTIF(H184:AU184,"&lt;&gt;")=0,"",SUMPRODUCT(((Recommendations[ImplStatus]="Implemented")+(Recommendations[ImplStatus]="Compensated"))*ISNUMBER(MATCH(Recommendations[Id],H184:AU184,0)))/COUNTIF(H184:AU184,"&lt;&gt;"))</f>
        <v/>
      </c>
      <c r="H184" s="246"/>
      <c r="I184" s="246"/>
      <c r="J184" s="246"/>
      <c r="K184" s="246"/>
      <c r="L184" s="246"/>
      <c r="M184" s="246"/>
      <c r="N184" s="246"/>
      <c r="O184" s="246"/>
      <c r="P184" s="246"/>
      <c r="Q184" s="246"/>
      <c r="R184" s="246"/>
      <c r="S184" s="246"/>
      <c r="T184" s="246"/>
      <c r="U184" s="246"/>
      <c r="V184" s="246"/>
      <c r="W184" s="246"/>
      <c r="X184" s="246"/>
      <c r="Y184" s="246"/>
      <c r="Z184" s="246"/>
      <c r="AA184" s="246"/>
      <c r="AB184" s="246"/>
      <c r="AC184" s="246"/>
      <c r="AD184" s="246"/>
      <c r="AE184" s="246"/>
      <c r="AF184" s="246"/>
      <c r="AG184" s="246"/>
      <c r="AH184" s="246"/>
      <c r="AI184" s="246"/>
      <c r="AJ184" s="246"/>
      <c r="AK184" s="246"/>
      <c r="AL184" s="246"/>
      <c r="AM184" s="246"/>
      <c r="AN184" s="246"/>
      <c r="AO184" s="246"/>
      <c r="AP184" s="246"/>
      <c r="AQ184" s="246"/>
      <c r="AR184" s="246"/>
      <c r="AS184" s="246"/>
      <c r="AT184" s="246"/>
      <c r="AU184" s="260"/>
    </row>
    <row r="185" spans="1:47" ht="60" customHeight="1" x14ac:dyDescent="0.35">
      <c r="A185" s="256" t="s">
        <v>3715</v>
      </c>
      <c r="B185" s="234" t="s">
        <v>3843</v>
      </c>
      <c r="C185" s="235" t="s">
        <v>3851</v>
      </c>
      <c r="D185" s="238" t="s">
        <v>3852</v>
      </c>
      <c r="E185" s="239" t="s">
        <v>3483</v>
      </c>
      <c r="F185" s="242" t="s">
        <v>3846</v>
      </c>
      <c r="G185" s="245" t="str">
        <f>IF(COUNTIF(H185:AU185,"&lt;&gt;")=0,"",SUMPRODUCT(((Recommendations[ImplStatus]="Implemented")+(Recommendations[ImplStatus]="Compensated"))*ISNUMBER(MATCH(Recommendations[Id],H185:AU185,0)))/COUNTIF(H185:AU185,"&lt;&gt;"))</f>
        <v/>
      </c>
      <c r="H185" s="246"/>
      <c r="I185" s="246"/>
      <c r="J185" s="246"/>
      <c r="K185" s="246"/>
      <c r="L185" s="246"/>
      <c r="M185" s="246"/>
      <c r="N185" s="246"/>
      <c r="O185" s="246"/>
      <c r="P185" s="246"/>
      <c r="Q185" s="246"/>
      <c r="R185" s="246"/>
      <c r="S185" s="246"/>
      <c r="T185" s="246"/>
      <c r="U185" s="246"/>
      <c r="V185" s="246"/>
      <c r="W185" s="246"/>
      <c r="X185" s="246"/>
      <c r="Y185" s="246"/>
      <c r="Z185" s="246"/>
      <c r="AA185" s="246"/>
      <c r="AB185" s="246"/>
      <c r="AC185" s="246"/>
      <c r="AD185" s="246"/>
      <c r="AE185" s="246"/>
      <c r="AF185" s="246"/>
      <c r="AG185" s="246"/>
      <c r="AH185" s="246"/>
      <c r="AI185" s="246"/>
      <c r="AJ185" s="246"/>
      <c r="AK185" s="246"/>
      <c r="AL185" s="246"/>
      <c r="AM185" s="246"/>
      <c r="AN185" s="246"/>
      <c r="AO185" s="246"/>
      <c r="AP185" s="246"/>
      <c r="AQ185" s="246"/>
      <c r="AR185" s="246"/>
      <c r="AS185" s="246"/>
      <c r="AT185" s="246"/>
      <c r="AU185" s="260"/>
    </row>
    <row r="186" spans="1:47" ht="60" customHeight="1" x14ac:dyDescent="0.35">
      <c r="A186" s="256" t="s">
        <v>3715</v>
      </c>
      <c r="B186" s="234" t="s">
        <v>3843</v>
      </c>
      <c r="C186" s="235" t="s">
        <v>3853</v>
      </c>
      <c r="D186" s="238" t="s">
        <v>3854</v>
      </c>
      <c r="E186" s="239" t="s">
        <v>3483</v>
      </c>
      <c r="F186" s="242" t="s">
        <v>3846</v>
      </c>
      <c r="G186" s="245" t="str">
        <f>IF(COUNTIF(H186:AU186,"&lt;&gt;")=0,"",SUMPRODUCT(((Recommendations[ImplStatus]="Implemented")+(Recommendations[ImplStatus]="Compensated"))*ISNUMBER(MATCH(Recommendations[Id],H186:AU186,0)))/COUNTIF(H186:AU186,"&lt;&gt;"))</f>
        <v/>
      </c>
      <c r="H186" s="246"/>
      <c r="I186" s="246"/>
      <c r="J186" s="246"/>
      <c r="K186" s="246"/>
      <c r="L186" s="246"/>
      <c r="M186" s="246"/>
      <c r="N186" s="246"/>
      <c r="O186" s="246"/>
      <c r="P186" s="246"/>
      <c r="Q186" s="246"/>
      <c r="R186" s="246"/>
      <c r="S186" s="246"/>
      <c r="T186" s="246"/>
      <c r="U186" s="246"/>
      <c r="V186" s="246"/>
      <c r="W186" s="246"/>
      <c r="X186" s="246"/>
      <c r="Y186" s="246"/>
      <c r="Z186" s="246"/>
      <c r="AA186" s="246"/>
      <c r="AB186" s="246"/>
      <c r="AC186" s="246"/>
      <c r="AD186" s="246"/>
      <c r="AE186" s="246"/>
      <c r="AF186" s="246"/>
      <c r="AG186" s="246"/>
      <c r="AH186" s="246"/>
      <c r="AI186" s="246"/>
      <c r="AJ186" s="246"/>
      <c r="AK186" s="246"/>
      <c r="AL186" s="246"/>
      <c r="AM186" s="246"/>
      <c r="AN186" s="246"/>
      <c r="AO186" s="246"/>
      <c r="AP186" s="246"/>
      <c r="AQ186" s="246"/>
      <c r="AR186" s="246"/>
      <c r="AS186" s="246"/>
      <c r="AT186" s="246"/>
      <c r="AU186" s="260"/>
    </row>
    <row r="187" spans="1:47" ht="60" customHeight="1" x14ac:dyDescent="0.35">
      <c r="A187" s="256" t="s">
        <v>3715</v>
      </c>
      <c r="B187" s="234" t="s">
        <v>3843</v>
      </c>
      <c r="C187" s="235" t="s">
        <v>3855</v>
      </c>
      <c r="D187" s="238" t="s">
        <v>3856</v>
      </c>
      <c r="E187" s="239" t="s">
        <v>3512</v>
      </c>
      <c r="F187" s="242" t="s">
        <v>3846</v>
      </c>
      <c r="G187" s="245" t="str">
        <f>IF(COUNTIF(H187:AU187,"&lt;&gt;")=0,"",SUMPRODUCT(((Recommendations[ImplStatus]="Implemented")+(Recommendations[ImplStatus]="Compensated"))*ISNUMBER(MATCH(Recommendations[Id],H187:AU187,0)))/COUNTIF(H187:AU187,"&lt;&gt;"))</f>
        <v/>
      </c>
      <c r="H187" s="246"/>
      <c r="I187" s="246"/>
      <c r="J187" s="246"/>
      <c r="K187" s="246"/>
      <c r="L187" s="246"/>
      <c r="M187" s="246"/>
      <c r="N187" s="246"/>
      <c r="O187" s="246"/>
      <c r="P187" s="246"/>
      <c r="Q187" s="246"/>
      <c r="R187" s="246"/>
      <c r="S187" s="246"/>
      <c r="T187" s="246"/>
      <c r="U187" s="246"/>
      <c r="V187" s="246"/>
      <c r="W187" s="246"/>
      <c r="X187" s="246"/>
      <c r="Y187" s="246"/>
      <c r="Z187" s="246"/>
      <c r="AA187" s="246"/>
      <c r="AB187" s="246"/>
      <c r="AC187" s="246"/>
      <c r="AD187" s="246"/>
      <c r="AE187" s="246"/>
      <c r="AF187" s="246"/>
      <c r="AG187" s="246"/>
      <c r="AH187" s="246"/>
      <c r="AI187" s="246"/>
      <c r="AJ187" s="246"/>
      <c r="AK187" s="246"/>
      <c r="AL187" s="246"/>
      <c r="AM187" s="246"/>
      <c r="AN187" s="246"/>
      <c r="AO187" s="246"/>
      <c r="AP187" s="246"/>
      <c r="AQ187" s="246"/>
      <c r="AR187" s="246"/>
      <c r="AS187" s="246"/>
      <c r="AT187" s="246"/>
      <c r="AU187" s="260"/>
    </row>
    <row r="188" spans="1:47" ht="60" customHeight="1" x14ac:dyDescent="0.35">
      <c r="A188" s="256" t="s">
        <v>3715</v>
      </c>
      <c r="B188" s="234" t="s">
        <v>3843</v>
      </c>
      <c r="C188" s="235" t="s">
        <v>3857</v>
      </c>
      <c r="D188" s="238" t="s">
        <v>3858</v>
      </c>
      <c r="E188" s="239" t="s">
        <v>3512</v>
      </c>
      <c r="F188" s="242" t="s">
        <v>3846</v>
      </c>
      <c r="G188" s="245" t="str">
        <f>IF(COUNTIF(H188:AU188,"&lt;&gt;")=0,"",SUMPRODUCT(((Recommendations[ImplStatus]="Implemented")+(Recommendations[ImplStatus]="Compensated"))*ISNUMBER(MATCH(Recommendations[Id],H188:AU188,0)))/COUNTIF(H188:AU188,"&lt;&gt;"))</f>
        <v/>
      </c>
      <c r="H188" s="246"/>
      <c r="I188" s="246"/>
      <c r="J188" s="246"/>
      <c r="K188" s="246"/>
      <c r="L188" s="246"/>
      <c r="M188" s="246"/>
      <c r="N188" s="246"/>
      <c r="O188" s="246"/>
      <c r="P188" s="246"/>
      <c r="Q188" s="246"/>
      <c r="R188" s="246"/>
      <c r="S188" s="246"/>
      <c r="T188" s="246"/>
      <c r="U188" s="246"/>
      <c r="V188" s="246"/>
      <c r="W188" s="246"/>
      <c r="X188" s="246"/>
      <c r="Y188" s="246"/>
      <c r="Z188" s="246"/>
      <c r="AA188" s="246"/>
      <c r="AB188" s="246"/>
      <c r="AC188" s="246"/>
      <c r="AD188" s="246"/>
      <c r="AE188" s="246"/>
      <c r="AF188" s="246"/>
      <c r="AG188" s="246"/>
      <c r="AH188" s="246"/>
      <c r="AI188" s="246"/>
      <c r="AJ188" s="246"/>
      <c r="AK188" s="246"/>
      <c r="AL188" s="246"/>
      <c r="AM188" s="246"/>
      <c r="AN188" s="246"/>
      <c r="AO188" s="246"/>
      <c r="AP188" s="246"/>
      <c r="AQ188" s="246"/>
      <c r="AR188" s="246"/>
      <c r="AS188" s="246"/>
      <c r="AT188" s="246"/>
      <c r="AU188" s="260"/>
    </row>
    <row r="189" spans="1:47" ht="60" customHeight="1" x14ac:dyDescent="0.35">
      <c r="A189" s="256" t="s">
        <v>3715</v>
      </c>
      <c r="B189" s="234" t="s">
        <v>3843</v>
      </c>
      <c r="C189" s="235" t="s">
        <v>3859</v>
      </c>
      <c r="D189" s="238" t="s">
        <v>3860</v>
      </c>
      <c r="E189" s="239" t="s">
        <v>3512</v>
      </c>
      <c r="F189" s="242" t="s">
        <v>3846</v>
      </c>
      <c r="G189" s="245" t="str">
        <f>IF(COUNTIF(H189:AU189,"&lt;&gt;")=0,"",SUMPRODUCT(((Recommendations[ImplStatus]="Implemented")+(Recommendations[ImplStatus]="Compensated"))*ISNUMBER(MATCH(Recommendations[Id],H189:AU189,0)))/COUNTIF(H189:AU189,"&lt;&gt;"))</f>
        <v/>
      </c>
      <c r="H189" s="246"/>
      <c r="I189" s="246"/>
      <c r="J189" s="246"/>
      <c r="K189" s="246"/>
      <c r="L189" s="24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60"/>
    </row>
    <row r="190" spans="1:47" ht="60" customHeight="1" x14ac:dyDescent="0.35">
      <c r="A190" s="256" t="s">
        <v>3715</v>
      </c>
      <c r="B190" s="234" t="s">
        <v>3843</v>
      </c>
      <c r="C190" s="235" t="s">
        <v>3861</v>
      </c>
      <c r="D190" s="238" t="s">
        <v>3862</v>
      </c>
      <c r="E190" s="239" t="s">
        <v>3512</v>
      </c>
      <c r="F190" s="242" t="s">
        <v>3846</v>
      </c>
      <c r="G190" s="245" t="str">
        <f>IF(COUNTIF(H190:AU190,"&lt;&gt;")=0,"",SUMPRODUCT(((Recommendations[ImplStatus]="Implemented")+(Recommendations[ImplStatus]="Compensated"))*ISNUMBER(MATCH(Recommendations[Id],H190:AU190,0)))/COUNTIF(H190:AU190,"&lt;&gt;"))</f>
        <v/>
      </c>
      <c r="H190" s="246"/>
      <c r="I190" s="246"/>
      <c r="J190" s="246"/>
      <c r="K190" s="246"/>
      <c r="L190" s="246"/>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60"/>
    </row>
    <row r="191" spans="1:47" ht="60" customHeight="1" x14ac:dyDescent="0.35">
      <c r="A191" s="256" t="s">
        <v>3715</v>
      </c>
      <c r="B191" s="234" t="s">
        <v>3843</v>
      </c>
      <c r="C191" s="235" t="s">
        <v>3863</v>
      </c>
      <c r="D191" s="238" t="s">
        <v>3864</v>
      </c>
      <c r="E191" s="239" t="s">
        <v>3483</v>
      </c>
      <c r="F191" s="242" t="s">
        <v>3846</v>
      </c>
      <c r="G191" s="245" t="str">
        <f>IF(COUNTIF(H191:AU191,"&lt;&gt;")=0,"",SUMPRODUCT(((Recommendations[ImplStatus]="Implemented")+(Recommendations[ImplStatus]="Compensated"))*ISNUMBER(MATCH(Recommendations[Id],H191:AU191,0)))/COUNTIF(H191:AU191,"&lt;&gt;"))</f>
        <v/>
      </c>
      <c r="H191" s="246"/>
      <c r="I191" s="246"/>
      <c r="J191" s="246"/>
      <c r="K191" s="246"/>
      <c r="L191" s="24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60"/>
    </row>
    <row r="192" spans="1:47" ht="60" customHeight="1" x14ac:dyDescent="0.35">
      <c r="A192" s="256" t="s">
        <v>3715</v>
      </c>
      <c r="B192" s="234" t="s">
        <v>3843</v>
      </c>
      <c r="C192" s="235" t="s">
        <v>3865</v>
      </c>
      <c r="D192" s="238" t="s">
        <v>3866</v>
      </c>
      <c r="E192" s="239" t="s">
        <v>3483</v>
      </c>
      <c r="F192" s="242" t="s">
        <v>3846</v>
      </c>
      <c r="G192" s="245" t="str">
        <f>IF(COUNTIF(H192:AU192,"&lt;&gt;")=0,"",SUMPRODUCT(((Recommendations[ImplStatus]="Implemented")+(Recommendations[ImplStatus]="Compensated"))*ISNUMBER(MATCH(Recommendations[Id],H192:AU192,0)))/COUNTIF(H192:AU192,"&lt;&gt;"))</f>
        <v/>
      </c>
      <c r="H192" s="246"/>
      <c r="I192" s="246"/>
      <c r="J192" s="246"/>
      <c r="K192" s="246"/>
      <c r="L192" s="246"/>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60"/>
    </row>
    <row r="193" spans="1:47" ht="60" customHeight="1" x14ac:dyDescent="0.35">
      <c r="A193" s="256" t="s">
        <v>3715</v>
      </c>
      <c r="B193" s="234" t="s">
        <v>3843</v>
      </c>
      <c r="C193" s="235" t="s">
        <v>3867</v>
      </c>
      <c r="D193" s="238" t="s">
        <v>3868</v>
      </c>
      <c r="E193" s="239" t="s">
        <v>3483</v>
      </c>
      <c r="F193" s="242" t="s">
        <v>3846</v>
      </c>
      <c r="G193" s="245" t="str">
        <f>IF(COUNTIF(H193:AU193,"&lt;&gt;")=0,"",SUMPRODUCT(((Recommendations[ImplStatus]="Implemented")+(Recommendations[ImplStatus]="Compensated"))*ISNUMBER(MATCH(Recommendations[Id],H193:AU193,0)))/COUNTIF(H193:AU193,"&lt;&gt;"))</f>
        <v/>
      </c>
      <c r="H193" s="246"/>
      <c r="I193" s="246"/>
      <c r="J193" s="246"/>
      <c r="K193" s="246"/>
      <c r="L193" s="246"/>
      <c r="M193" s="246"/>
      <c r="N193" s="246"/>
      <c r="O193" s="246"/>
      <c r="P193" s="246"/>
      <c r="Q193" s="246"/>
      <c r="R193" s="246"/>
      <c r="S193" s="246"/>
      <c r="T193" s="246"/>
      <c r="U193" s="246"/>
      <c r="V193" s="246"/>
      <c r="W193" s="246"/>
      <c r="X193" s="246"/>
      <c r="Y193" s="246"/>
      <c r="Z193" s="246"/>
      <c r="AA193" s="246"/>
      <c r="AB193" s="246"/>
      <c r="AC193" s="246"/>
      <c r="AD193" s="246"/>
      <c r="AE193" s="246"/>
      <c r="AF193" s="246"/>
      <c r="AG193" s="246"/>
      <c r="AH193" s="246"/>
      <c r="AI193" s="246"/>
      <c r="AJ193" s="246"/>
      <c r="AK193" s="246"/>
      <c r="AL193" s="246"/>
      <c r="AM193" s="246"/>
      <c r="AN193" s="246"/>
      <c r="AO193" s="246"/>
      <c r="AP193" s="246"/>
      <c r="AQ193" s="246"/>
      <c r="AR193" s="246"/>
      <c r="AS193" s="246"/>
      <c r="AT193" s="246"/>
      <c r="AU193" s="260"/>
    </row>
    <row r="194" spans="1:47" ht="60" customHeight="1" x14ac:dyDescent="0.35">
      <c r="A194" s="256" t="s">
        <v>3715</v>
      </c>
      <c r="B194" s="234" t="s">
        <v>3843</v>
      </c>
      <c r="C194" s="235" t="s">
        <v>3869</v>
      </c>
      <c r="D194" s="238" t="s">
        <v>3870</v>
      </c>
      <c r="E194" s="239" t="s">
        <v>3483</v>
      </c>
      <c r="F194" s="242" t="s">
        <v>3846</v>
      </c>
      <c r="G194" s="245" t="str">
        <f>IF(COUNTIF(H194:AU194,"&lt;&gt;")=0,"",SUMPRODUCT(((Recommendations[ImplStatus]="Implemented")+(Recommendations[ImplStatus]="Compensated"))*ISNUMBER(MATCH(Recommendations[Id],H194:AU194,0)))/COUNTIF(H194:AU194,"&lt;&gt;"))</f>
        <v/>
      </c>
      <c r="H194" s="246"/>
      <c r="I194" s="246"/>
      <c r="J194" s="246"/>
      <c r="K194" s="246"/>
      <c r="L194" s="246"/>
      <c r="M194" s="246"/>
      <c r="N194" s="246"/>
      <c r="O194" s="246"/>
      <c r="P194" s="246"/>
      <c r="Q194" s="246"/>
      <c r="R194" s="246"/>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60"/>
    </row>
    <row r="195" spans="1:47" ht="60" customHeight="1" x14ac:dyDescent="0.35">
      <c r="A195" s="256" t="s">
        <v>3715</v>
      </c>
      <c r="B195" s="234" t="s">
        <v>3843</v>
      </c>
      <c r="C195" s="235" t="s">
        <v>3871</v>
      </c>
      <c r="D195" s="238" t="s">
        <v>3872</v>
      </c>
      <c r="E195" s="239" t="s">
        <v>3483</v>
      </c>
      <c r="F195" s="242" t="s">
        <v>3846</v>
      </c>
      <c r="G195" s="245" t="str">
        <f>IF(COUNTIF(H195:AU195,"&lt;&gt;")=0,"",SUMPRODUCT(((Recommendations[ImplStatus]="Implemented")+(Recommendations[ImplStatus]="Compensated"))*ISNUMBER(MATCH(Recommendations[Id],H195:AU195,0)))/COUNTIF(H195:AU195,"&lt;&gt;"))</f>
        <v/>
      </c>
      <c r="H195" s="246"/>
      <c r="I195" s="246"/>
      <c r="J195" s="246"/>
      <c r="K195" s="246"/>
      <c r="L195" s="246"/>
      <c r="M195" s="246"/>
      <c r="N195" s="246"/>
      <c r="O195" s="246"/>
      <c r="P195" s="246"/>
      <c r="Q195" s="246"/>
      <c r="R195" s="246"/>
      <c r="S195" s="246"/>
      <c r="T195" s="246"/>
      <c r="U195" s="246"/>
      <c r="V195" s="246"/>
      <c r="W195" s="246"/>
      <c r="X195" s="246"/>
      <c r="Y195" s="246"/>
      <c r="Z195" s="246"/>
      <c r="AA195" s="246"/>
      <c r="AB195" s="246"/>
      <c r="AC195" s="246"/>
      <c r="AD195" s="246"/>
      <c r="AE195" s="246"/>
      <c r="AF195" s="246"/>
      <c r="AG195" s="246"/>
      <c r="AH195" s="246"/>
      <c r="AI195" s="246"/>
      <c r="AJ195" s="246"/>
      <c r="AK195" s="246"/>
      <c r="AL195" s="246"/>
      <c r="AM195" s="246"/>
      <c r="AN195" s="246"/>
      <c r="AO195" s="246"/>
      <c r="AP195" s="246"/>
      <c r="AQ195" s="246"/>
      <c r="AR195" s="246"/>
      <c r="AS195" s="246"/>
      <c r="AT195" s="246"/>
      <c r="AU195" s="260"/>
    </row>
    <row r="196" spans="1:47" ht="60" customHeight="1" x14ac:dyDescent="0.35">
      <c r="A196" s="256" t="s">
        <v>3715</v>
      </c>
      <c r="B196" s="234" t="s">
        <v>3843</v>
      </c>
      <c r="C196" s="235" t="s">
        <v>3873</v>
      </c>
      <c r="D196" s="238" t="s">
        <v>3874</v>
      </c>
      <c r="E196" s="239" t="s">
        <v>3483</v>
      </c>
      <c r="F196" s="242" t="s">
        <v>3875</v>
      </c>
      <c r="G196" s="245" t="str">
        <f>IF(COUNTIF(H196:AU196,"&lt;&gt;")=0,"",SUMPRODUCT(((Recommendations[ImplStatus]="Implemented")+(Recommendations[ImplStatus]="Compensated"))*ISNUMBER(MATCH(Recommendations[Id],H196:AU196,0)))/COUNTIF(H196:AU196,"&lt;&gt;"))</f>
        <v/>
      </c>
      <c r="H196" s="246"/>
      <c r="I196" s="246"/>
      <c r="J196" s="246"/>
      <c r="K196" s="246"/>
      <c r="L196" s="246"/>
      <c r="M196" s="246"/>
      <c r="N196" s="246"/>
      <c r="O196" s="246"/>
      <c r="P196" s="246"/>
      <c r="Q196" s="246"/>
      <c r="R196" s="246"/>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60"/>
    </row>
    <row r="197" spans="1:47" ht="60" customHeight="1" x14ac:dyDescent="0.35">
      <c r="A197" s="256" t="s">
        <v>3715</v>
      </c>
      <c r="B197" s="234" t="s">
        <v>3843</v>
      </c>
      <c r="C197" s="235" t="s">
        <v>3876</v>
      </c>
      <c r="D197" s="238" t="s">
        <v>3877</v>
      </c>
      <c r="E197" s="239" t="s">
        <v>3483</v>
      </c>
      <c r="F197" s="242" t="s">
        <v>3875</v>
      </c>
      <c r="G197" s="245" t="str">
        <f>IF(COUNTIF(H197:AU197,"&lt;&gt;")=0,"",SUMPRODUCT(((Recommendations[ImplStatus]="Implemented")+(Recommendations[ImplStatus]="Compensated"))*ISNUMBER(MATCH(Recommendations[Id],H197:AU197,0)))/COUNTIF(H197:AU197,"&lt;&gt;"))</f>
        <v/>
      </c>
      <c r="H197" s="246"/>
      <c r="I197" s="246"/>
      <c r="J197" s="246"/>
      <c r="K197" s="246"/>
      <c r="L197" s="246"/>
      <c r="M197" s="246"/>
      <c r="N197" s="246"/>
      <c r="O197" s="246"/>
      <c r="P197" s="246"/>
      <c r="Q197" s="246"/>
      <c r="R197" s="246"/>
      <c r="S197" s="246"/>
      <c r="T197" s="246"/>
      <c r="U197" s="246"/>
      <c r="V197" s="246"/>
      <c r="W197" s="246"/>
      <c r="X197" s="246"/>
      <c r="Y197" s="246"/>
      <c r="Z197" s="246"/>
      <c r="AA197" s="246"/>
      <c r="AB197" s="246"/>
      <c r="AC197" s="246"/>
      <c r="AD197" s="246"/>
      <c r="AE197" s="246"/>
      <c r="AF197" s="246"/>
      <c r="AG197" s="246"/>
      <c r="AH197" s="246"/>
      <c r="AI197" s="246"/>
      <c r="AJ197" s="246"/>
      <c r="AK197" s="246"/>
      <c r="AL197" s="246"/>
      <c r="AM197" s="246"/>
      <c r="AN197" s="246"/>
      <c r="AO197" s="246"/>
      <c r="AP197" s="246"/>
      <c r="AQ197" s="246"/>
      <c r="AR197" s="246"/>
      <c r="AS197" s="246"/>
      <c r="AT197" s="246"/>
      <c r="AU197" s="260"/>
    </row>
    <row r="198" spans="1:47" ht="60" customHeight="1" x14ac:dyDescent="0.35">
      <c r="A198" s="256" t="s">
        <v>3715</v>
      </c>
      <c r="B198" s="234" t="s">
        <v>3843</v>
      </c>
      <c r="C198" s="235" t="s">
        <v>3878</v>
      </c>
      <c r="D198" s="238" t="s">
        <v>3879</v>
      </c>
      <c r="E198" s="239" t="s">
        <v>3483</v>
      </c>
      <c r="F198" s="242" t="s">
        <v>3875</v>
      </c>
      <c r="G198" s="245" t="str">
        <f>IF(COUNTIF(H198:AU198,"&lt;&gt;")=0,"",SUMPRODUCT(((Recommendations[ImplStatus]="Implemented")+(Recommendations[ImplStatus]="Compensated"))*ISNUMBER(MATCH(Recommendations[Id],H198:AU198,0)))/COUNTIF(H198:AU198,"&lt;&gt;"))</f>
        <v/>
      </c>
      <c r="H198" s="246"/>
      <c r="I198" s="246"/>
      <c r="J198" s="246"/>
      <c r="K198" s="246"/>
      <c r="L198" s="246"/>
      <c r="M198" s="246"/>
      <c r="N198" s="246"/>
      <c r="O198" s="246"/>
      <c r="P198" s="246"/>
      <c r="Q198" s="246"/>
      <c r="R198" s="246"/>
      <c r="S198" s="246"/>
      <c r="T198" s="246"/>
      <c r="U198" s="246"/>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60"/>
    </row>
    <row r="199" spans="1:47" ht="60" customHeight="1" x14ac:dyDescent="0.35">
      <c r="A199" s="256" t="s">
        <v>3715</v>
      </c>
      <c r="B199" s="234" t="s">
        <v>3843</v>
      </c>
      <c r="C199" s="235" t="s">
        <v>3880</v>
      </c>
      <c r="D199" s="238" t="s">
        <v>3881</v>
      </c>
      <c r="E199" s="239" t="s">
        <v>3483</v>
      </c>
      <c r="F199" s="242" t="s">
        <v>3875</v>
      </c>
      <c r="G199" s="245" t="str">
        <f>IF(COUNTIF(H199:AU199,"&lt;&gt;")=0,"",SUMPRODUCT(((Recommendations[ImplStatus]="Implemented")+(Recommendations[ImplStatus]="Compensated"))*ISNUMBER(MATCH(Recommendations[Id],H199:AU199,0)))/COUNTIF(H199:AU199,"&lt;&gt;"))</f>
        <v/>
      </c>
      <c r="H199" s="246"/>
      <c r="I199" s="246"/>
      <c r="J199" s="246"/>
      <c r="K199" s="246"/>
      <c r="L199" s="246"/>
      <c r="M199" s="246"/>
      <c r="N199" s="246"/>
      <c r="O199" s="246"/>
      <c r="P199" s="246"/>
      <c r="Q199" s="246"/>
      <c r="R199" s="246"/>
      <c r="S199" s="246"/>
      <c r="T199" s="246"/>
      <c r="U199" s="246"/>
      <c r="V199" s="246"/>
      <c r="W199" s="246"/>
      <c r="X199" s="246"/>
      <c r="Y199" s="246"/>
      <c r="Z199" s="246"/>
      <c r="AA199" s="246"/>
      <c r="AB199" s="246"/>
      <c r="AC199" s="246"/>
      <c r="AD199" s="246"/>
      <c r="AE199" s="246"/>
      <c r="AF199" s="246"/>
      <c r="AG199" s="246"/>
      <c r="AH199" s="246"/>
      <c r="AI199" s="246"/>
      <c r="AJ199" s="246"/>
      <c r="AK199" s="246"/>
      <c r="AL199" s="246"/>
      <c r="AM199" s="246"/>
      <c r="AN199" s="246"/>
      <c r="AO199" s="246"/>
      <c r="AP199" s="246"/>
      <c r="AQ199" s="246"/>
      <c r="AR199" s="246"/>
      <c r="AS199" s="246"/>
      <c r="AT199" s="246"/>
      <c r="AU199" s="260"/>
    </row>
    <row r="200" spans="1:47" ht="60" customHeight="1" outlineLevel="1" x14ac:dyDescent="0.35">
      <c r="A200" s="254" t="s">
        <v>3882</v>
      </c>
      <c r="B200" s="232"/>
      <c r="C200" s="232"/>
      <c r="D200" s="236"/>
      <c r="E200" s="232"/>
      <c r="F200" s="240"/>
      <c r="G200" s="243" t="str">
        <f>IF(COUNTIF(H200:AU200,"&lt;&gt;")=0,"",SUMPRODUCT(((Recommendations[ImplStatus]="Implemented")+(Recommendations[ImplStatus]="Compensated"))*ISNUMBER(MATCH(Recommendations[Id],H200:AU200,0)))/COUNTIF(H200:AU200,"&lt;&gt;"))</f>
        <v/>
      </c>
      <c r="H200" s="240"/>
      <c r="I200" s="240"/>
      <c r="J200" s="240"/>
      <c r="K200" s="240"/>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58"/>
    </row>
    <row r="201" spans="1:47" ht="60" customHeight="1" outlineLevel="2" x14ac:dyDescent="0.35">
      <c r="A201" s="255" t="s">
        <v>3882</v>
      </c>
      <c r="B201" s="233" t="s">
        <v>3883</v>
      </c>
      <c r="C201" s="233"/>
      <c r="D201" s="237"/>
      <c r="E201" s="233"/>
      <c r="F201" s="241"/>
      <c r="G201" s="244" t="str">
        <f>IF(COUNTIF(H201:AU201,"&lt;&gt;")=0,"",SUMPRODUCT(((Recommendations[ImplStatus]="Implemented")+(Recommendations[ImplStatus]="Compensated"))*ISNUMBER(MATCH(Recommendations[Id],H201:AU201,0)))/COUNTIF(H201:AU201,"&lt;&gt;"))</f>
        <v/>
      </c>
      <c r="H201" s="241"/>
      <c r="I201" s="241"/>
      <c r="J201" s="241"/>
      <c r="K201" s="241"/>
      <c r="L201" s="241"/>
      <c r="M201" s="241"/>
      <c r="N201" s="241"/>
      <c r="O201" s="241"/>
      <c r="P201" s="241"/>
      <c r="Q201" s="241"/>
      <c r="R201" s="241"/>
      <c r="S201" s="241"/>
      <c r="T201" s="241"/>
      <c r="U201" s="241"/>
      <c r="V201" s="241"/>
      <c r="W201" s="241"/>
      <c r="X201" s="241"/>
      <c r="Y201" s="241"/>
      <c r="Z201" s="241"/>
      <c r="AA201" s="241"/>
      <c r="AB201" s="241"/>
      <c r="AC201" s="241"/>
      <c r="AD201" s="241"/>
      <c r="AE201" s="241"/>
      <c r="AF201" s="241"/>
      <c r="AG201" s="241"/>
      <c r="AH201" s="241"/>
      <c r="AI201" s="241"/>
      <c r="AJ201" s="241"/>
      <c r="AK201" s="241"/>
      <c r="AL201" s="241"/>
      <c r="AM201" s="241"/>
      <c r="AN201" s="241"/>
      <c r="AO201" s="241"/>
      <c r="AP201" s="241"/>
      <c r="AQ201" s="241"/>
      <c r="AR201" s="241"/>
      <c r="AS201" s="241"/>
      <c r="AT201" s="241"/>
      <c r="AU201" s="259"/>
    </row>
    <row r="202" spans="1:47" ht="60" customHeight="1" x14ac:dyDescent="0.35">
      <c r="A202" s="256" t="s">
        <v>3882</v>
      </c>
      <c r="B202" s="234" t="s">
        <v>3883</v>
      </c>
      <c r="C202" s="235" t="s">
        <v>3884</v>
      </c>
      <c r="D202" s="238" t="s">
        <v>3885</v>
      </c>
      <c r="E202" s="239" t="s">
        <v>3762</v>
      </c>
      <c r="F202" s="242" t="s">
        <v>3886</v>
      </c>
      <c r="G202" s="245" t="str">
        <f>IF(COUNTIF(H202:AU202,"&lt;&gt;")=0,"",SUMPRODUCT(((Recommendations[ImplStatus]="Implemented")+(Recommendations[ImplStatus]="Compensated"))*ISNUMBER(MATCH(Recommendations[Id],H202:AU202,0)))/COUNTIF(H202:AU202,"&lt;&gt;"))</f>
        <v/>
      </c>
      <c r="H202" s="246"/>
      <c r="I202" s="246"/>
      <c r="J202" s="246"/>
      <c r="K202" s="246"/>
      <c r="L202" s="246"/>
      <c r="M202" s="246"/>
      <c r="N202" s="246"/>
      <c r="O202" s="246"/>
      <c r="P202" s="246"/>
      <c r="Q202" s="246"/>
      <c r="R202" s="246"/>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60"/>
    </row>
    <row r="203" spans="1:47" ht="60" customHeight="1" x14ac:dyDescent="0.35">
      <c r="A203" s="256" t="s">
        <v>3882</v>
      </c>
      <c r="B203" s="234" t="s">
        <v>3883</v>
      </c>
      <c r="C203" s="235" t="s">
        <v>3887</v>
      </c>
      <c r="D203" s="238" t="s">
        <v>3888</v>
      </c>
      <c r="E203" s="239" t="s">
        <v>3762</v>
      </c>
      <c r="F203" s="242" t="s">
        <v>3886</v>
      </c>
      <c r="G203" s="245" t="str">
        <f>IF(COUNTIF(H203:AU203,"&lt;&gt;")=0,"",SUMPRODUCT(((Recommendations[ImplStatus]="Implemented")+(Recommendations[ImplStatus]="Compensated"))*ISNUMBER(MATCH(Recommendations[Id],H203:AU203,0)))/COUNTIF(H203:AU203,"&lt;&gt;"))</f>
        <v/>
      </c>
      <c r="H203" s="246"/>
      <c r="I203" s="246"/>
      <c r="J203" s="246"/>
      <c r="K203" s="246"/>
      <c r="L203" s="246"/>
      <c r="M203" s="246"/>
      <c r="N203" s="246"/>
      <c r="O203" s="246"/>
      <c r="P203" s="246"/>
      <c r="Q203" s="246"/>
      <c r="R203" s="246"/>
      <c r="S203" s="246"/>
      <c r="T203" s="246"/>
      <c r="U203" s="246"/>
      <c r="V203" s="246"/>
      <c r="W203" s="246"/>
      <c r="X203" s="246"/>
      <c r="Y203" s="246"/>
      <c r="Z203" s="246"/>
      <c r="AA203" s="246"/>
      <c r="AB203" s="246"/>
      <c r="AC203" s="246"/>
      <c r="AD203" s="246"/>
      <c r="AE203" s="246"/>
      <c r="AF203" s="246"/>
      <c r="AG203" s="246"/>
      <c r="AH203" s="246"/>
      <c r="AI203" s="246"/>
      <c r="AJ203" s="246"/>
      <c r="AK203" s="246"/>
      <c r="AL203" s="246"/>
      <c r="AM203" s="246"/>
      <c r="AN203" s="246"/>
      <c r="AO203" s="246"/>
      <c r="AP203" s="246"/>
      <c r="AQ203" s="246"/>
      <c r="AR203" s="246"/>
      <c r="AS203" s="246"/>
      <c r="AT203" s="246"/>
      <c r="AU203" s="260"/>
    </row>
    <row r="204" spans="1:47" ht="60" customHeight="1" x14ac:dyDescent="0.35">
      <c r="A204" s="256" t="s">
        <v>3882</v>
      </c>
      <c r="B204" s="234" t="s">
        <v>3883</v>
      </c>
      <c r="C204" s="235" t="s">
        <v>3889</v>
      </c>
      <c r="D204" s="238" t="s">
        <v>3890</v>
      </c>
      <c r="E204" s="239" t="s">
        <v>3762</v>
      </c>
      <c r="F204" s="242" t="s">
        <v>3886</v>
      </c>
      <c r="G204" s="245" t="str">
        <f>IF(COUNTIF(H204:AU204,"&lt;&gt;")=0,"",SUMPRODUCT(((Recommendations[ImplStatus]="Implemented")+(Recommendations[ImplStatus]="Compensated"))*ISNUMBER(MATCH(Recommendations[Id],H204:AU204,0)))/COUNTIF(H204:AU204,"&lt;&gt;"))</f>
        <v/>
      </c>
      <c r="H204" s="246"/>
      <c r="I204" s="246"/>
      <c r="J204" s="246"/>
      <c r="K204" s="246"/>
      <c r="L204" s="246"/>
      <c r="M204" s="246"/>
      <c r="N204" s="246"/>
      <c r="O204" s="246"/>
      <c r="P204" s="246"/>
      <c r="Q204" s="246"/>
      <c r="R204" s="246"/>
      <c r="S204" s="246"/>
      <c r="T204" s="246"/>
      <c r="U204" s="24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60"/>
    </row>
    <row r="205" spans="1:47" ht="60" customHeight="1" x14ac:dyDescent="0.35">
      <c r="A205" s="256" t="s">
        <v>3882</v>
      </c>
      <c r="B205" s="234" t="s">
        <v>3883</v>
      </c>
      <c r="C205" s="235" t="s">
        <v>3891</v>
      </c>
      <c r="D205" s="238" t="s">
        <v>3892</v>
      </c>
      <c r="E205" s="239" t="s">
        <v>3762</v>
      </c>
      <c r="F205" s="242" t="s">
        <v>3886</v>
      </c>
      <c r="G205" s="245" t="str">
        <f>IF(COUNTIF(H205:AU205,"&lt;&gt;")=0,"",SUMPRODUCT(((Recommendations[ImplStatus]="Implemented")+(Recommendations[ImplStatus]="Compensated"))*ISNUMBER(MATCH(Recommendations[Id],H205:AU205,0)))/COUNTIF(H205:AU205,"&lt;&gt;"))</f>
        <v/>
      </c>
      <c r="H205" s="246"/>
      <c r="I205" s="246"/>
      <c r="J205" s="246"/>
      <c r="K205" s="246"/>
      <c r="L205" s="246"/>
      <c r="M205" s="246"/>
      <c r="N205" s="246"/>
      <c r="O205" s="246"/>
      <c r="P205" s="246"/>
      <c r="Q205" s="246"/>
      <c r="R205" s="246"/>
      <c r="S205" s="246"/>
      <c r="T205" s="246"/>
      <c r="U205" s="246"/>
      <c r="V205" s="246"/>
      <c r="W205" s="246"/>
      <c r="X205" s="246"/>
      <c r="Y205" s="246"/>
      <c r="Z205" s="246"/>
      <c r="AA205" s="246"/>
      <c r="AB205" s="246"/>
      <c r="AC205" s="246"/>
      <c r="AD205" s="246"/>
      <c r="AE205" s="246"/>
      <c r="AF205" s="246"/>
      <c r="AG205" s="246"/>
      <c r="AH205" s="246"/>
      <c r="AI205" s="246"/>
      <c r="AJ205" s="246"/>
      <c r="AK205" s="246"/>
      <c r="AL205" s="246"/>
      <c r="AM205" s="246"/>
      <c r="AN205" s="246"/>
      <c r="AO205" s="246"/>
      <c r="AP205" s="246"/>
      <c r="AQ205" s="246"/>
      <c r="AR205" s="246"/>
      <c r="AS205" s="246"/>
      <c r="AT205" s="246"/>
      <c r="AU205" s="260"/>
    </row>
    <row r="206" spans="1:47" ht="60" customHeight="1" x14ac:dyDescent="0.35">
      <c r="A206" s="256" t="s">
        <v>3882</v>
      </c>
      <c r="B206" s="234" t="s">
        <v>3883</v>
      </c>
      <c r="C206" s="235" t="s">
        <v>3893</v>
      </c>
      <c r="D206" s="238" t="s">
        <v>3894</v>
      </c>
      <c r="E206" s="239" t="s">
        <v>3762</v>
      </c>
      <c r="F206" s="242" t="s">
        <v>3886</v>
      </c>
      <c r="G206" s="245" t="str">
        <f>IF(COUNTIF(H206:AU206,"&lt;&gt;")=0,"",SUMPRODUCT(((Recommendations[ImplStatus]="Implemented")+(Recommendations[ImplStatus]="Compensated"))*ISNUMBER(MATCH(Recommendations[Id],H206:AU206,0)))/COUNTIF(H206:AU206,"&lt;&gt;"))</f>
        <v/>
      </c>
      <c r="H206" s="246"/>
      <c r="I206" s="246"/>
      <c r="J206" s="246"/>
      <c r="K206" s="246"/>
      <c r="L206" s="246"/>
      <c r="M206" s="246"/>
      <c r="N206" s="246"/>
      <c r="O206" s="246"/>
      <c r="P206" s="246"/>
      <c r="Q206" s="246"/>
      <c r="R206" s="246"/>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60"/>
    </row>
    <row r="207" spans="1:47" ht="60" customHeight="1" x14ac:dyDescent="0.35">
      <c r="A207" s="256" t="s">
        <v>3882</v>
      </c>
      <c r="B207" s="234" t="s">
        <v>3883</v>
      </c>
      <c r="C207" s="235" t="s">
        <v>3895</v>
      </c>
      <c r="D207" s="238" t="s">
        <v>3896</v>
      </c>
      <c r="E207" s="239" t="s">
        <v>3627</v>
      </c>
      <c r="F207" s="242" t="s">
        <v>3886</v>
      </c>
      <c r="G207" s="245" t="str">
        <f>IF(COUNTIF(H207:AU207,"&lt;&gt;")=0,"",SUMPRODUCT(((Recommendations[ImplStatus]="Implemented")+(Recommendations[ImplStatus]="Compensated"))*ISNUMBER(MATCH(Recommendations[Id],H207:AU207,0)))/COUNTIF(H207:AU207,"&lt;&gt;"))</f>
        <v/>
      </c>
      <c r="H207" s="246"/>
      <c r="I207" s="246"/>
      <c r="J207" s="246"/>
      <c r="K207" s="246"/>
      <c r="L207" s="246"/>
      <c r="M207" s="246"/>
      <c r="N207" s="246"/>
      <c r="O207" s="246"/>
      <c r="P207" s="246"/>
      <c r="Q207" s="246"/>
      <c r="R207" s="246"/>
      <c r="S207" s="246"/>
      <c r="T207" s="246"/>
      <c r="U207" s="246"/>
      <c r="V207" s="246"/>
      <c r="W207" s="246"/>
      <c r="X207" s="246"/>
      <c r="Y207" s="246"/>
      <c r="Z207" s="246"/>
      <c r="AA207" s="246"/>
      <c r="AB207" s="246"/>
      <c r="AC207" s="246"/>
      <c r="AD207" s="246"/>
      <c r="AE207" s="246"/>
      <c r="AF207" s="246"/>
      <c r="AG207" s="246"/>
      <c r="AH207" s="246"/>
      <c r="AI207" s="246"/>
      <c r="AJ207" s="246"/>
      <c r="AK207" s="246"/>
      <c r="AL207" s="246"/>
      <c r="AM207" s="246"/>
      <c r="AN207" s="246"/>
      <c r="AO207" s="246"/>
      <c r="AP207" s="246"/>
      <c r="AQ207" s="246"/>
      <c r="AR207" s="246"/>
      <c r="AS207" s="246"/>
      <c r="AT207" s="246"/>
      <c r="AU207" s="260"/>
    </row>
    <row r="208" spans="1:47" ht="60" customHeight="1" x14ac:dyDescent="0.35">
      <c r="A208" s="256" t="s">
        <v>3882</v>
      </c>
      <c r="B208" s="234" t="s">
        <v>3883</v>
      </c>
      <c r="C208" s="235" t="s">
        <v>3897</v>
      </c>
      <c r="D208" s="238" t="s">
        <v>3898</v>
      </c>
      <c r="E208" s="239" t="s">
        <v>3627</v>
      </c>
      <c r="F208" s="242" t="s">
        <v>3886</v>
      </c>
      <c r="G208" s="245" t="str">
        <f>IF(COUNTIF(H208:AU208,"&lt;&gt;")=0,"",SUMPRODUCT(((Recommendations[ImplStatus]="Implemented")+(Recommendations[ImplStatus]="Compensated"))*ISNUMBER(MATCH(Recommendations[Id],H208:AU208,0)))/COUNTIF(H208:AU208,"&lt;&gt;"))</f>
        <v/>
      </c>
      <c r="H208" s="246"/>
      <c r="I208" s="246"/>
      <c r="J208" s="246"/>
      <c r="K208" s="246"/>
      <c r="L208" s="246"/>
      <c r="M208" s="246"/>
      <c r="N208" s="246"/>
      <c r="O208" s="246"/>
      <c r="P208" s="246"/>
      <c r="Q208" s="246"/>
      <c r="R208" s="246"/>
      <c r="S208" s="246"/>
      <c r="T208" s="246"/>
      <c r="U208" s="246"/>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60"/>
    </row>
    <row r="209" spans="1:47" ht="60" customHeight="1" x14ac:dyDescent="0.35">
      <c r="A209" s="256" t="s">
        <v>3882</v>
      </c>
      <c r="B209" s="234" t="s">
        <v>3883</v>
      </c>
      <c r="C209" s="235" t="s">
        <v>3899</v>
      </c>
      <c r="D209" s="238" t="s">
        <v>3900</v>
      </c>
      <c r="E209" s="239" t="s">
        <v>3762</v>
      </c>
      <c r="F209" s="242" t="s">
        <v>3886</v>
      </c>
      <c r="G209" s="245" t="str">
        <f>IF(COUNTIF(H209:AU209,"&lt;&gt;")=0,"",SUMPRODUCT(((Recommendations[ImplStatus]="Implemented")+(Recommendations[ImplStatus]="Compensated"))*ISNUMBER(MATCH(Recommendations[Id],H209:AU209,0)))/COUNTIF(H209:AU209,"&lt;&gt;"))</f>
        <v/>
      </c>
      <c r="H209" s="246"/>
      <c r="I209" s="246"/>
      <c r="J209" s="246"/>
      <c r="K209" s="246"/>
      <c r="L209" s="24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60"/>
    </row>
    <row r="210" spans="1:47" ht="60" customHeight="1" x14ac:dyDescent="0.35">
      <c r="A210" s="256" t="s">
        <v>3882</v>
      </c>
      <c r="B210" s="234" t="s">
        <v>3883</v>
      </c>
      <c r="C210" s="235" t="s">
        <v>3901</v>
      </c>
      <c r="D210" s="238" t="s">
        <v>3902</v>
      </c>
      <c r="E210" s="239" t="s">
        <v>3512</v>
      </c>
      <c r="F210" s="242" t="s">
        <v>3903</v>
      </c>
      <c r="G210" s="245" t="str">
        <f>IF(COUNTIF(H210:AU210,"&lt;&gt;")=0,"",SUMPRODUCT(((Recommendations[ImplStatus]="Implemented")+(Recommendations[ImplStatus]="Compensated"))*ISNUMBER(MATCH(Recommendations[Id],H210:AU210,0)))/COUNTIF(H210:AU210,"&lt;&gt;"))</f>
        <v/>
      </c>
      <c r="H210" s="246"/>
      <c r="I210" s="246"/>
      <c r="J210" s="246"/>
      <c r="K210" s="246"/>
      <c r="L210" s="246"/>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60"/>
    </row>
    <row r="211" spans="1:47" ht="60" customHeight="1" x14ac:dyDescent="0.35">
      <c r="A211" s="256" t="s">
        <v>3882</v>
      </c>
      <c r="B211" s="234" t="s">
        <v>3883</v>
      </c>
      <c r="C211" s="235" t="s">
        <v>3904</v>
      </c>
      <c r="D211" s="238" t="s">
        <v>3905</v>
      </c>
      <c r="E211" s="239" t="s">
        <v>3512</v>
      </c>
      <c r="F211" s="242" t="s">
        <v>3903</v>
      </c>
      <c r="G211" s="245" t="str">
        <f>IF(COUNTIF(H211:AU211,"&lt;&gt;")=0,"",SUMPRODUCT(((Recommendations[ImplStatus]="Implemented")+(Recommendations[ImplStatus]="Compensated"))*ISNUMBER(MATCH(Recommendations[Id],H211:AU211,0)))/COUNTIF(H211:AU211,"&lt;&gt;"))</f>
        <v/>
      </c>
      <c r="H211" s="246"/>
      <c r="I211" s="246"/>
      <c r="J211" s="246"/>
      <c r="K211" s="246"/>
      <c r="L211" s="24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60"/>
    </row>
    <row r="212" spans="1:47" ht="60" customHeight="1" x14ac:dyDescent="0.35">
      <c r="A212" s="256" t="s">
        <v>3882</v>
      </c>
      <c r="B212" s="234" t="s">
        <v>3883</v>
      </c>
      <c r="C212" s="235" t="s">
        <v>3906</v>
      </c>
      <c r="D212" s="238" t="s">
        <v>3907</v>
      </c>
      <c r="E212" s="239" t="s">
        <v>3579</v>
      </c>
      <c r="F212" s="242" t="s">
        <v>3908</v>
      </c>
      <c r="G212" s="245" t="str">
        <f>IF(COUNTIF(H212:AU212,"&lt;&gt;")=0,"",SUMPRODUCT(((Recommendations[ImplStatus]="Implemented")+(Recommendations[ImplStatus]="Compensated"))*ISNUMBER(MATCH(Recommendations[Id],H212:AU212,0)))/COUNTIF(H212:AU212,"&lt;&gt;"))</f>
        <v/>
      </c>
      <c r="H212" s="246"/>
      <c r="I212" s="246"/>
      <c r="J212" s="246"/>
      <c r="K212" s="246"/>
      <c r="L212" s="246"/>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60"/>
    </row>
    <row r="213" spans="1:47" ht="60" customHeight="1" x14ac:dyDescent="0.35">
      <c r="A213" s="256" t="s">
        <v>3882</v>
      </c>
      <c r="B213" s="234" t="s">
        <v>3883</v>
      </c>
      <c r="C213" s="235" t="s">
        <v>3909</v>
      </c>
      <c r="D213" s="238" t="s">
        <v>3910</v>
      </c>
      <c r="E213" s="239" t="s">
        <v>3512</v>
      </c>
      <c r="F213" s="242" t="s">
        <v>3911</v>
      </c>
      <c r="G213" s="245" t="str">
        <f>IF(COUNTIF(H213:AU213,"&lt;&gt;")=0,"",SUMPRODUCT(((Recommendations[ImplStatus]="Implemented")+(Recommendations[ImplStatus]="Compensated"))*ISNUMBER(MATCH(Recommendations[Id],H213:AU213,0)))/COUNTIF(H213:AU213,"&lt;&gt;"))</f>
        <v/>
      </c>
      <c r="H213" s="246"/>
      <c r="I213" s="246"/>
      <c r="J213" s="246"/>
      <c r="K213" s="246"/>
      <c r="L213" s="246"/>
      <c r="M213" s="246"/>
      <c r="N213" s="246"/>
      <c r="O213" s="246"/>
      <c r="P213" s="246"/>
      <c r="Q213" s="246"/>
      <c r="R213" s="246"/>
      <c r="S213" s="246"/>
      <c r="T213" s="246"/>
      <c r="U213" s="246"/>
      <c r="V213" s="246"/>
      <c r="W213" s="246"/>
      <c r="X213" s="246"/>
      <c r="Y213" s="246"/>
      <c r="Z213" s="246"/>
      <c r="AA213" s="246"/>
      <c r="AB213" s="246"/>
      <c r="AC213" s="246"/>
      <c r="AD213" s="246"/>
      <c r="AE213" s="246"/>
      <c r="AF213" s="246"/>
      <c r="AG213" s="246"/>
      <c r="AH213" s="246"/>
      <c r="AI213" s="246"/>
      <c r="AJ213" s="246"/>
      <c r="AK213" s="246"/>
      <c r="AL213" s="246"/>
      <c r="AM213" s="246"/>
      <c r="AN213" s="246"/>
      <c r="AO213" s="246"/>
      <c r="AP213" s="246"/>
      <c r="AQ213" s="246"/>
      <c r="AR213" s="246"/>
      <c r="AS213" s="246"/>
      <c r="AT213" s="246"/>
      <c r="AU213" s="260"/>
    </row>
    <row r="214" spans="1:47" ht="60" customHeight="1" x14ac:dyDescent="0.35">
      <c r="A214" s="256" t="s">
        <v>3882</v>
      </c>
      <c r="B214" s="234" t="s">
        <v>3883</v>
      </c>
      <c r="C214" s="235" t="s">
        <v>3912</v>
      </c>
      <c r="D214" s="238" t="s">
        <v>3913</v>
      </c>
      <c r="E214" s="239" t="s">
        <v>3579</v>
      </c>
      <c r="F214" s="242" t="s">
        <v>3914</v>
      </c>
      <c r="G214" s="245" t="str">
        <f>IF(COUNTIF(H214:AU214,"&lt;&gt;")=0,"",SUMPRODUCT(((Recommendations[ImplStatus]="Implemented")+(Recommendations[ImplStatus]="Compensated"))*ISNUMBER(MATCH(Recommendations[Id],H214:AU214,0)))/COUNTIF(H214:AU214,"&lt;&gt;"))</f>
        <v/>
      </c>
      <c r="H214" s="246"/>
      <c r="I214" s="246"/>
      <c r="J214" s="246"/>
      <c r="K214" s="246"/>
      <c r="L214" s="246"/>
      <c r="M214" s="246"/>
      <c r="N214" s="246"/>
      <c r="O214" s="246"/>
      <c r="P214" s="246"/>
      <c r="Q214" s="246"/>
      <c r="R214" s="246"/>
      <c r="S214" s="246"/>
      <c r="T214" s="246"/>
      <c r="U214" s="246"/>
      <c r="V214" s="246"/>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60"/>
    </row>
    <row r="215" spans="1:47" ht="60" customHeight="1" x14ac:dyDescent="0.35">
      <c r="A215" s="256" t="s">
        <v>3882</v>
      </c>
      <c r="B215" s="234" t="s">
        <v>3883</v>
      </c>
      <c r="C215" s="235" t="s">
        <v>3915</v>
      </c>
      <c r="D215" s="238" t="s">
        <v>3916</v>
      </c>
      <c r="E215" s="239" t="s">
        <v>3483</v>
      </c>
      <c r="F215" s="242" t="s">
        <v>3914</v>
      </c>
      <c r="G215" s="245" t="str">
        <f>IF(COUNTIF(H215:AU215,"&lt;&gt;")=0,"",SUMPRODUCT(((Recommendations[ImplStatus]="Implemented")+(Recommendations[ImplStatus]="Compensated"))*ISNUMBER(MATCH(Recommendations[Id],H215:AU215,0)))/COUNTIF(H215:AU215,"&lt;&gt;"))</f>
        <v/>
      </c>
      <c r="H215" s="246"/>
      <c r="I215" s="246"/>
      <c r="J215" s="246"/>
      <c r="K215" s="246"/>
      <c r="L215" s="246"/>
      <c r="M215" s="246"/>
      <c r="N215" s="246"/>
      <c r="O215" s="246"/>
      <c r="P215" s="246"/>
      <c r="Q215" s="246"/>
      <c r="R215" s="246"/>
      <c r="S215" s="246"/>
      <c r="T215" s="246"/>
      <c r="U215" s="246"/>
      <c r="V215" s="246"/>
      <c r="W215" s="246"/>
      <c r="X215" s="246"/>
      <c r="Y215" s="246"/>
      <c r="Z215" s="246"/>
      <c r="AA215" s="246"/>
      <c r="AB215" s="246"/>
      <c r="AC215" s="246"/>
      <c r="AD215" s="246"/>
      <c r="AE215" s="246"/>
      <c r="AF215" s="246"/>
      <c r="AG215" s="246"/>
      <c r="AH215" s="246"/>
      <c r="AI215" s="246"/>
      <c r="AJ215" s="246"/>
      <c r="AK215" s="246"/>
      <c r="AL215" s="246"/>
      <c r="AM215" s="246"/>
      <c r="AN215" s="246"/>
      <c r="AO215" s="246"/>
      <c r="AP215" s="246"/>
      <c r="AQ215" s="246"/>
      <c r="AR215" s="246"/>
      <c r="AS215" s="246"/>
      <c r="AT215" s="246"/>
      <c r="AU215" s="260"/>
    </row>
    <row r="216" spans="1:47" ht="60" customHeight="1" x14ac:dyDescent="0.35">
      <c r="A216" s="256" t="s">
        <v>3882</v>
      </c>
      <c r="B216" s="234" t="s">
        <v>3883</v>
      </c>
      <c r="C216" s="235" t="s">
        <v>3917</v>
      </c>
      <c r="D216" s="238" t="s">
        <v>3918</v>
      </c>
      <c r="E216" s="239" t="s">
        <v>3483</v>
      </c>
      <c r="F216" s="242" t="s">
        <v>3914</v>
      </c>
      <c r="G216" s="245" t="str">
        <f>IF(COUNTIF(H216:AU216,"&lt;&gt;")=0,"",SUMPRODUCT(((Recommendations[ImplStatus]="Implemented")+(Recommendations[ImplStatus]="Compensated"))*ISNUMBER(MATCH(Recommendations[Id],H216:AU216,0)))/COUNTIF(H216:AU216,"&lt;&gt;"))</f>
        <v/>
      </c>
      <c r="H216" s="246"/>
      <c r="I216" s="246"/>
      <c r="J216" s="246"/>
      <c r="K216" s="246"/>
      <c r="L216" s="246"/>
      <c r="M216" s="246"/>
      <c r="N216" s="246"/>
      <c r="O216" s="246"/>
      <c r="P216" s="246"/>
      <c r="Q216" s="246"/>
      <c r="R216" s="246"/>
      <c r="S216" s="246"/>
      <c r="T216" s="246"/>
      <c r="U216" s="246"/>
      <c r="V216" s="246"/>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60"/>
    </row>
    <row r="217" spans="1:47" ht="60" customHeight="1" x14ac:dyDescent="0.35">
      <c r="A217" s="256" t="s">
        <v>3882</v>
      </c>
      <c r="B217" s="234" t="s">
        <v>3883</v>
      </c>
      <c r="C217" s="235" t="s">
        <v>3919</v>
      </c>
      <c r="D217" s="238" t="s">
        <v>3920</v>
      </c>
      <c r="E217" s="239" t="s">
        <v>3512</v>
      </c>
      <c r="F217" s="242" t="s">
        <v>3914</v>
      </c>
      <c r="G217" s="245" t="str">
        <f>IF(COUNTIF(H217:AU217,"&lt;&gt;")=0,"",SUMPRODUCT(((Recommendations[ImplStatus]="Implemented")+(Recommendations[ImplStatus]="Compensated"))*ISNUMBER(MATCH(Recommendations[Id],H217:AU217,0)))/COUNTIF(H217:AU217,"&lt;&gt;"))</f>
        <v/>
      </c>
      <c r="H217" s="246"/>
      <c r="I217" s="246"/>
      <c r="J217" s="246"/>
      <c r="K217" s="246"/>
      <c r="L217" s="246"/>
      <c r="M217" s="246"/>
      <c r="N217" s="246"/>
      <c r="O217" s="246"/>
      <c r="P217" s="246"/>
      <c r="Q217" s="246"/>
      <c r="R217" s="246"/>
      <c r="S217" s="246"/>
      <c r="T217" s="246"/>
      <c r="U217" s="246"/>
      <c r="V217" s="246"/>
      <c r="W217" s="246"/>
      <c r="X217" s="246"/>
      <c r="Y217" s="246"/>
      <c r="Z217" s="246"/>
      <c r="AA217" s="246"/>
      <c r="AB217" s="246"/>
      <c r="AC217" s="246"/>
      <c r="AD217" s="246"/>
      <c r="AE217" s="246"/>
      <c r="AF217" s="246"/>
      <c r="AG217" s="246"/>
      <c r="AH217" s="246"/>
      <c r="AI217" s="246"/>
      <c r="AJ217" s="246"/>
      <c r="AK217" s="246"/>
      <c r="AL217" s="246"/>
      <c r="AM217" s="246"/>
      <c r="AN217" s="246"/>
      <c r="AO217" s="246"/>
      <c r="AP217" s="246"/>
      <c r="AQ217" s="246"/>
      <c r="AR217" s="246"/>
      <c r="AS217" s="246"/>
      <c r="AT217" s="246"/>
      <c r="AU217" s="260"/>
    </row>
    <row r="218" spans="1:47" ht="60" customHeight="1" x14ac:dyDescent="0.35">
      <c r="A218" s="256" t="s">
        <v>3882</v>
      </c>
      <c r="B218" s="234" t="s">
        <v>3883</v>
      </c>
      <c r="C218" s="235" t="s">
        <v>3921</v>
      </c>
      <c r="D218" s="238" t="s">
        <v>3922</v>
      </c>
      <c r="E218" s="239" t="s">
        <v>3512</v>
      </c>
      <c r="F218" s="242" t="s">
        <v>3914</v>
      </c>
      <c r="G218" s="245" t="str">
        <f>IF(COUNTIF(H218:AU218,"&lt;&gt;")=0,"",SUMPRODUCT(((Recommendations[ImplStatus]="Implemented")+(Recommendations[ImplStatus]="Compensated"))*ISNUMBER(MATCH(Recommendations[Id],H218:AU218,0)))/COUNTIF(H218:AU218,"&lt;&gt;"))</f>
        <v/>
      </c>
      <c r="H218" s="246"/>
      <c r="I218" s="246"/>
      <c r="J218" s="246"/>
      <c r="K218" s="246"/>
      <c r="L218" s="246"/>
      <c r="M218" s="246"/>
      <c r="N218" s="246"/>
      <c r="O218" s="246"/>
      <c r="P218" s="246"/>
      <c r="Q218" s="246"/>
      <c r="R218" s="246"/>
      <c r="S218" s="246"/>
      <c r="T218" s="246"/>
      <c r="U218" s="246"/>
      <c r="V218" s="246"/>
      <c r="W218" s="246"/>
      <c r="X218" s="246"/>
      <c r="Y218" s="246"/>
      <c r="Z218" s="246"/>
      <c r="AA218" s="246"/>
      <c r="AB218" s="246"/>
      <c r="AC218" s="246"/>
      <c r="AD218" s="246"/>
      <c r="AE218" s="246"/>
      <c r="AF218" s="246"/>
      <c r="AG218" s="246"/>
      <c r="AH218" s="246"/>
      <c r="AI218" s="246"/>
      <c r="AJ218" s="246"/>
      <c r="AK218" s="246"/>
      <c r="AL218" s="246"/>
      <c r="AM218" s="246"/>
      <c r="AN218" s="246"/>
      <c r="AO218" s="246"/>
      <c r="AP218" s="246"/>
      <c r="AQ218" s="246"/>
      <c r="AR218" s="246"/>
      <c r="AS218" s="246"/>
      <c r="AT218" s="246"/>
      <c r="AU218" s="260"/>
    </row>
    <row r="219" spans="1:47" ht="60" customHeight="1" x14ac:dyDescent="0.35">
      <c r="A219" s="256" t="s">
        <v>3882</v>
      </c>
      <c r="B219" s="234" t="s">
        <v>3883</v>
      </c>
      <c r="C219" s="235" t="s">
        <v>3923</v>
      </c>
      <c r="D219" s="238" t="s">
        <v>3924</v>
      </c>
      <c r="E219" s="239" t="s">
        <v>3512</v>
      </c>
      <c r="F219" s="242" t="s">
        <v>3914</v>
      </c>
      <c r="G219" s="245" t="str">
        <f>IF(COUNTIF(H219:AU219,"&lt;&gt;")=0,"",SUMPRODUCT(((Recommendations[ImplStatus]="Implemented")+(Recommendations[ImplStatus]="Compensated"))*ISNUMBER(MATCH(Recommendations[Id],H219:AU219,0)))/COUNTIF(H219:AU219,"&lt;&gt;"))</f>
        <v/>
      </c>
      <c r="H219" s="246"/>
      <c r="I219" s="246"/>
      <c r="J219" s="246"/>
      <c r="K219" s="246"/>
      <c r="L219" s="246"/>
      <c r="M219" s="246"/>
      <c r="N219" s="246"/>
      <c r="O219" s="246"/>
      <c r="P219" s="246"/>
      <c r="Q219" s="246"/>
      <c r="R219" s="246"/>
      <c r="S219" s="246"/>
      <c r="T219" s="246"/>
      <c r="U219" s="246"/>
      <c r="V219" s="246"/>
      <c r="W219" s="246"/>
      <c r="X219" s="246"/>
      <c r="Y219" s="246"/>
      <c r="Z219" s="246"/>
      <c r="AA219" s="246"/>
      <c r="AB219" s="246"/>
      <c r="AC219" s="246"/>
      <c r="AD219" s="246"/>
      <c r="AE219" s="246"/>
      <c r="AF219" s="246"/>
      <c r="AG219" s="246"/>
      <c r="AH219" s="246"/>
      <c r="AI219" s="246"/>
      <c r="AJ219" s="246"/>
      <c r="AK219" s="246"/>
      <c r="AL219" s="246"/>
      <c r="AM219" s="246"/>
      <c r="AN219" s="246"/>
      <c r="AO219" s="246"/>
      <c r="AP219" s="246"/>
      <c r="AQ219" s="246"/>
      <c r="AR219" s="246"/>
      <c r="AS219" s="246"/>
      <c r="AT219" s="246"/>
      <c r="AU219" s="260"/>
    </row>
    <row r="220" spans="1:47" ht="60" customHeight="1" x14ac:dyDescent="0.35">
      <c r="A220" s="256" t="s">
        <v>3882</v>
      </c>
      <c r="B220" s="234" t="s">
        <v>3883</v>
      </c>
      <c r="C220" s="235" t="s">
        <v>3925</v>
      </c>
      <c r="D220" s="238" t="s">
        <v>3926</v>
      </c>
      <c r="E220" s="239" t="s">
        <v>3512</v>
      </c>
      <c r="F220" s="242" t="s">
        <v>3914</v>
      </c>
      <c r="G220" s="245" t="str">
        <f>IF(COUNTIF(H220:AU220,"&lt;&gt;")=0,"",SUMPRODUCT(((Recommendations[ImplStatus]="Implemented")+(Recommendations[ImplStatus]="Compensated"))*ISNUMBER(MATCH(Recommendations[Id],H220:AU220,0)))/COUNTIF(H220:AU220,"&lt;&gt;"))</f>
        <v/>
      </c>
      <c r="H220" s="246"/>
      <c r="I220" s="246"/>
      <c r="J220" s="246"/>
      <c r="K220" s="246"/>
      <c r="L220" s="246"/>
      <c r="M220" s="246"/>
      <c r="N220" s="246"/>
      <c r="O220" s="246"/>
      <c r="P220" s="246"/>
      <c r="Q220" s="246"/>
      <c r="R220" s="246"/>
      <c r="S220" s="246"/>
      <c r="T220" s="246"/>
      <c r="U220" s="246"/>
      <c r="V220" s="246"/>
      <c r="W220" s="246"/>
      <c r="X220" s="246"/>
      <c r="Y220" s="246"/>
      <c r="Z220" s="246"/>
      <c r="AA220" s="246"/>
      <c r="AB220" s="246"/>
      <c r="AC220" s="246"/>
      <c r="AD220" s="246"/>
      <c r="AE220" s="246"/>
      <c r="AF220" s="246"/>
      <c r="AG220" s="246"/>
      <c r="AH220" s="246"/>
      <c r="AI220" s="246"/>
      <c r="AJ220" s="246"/>
      <c r="AK220" s="246"/>
      <c r="AL220" s="246"/>
      <c r="AM220" s="246"/>
      <c r="AN220" s="246"/>
      <c r="AO220" s="246"/>
      <c r="AP220" s="246"/>
      <c r="AQ220" s="246"/>
      <c r="AR220" s="246"/>
      <c r="AS220" s="246"/>
      <c r="AT220" s="246"/>
      <c r="AU220" s="260"/>
    </row>
    <row r="221" spans="1:47" ht="60" customHeight="1" outlineLevel="2" x14ac:dyDescent="0.35">
      <c r="A221" s="255" t="s">
        <v>3882</v>
      </c>
      <c r="B221" s="233" t="s">
        <v>3927</v>
      </c>
      <c r="C221" s="233"/>
      <c r="D221" s="237"/>
      <c r="E221" s="233"/>
      <c r="F221" s="241"/>
      <c r="G221" s="244" t="str">
        <f>IF(COUNTIF(H221:AU221,"&lt;&gt;")=0,"",SUMPRODUCT(((Recommendations[ImplStatus]="Implemented")+(Recommendations[ImplStatus]="Compensated"))*ISNUMBER(MATCH(Recommendations[Id],H221:AU221,0)))/COUNTIF(H221:AU221,"&lt;&gt;"))</f>
        <v/>
      </c>
      <c r="H221" s="241"/>
      <c r="I221" s="241"/>
      <c r="J221" s="241"/>
      <c r="K221" s="241"/>
      <c r="L221" s="241"/>
      <c r="M221" s="241"/>
      <c r="N221" s="241"/>
      <c r="O221" s="241"/>
      <c r="P221" s="241"/>
      <c r="Q221" s="241"/>
      <c r="R221" s="241"/>
      <c r="S221" s="241"/>
      <c r="T221" s="241"/>
      <c r="U221" s="241"/>
      <c r="V221" s="241"/>
      <c r="W221" s="241"/>
      <c r="X221" s="241"/>
      <c r="Y221" s="241"/>
      <c r="Z221" s="241"/>
      <c r="AA221" s="241"/>
      <c r="AB221" s="241"/>
      <c r="AC221" s="241"/>
      <c r="AD221" s="241"/>
      <c r="AE221" s="241"/>
      <c r="AF221" s="241"/>
      <c r="AG221" s="241"/>
      <c r="AH221" s="241"/>
      <c r="AI221" s="241"/>
      <c r="AJ221" s="241"/>
      <c r="AK221" s="241"/>
      <c r="AL221" s="241"/>
      <c r="AM221" s="241"/>
      <c r="AN221" s="241"/>
      <c r="AO221" s="241"/>
      <c r="AP221" s="241"/>
      <c r="AQ221" s="241"/>
      <c r="AR221" s="241"/>
      <c r="AS221" s="241"/>
      <c r="AT221" s="241"/>
      <c r="AU221" s="259"/>
    </row>
    <row r="222" spans="1:47" ht="60" customHeight="1" x14ac:dyDescent="0.35">
      <c r="A222" s="256" t="s">
        <v>3882</v>
      </c>
      <c r="B222" s="234" t="s">
        <v>3927</v>
      </c>
      <c r="C222" s="235" t="s">
        <v>3928</v>
      </c>
      <c r="D222" s="238" t="s">
        <v>3929</v>
      </c>
      <c r="E222" s="239" t="s">
        <v>3579</v>
      </c>
      <c r="F222" s="242" t="s">
        <v>3930</v>
      </c>
      <c r="G222" s="245" t="str">
        <f>IF(COUNTIF(H222:AU222,"&lt;&gt;")=0,"",SUMPRODUCT(((Recommendations[ImplStatus]="Implemented")+(Recommendations[ImplStatus]="Compensated"))*ISNUMBER(MATCH(Recommendations[Id],H222:AU222,0)))/COUNTIF(H222:AU222,"&lt;&gt;"))</f>
        <v/>
      </c>
      <c r="H222" s="246"/>
      <c r="I222" s="246"/>
      <c r="J222" s="246"/>
      <c r="K222" s="246"/>
      <c r="L222" s="246"/>
      <c r="M222" s="246"/>
      <c r="N222" s="246"/>
      <c r="O222" s="246"/>
      <c r="P222" s="246"/>
      <c r="Q222" s="246"/>
      <c r="R222" s="246"/>
      <c r="S222" s="246"/>
      <c r="T222" s="246"/>
      <c r="U222" s="246"/>
      <c r="V222" s="246"/>
      <c r="W222" s="246"/>
      <c r="X222" s="246"/>
      <c r="Y222" s="246"/>
      <c r="Z222" s="246"/>
      <c r="AA222" s="246"/>
      <c r="AB222" s="246"/>
      <c r="AC222" s="246"/>
      <c r="AD222" s="246"/>
      <c r="AE222" s="246"/>
      <c r="AF222" s="246"/>
      <c r="AG222" s="246"/>
      <c r="AH222" s="246"/>
      <c r="AI222" s="246"/>
      <c r="AJ222" s="246"/>
      <c r="AK222" s="246"/>
      <c r="AL222" s="246"/>
      <c r="AM222" s="246"/>
      <c r="AN222" s="246"/>
      <c r="AO222" s="246"/>
      <c r="AP222" s="246"/>
      <c r="AQ222" s="246"/>
      <c r="AR222" s="246"/>
      <c r="AS222" s="246"/>
      <c r="AT222" s="246"/>
      <c r="AU222" s="260"/>
    </row>
    <row r="223" spans="1:47" ht="60" customHeight="1" x14ac:dyDescent="0.35">
      <c r="A223" s="256" t="s">
        <v>3882</v>
      </c>
      <c r="B223" s="234" t="s">
        <v>3927</v>
      </c>
      <c r="C223" s="235" t="s">
        <v>3931</v>
      </c>
      <c r="D223" s="238" t="s">
        <v>3932</v>
      </c>
      <c r="E223" s="239" t="s">
        <v>3579</v>
      </c>
      <c r="F223" s="242" t="s">
        <v>3930</v>
      </c>
      <c r="G223" s="245" t="str">
        <f>IF(COUNTIF(H223:AU223,"&lt;&gt;")=0,"",SUMPRODUCT(((Recommendations[ImplStatus]="Implemented")+(Recommendations[ImplStatus]="Compensated"))*ISNUMBER(MATCH(Recommendations[Id],H223:AU223,0)))/COUNTIF(H223:AU223,"&lt;&gt;"))</f>
        <v/>
      </c>
      <c r="H223" s="246"/>
      <c r="I223" s="246"/>
      <c r="J223" s="246"/>
      <c r="K223" s="246"/>
      <c r="L223" s="246"/>
      <c r="M223" s="246"/>
      <c r="N223" s="246"/>
      <c r="O223" s="246"/>
      <c r="P223" s="246"/>
      <c r="Q223" s="246"/>
      <c r="R223" s="246"/>
      <c r="S223" s="246"/>
      <c r="T223" s="246"/>
      <c r="U223" s="246"/>
      <c r="V223" s="246"/>
      <c r="W223" s="246"/>
      <c r="X223" s="246"/>
      <c r="Y223" s="246"/>
      <c r="Z223" s="246"/>
      <c r="AA223" s="246"/>
      <c r="AB223" s="246"/>
      <c r="AC223" s="246"/>
      <c r="AD223" s="246"/>
      <c r="AE223" s="246"/>
      <c r="AF223" s="246"/>
      <c r="AG223" s="246"/>
      <c r="AH223" s="246"/>
      <c r="AI223" s="246"/>
      <c r="AJ223" s="246"/>
      <c r="AK223" s="246"/>
      <c r="AL223" s="246"/>
      <c r="AM223" s="246"/>
      <c r="AN223" s="246"/>
      <c r="AO223" s="246"/>
      <c r="AP223" s="246"/>
      <c r="AQ223" s="246"/>
      <c r="AR223" s="246"/>
      <c r="AS223" s="246"/>
      <c r="AT223" s="246"/>
      <c r="AU223" s="260"/>
    </row>
    <row r="224" spans="1:47" ht="60" customHeight="1" x14ac:dyDescent="0.35">
      <c r="A224" s="256" t="s">
        <v>3882</v>
      </c>
      <c r="B224" s="234" t="s">
        <v>3927</v>
      </c>
      <c r="C224" s="235" t="s">
        <v>3933</v>
      </c>
      <c r="D224" s="238" t="s">
        <v>3934</v>
      </c>
      <c r="E224" s="239" t="s">
        <v>3579</v>
      </c>
      <c r="F224" s="242" t="s">
        <v>3930</v>
      </c>
      <c r="G224" s="245" t="str">
        <f>IF(COUNTIF(H224:AU224,"&lt;&gt;")=0,"",SUMPRODUCT(((Recommendations[ImplStatus]="Implemented")+(Recommendations[ImplStatus]="Compensated"))*ISNUMBER(MATCH(Recommendations[Id],H224:AU224,0)))/COUNTIF(H224:AU224,"&lt;&gt;"))</f>
        <v/>
      </c>
      <c r="H224" s="246"/>
      <c r="I224" s="246"/>
      <c r="J224" s="246"/>
      <c r="K224" s="246"/>
      <c r="L224" s="246"/>
      <c r="M224" s="246"/>
      <c r="N224" s="246"/>
      <c r="O224" s="246"/>
      <c r="P224" s="246"/>
      <c r="Q224" s="246"/>
      <c r="R224" s="246"/>
      <c r="S224" s="246"/>
      <c r="T224" s="246"/>
      <c r="U224" s="246"/>
      <c r="V224" s="246"/>
      <c r="W224" s="246"/>
      <c r="X224" s="246"/>
      <c r="Y224" s="246"/>
      <c r="Z224" s="246"/>
      <c r="AA224" s="246"/>
      <c r="AB224" s="246"/>
      <c r="AC224" s="246"/>
      <c r="AD224" s="246"/>
      <c r="AE224" s="246"/>
      <c r="AF224" s="246"/>
      <c r="AG224" s="246"/>
      <c r="AH224" s="246"/>
      <c r="AI224" s="246"/>
      <c r="AJ224" s="246"/>
      <c r="AK224" s="246"/>
      <c r="AL224" s="246"/>
      <c r="AM224" s="246"/>
      <c r="AN224" s="246"/>
      <c r="AO224" s="246"/>
      <c r="AP224" s="246"/>
      <c r="AQ224" s="246"/>
      <c r="AR224" s="246"/>
      <c r="AS224" s="246"/>
      <c r="AT224" s="246"/>
      <c r="AU224" s="260"/>
    </row>
    <row r="225" spans="1:47" ht="60" customHeight="1" x14ac:dyDescent="0.35">
      <c r="A225" s="256" t="s">
        <v>3882</v>
      </c>
      <c r="B225" s="234" t="s">
        <v>3927</v>
      </c>
      <c r="C225" s="235" t="s">
        <v>3935</v>
      </c>
      <c r="D225" s="238" t="s">
        <v>3936</v>
      </c>
      <c r="E225" s="239" t="s">
        <v>3579</v>
      </c>
      <c r="F225" s="242" t="s">
        <v>3930</v>
      </c>
      <c r="G225" s="245" t="str">
        <f>IF(COUNTIF(H225:AU225,"&lt;&gt;")=0,"",SUMPRODUCT(((Recommendations[ImplStatus]="Implemented")+(Recommendations[ImplStatus]="Compensated"))*ISNUMBER(MATCH(Recommendations[Id],H225:AU225,0)))/COUNTIF(H225:AU225,"&lt;&gt;"))</f>
        <v/>
      </c>
      <c r="H225" s="246"/>
      <c r="I225" s="246"/>
      <c r="J225" s="246"/>
      <c r="K225" s="246"/>
      <c r="L225" s="246"/>
      <c r="M225" s="246"/>
      <c r="N225" s="246"/>
      <c r="O225" s="246"/>
      <c r="P225" s="246"/>
      <c r="Q225" s="246"/>
      <c r="R225" s="246"/>
      <c r="S225" s="246"/>
      <c r="T225" s="246"/>
      <c r="U225" s="246"/>
      <c r="V225" s="246"/>
      <c r="W225" s="246"/>
      <c r="X225" s="246"/>
      <c r="Y225" s="246"/>
      <c r="Z225" s="246"/>
      <c r="AA225" s="246"/>
      <c r="AB225" s="246"/>
      <c r="AC225" s="246"/>
      <c r="AD225" s="246"/>
      <c r="AE225" s="246"/>
      <c r="AF225" s="246"/>
      <c r="AG225" s="246"/>
      <c r="AH225" s="246"/>
      <c r="AI225" s="246"/>
      <c r="AJ225" s="246"/>
      <c r="AK225" s="246"/>
      <c r="AL225" s="246"/>
      <c r="AM225" s="246"/>
      <c r="AN225" s="246"/>
      <c r="AO225" s="246"/>
      <c r="AP225" s="246"/>
      <c r="AQ225" s="246"/>
      <c r="AR225" s="246"/>
      <c r="AS225" s="246"/>
      <c r="AT225" s="246"/>
      <c r="AU225" s="260"/>
    </row>
    <row r="226" spans="1:47" ht="60" customHeight="1" x14ac:dyDescent="0.35">
      <c r="A226" s="256" t="s">
        <v>3882</v>
      </c>
      <c r="B226" s="234" t="s">
        <v>3927</v>
      </c>
      <c r="C226" s="235" t="s">
        <v>3937</v>
      </c>
      <c r="D226" s="238" t="s">
        <v>3938</v>
      </c>
      <c r="E226" s="239" t="s">
        <v>3579</v>
      </c>
      <c r="F226" s="242" t="s">
        <v>3930</v>
      </c>
      <c r="G226" s="245" t="str">
        <f>IF(COUNTIF(H226:AU226,"&lt;&gt;")=0,"",SUMPRODUCT(((Recommendations[ImplStatus]="Implemented")+(Recommendations[ImplStatus]="Compensated"))*ISNUMBER(MATCH(Recommendations[Id],H226:AU226,0)))/COUNTIF(H226:AU226,"&lt;&gt;"))</f>
        <v/>
      </c>
      <c r="H226" s="246"/>
      <c r="I226" s="246"/>
      <c r="J226" s="246"/>
      <c r="K226" s="246"/>
      <c r="L226" s="246"/>
      <c r="M226" s="246"/>
      <c r="N226" s="246"/>
      <c r="O226" s="246"/>
      <c r="P226" s="246"/>
      <c r="Q226" s="246"/>
      <c r="R226" s="246"/>
      <c r="S226" s="246"/>
      <c r="T226" s="246"/>
      <c r="U226" s="246"/>
      <c r="V226" s="246"/>
      <c r="W226" s="246"/>
      <c r="X226" s="246"/>
      <c r="Y226" s="246"/>
      <c r="Z226" s="246"/>
      <c r="AA226" s="246"/>
      <c r="AB226" s="246"/>
      <c r="AC226" s="246"/>
      <c r="AD226" s="246"/>
      <c r="AE226" s="246"/>
      <c r="AF226" s="246"/>
      <c r="AG226" s="246"/>
      <c r="AH226" s="246"/>
      <c r="AI226" s="246"/>
      <c r="AJ226" s="246"/>
      <c r="AK226" s="246"/>
      <c r="AL226" s="246"/>
      <c r="AM226" s="246"/>
      <c r="AN226" s="246"/>
      <c r="AO226" s="246"/>
      <c r="AP226" s="246"/>
      <c r="AQ226" s="246"/>
      <c r="AR226" s="246"/>
      <c r="AS226" s="246"/>
      <c r="AT226" s="246"/>
      <c r="AU226" s="260"/>
    </row>
    <row r="227" spans="1:47" ht="60" customHeight="1" x14ac:dyDescent="0.35">
      <c r="A227" s="256" t="s">
        <v>3882</v>
      </c>
      <c r="B227" s="234" t="s">
        <v>3927</v>
      </c>
      <c r="C227" s="235" t="s">
        <v>3939</v>
      </c>
      <c r="D227" s="238" t="s">
        <v>3940</v>
      </c>
      <c r="E227" s="239" t="s">
        <v>3579</v>
      </c>
      <c r="F227" s="242" t="s">
        <v>3930</v>
      </c>
      <c r="G227" s="245" t="str">
        <f>IF(COUNTIF(H227:AU227,"&lt;&gt;")=0,"",SUMPRODUCT(((Recommendations[ImplStatus]="Implemented")+(Recommendations[ImplStatus]="Compensated"))*ISNUMBER(MATCH(Recommendations[Id],H227:AU227,0)))/COUNTIF(H227:AU227,"&lt;&gt;"))</f>
        <v/>
      </c>
      <c r="H227" s="246"/>
      <c r="I227" s="246"/>
      <c r="J227" s="246"/>
      <c r="K227" s="246"/>
      <c r="L227" s="246"/>
      <c r="M227" s="246"/>
      <c r="N227" s="246"/>
      <c r="O227" s="246"/>
      <c r="P227" s="246"/>
      <c r="Q227" s="246"/>
      <c r="R227" s="246"/>
      <c r="S227" s="246"/>
      <c r="T227" s="246"/>
      <c r="U227" s="246"/>
      <c r="V227" s="246"/>
      <c r="W227" s="246"/>
      <c r="X227" s="246"/>
      <c r="Y227" s="246"/>
      <c r="Z227" s="246"/>
      <c r="AA227" s="246"/>
      <c r="AB227" s="246"/>
      <c r="AC227" s="246"/>
      <c r="AD227" s="246"/>
      <c r="AE227" s="246"/>
      <c r="AF227" s="246"/>
      <c r="AG227" s="246"/>
      <c r="AH227" s="246"/>
      <c r="AI227" s="246"/>
      <c r="AJ227" s="246"/>
      <c r="AK227" s="246"/>
      <c r="AL227" s="246"/>
      <c r="AM227" s="246"/>
      <c r="AN227" s="246"/>
      <c r="AO227" s="246"/>
      <c r="AP227" s="246"/>
      <c r="AQ227" s="246"/>
      <c r="AR227" s="246"/>
      <c r="AS227" s="246"/>
      <c r="AT227" s="246"/>
      <c r="AU227" s="260"/>
    </row>
    <row r="228" spans="1:47" ht="60" customHeight="1" x14ac:dyDescent="0.35">
      <c r="A228" s="256" t="s">
        <v>3882</v>
      </c>
      <c r="B228" s="234" t="s">
        <v>3927</v>
      </c>
      <c r="C228" s="235" t="s">
        <v>3941</v>
      </c>
      <c r="D228" s="238" t="s">
        <v>3942</v>
      </c>
      <c r="E228" s="239" t="s">
        <v>3579</v>
      </c>
      <c r="F228" s="242" t="s">
        <v>3930</v>
      </c>
      <c r="G228" s="245" t="str">
        <f>IF(COUNTIF(H228:AU228,"&lt;&gt;")=0,"",SUMPRODUCT(((Recommendations[ImplStatus]="Implemented")+(Recommendations[ImplStatus]="Compensated"))*ISNUMBER(MATCH(Recommendations[Id],H228:AU228,0)))/COUNTIF(H228:AU228,"&lt;&gt;"))</f>
        <v/>
      </c>
      <c r="H228" s="246"/>
      <c r="I228" s="246"/>
      <c r="J228" s="246"/>
      <c r="K228" s="246"/>
      <c r="L228" s="246"/>
      <c r="M228" s="246"/>
      <c r="N228" s="246"/>
      <c r="O228" s="246"/>
      <c r="P228" s="246"/>
      <c r="Q228" s="246"/>
      <c r="R228" s="246"/>
      <c r="S228" s="246"/>
      <c r="T228" s="246"/>
      <c r="U228" s="246"/>
      <c r="V228" s="246"/>
      <c r="W228" s="246"/>
      <c r="X228" s="246"/>
      <c r="Y228" s="246"/>
      <c r="Z228" s="246"/>
      <c r="AA228" s="246"/>
      <c r="AB228" s="246"/>
      <c r="AC228" s="246"/>
      <c r="AD228" s="246"/>
      <c r="AE228" s="246"/>
      <c r="AF228" s="246"/>
      <c r="AG228" s="246"/>
      <c r="AH228" s="246"/>
      <c r="AI228" s="246"/>
      <c r="AJ228" s="246"/>
      <c r="AK228" s="246"/>
      <c r="AL228" s="246"/>
      <c r="AM228" s="246"/>
      <c r="AN228" s="246"/>
      <c r="AO228" s="246"/>
      <c r="AP228" s="246"/>
      <c r="AQ228" s="246"/>
      <c r="AR228" s="246"/>
      <c r="AS228" s="246"/>
      <c r="AT228" s="246"/>
      <c r="AU228" s="260"/>
    </row>
    <row r="229" spans="1:47" ht="60" customHeight="1" x14ac:dyDescent="0.35">
      <c r="A229" s="256" t="s">
        <v>3882</v>
      </c>
      <c r="B229" s="234" t="s">
        <v>3927</v>
      </c>
      <c r="C229" s="235" t="s">
        <v>3943</v>
      </c>
      <c r="D229" s="238" t="s">
        <v>3944</v>
      </c>
      <c r="E229" s="239" t="s">
        <v>3483</v>
      </c>
      <c r="F229" s="242" t="s">
        <v>3930</v>
      </c>
      <c r="G229" s="245">
        <f>IF(COUNTIF(H229:AU229,"&lt;&gt;")=0,"",SUMPRODUCT(((Recommendations[ImplStatus]="Implemented")+(Recommendations[ImplStatus]="Compensated"))*ISNUMBER(MATCH(Recommendations[Id],H229:AU229,0)))/COUNTIF(H229:AU229,"&lt;&gt;"))</f>
        <v>0</v>
      </c>
      <c r="H229" s="246" t="s">
        <v>350</v>
      </c>
      <c r="I229" s="246"/>
      <c r="J229" s="246"/>
      <c r="K229" s="246"/>
      <c r="L229" s="246"/>
      <c r="M229" s="246"/>
      <c r="N229" s="246"/>
      <c r="O229" s="246"/>
      <c r="P229" s="246"/>
      <c r="Q229" s="246"/>
      <c r="R229" s="246"/>
      <c r="S229" s="246"/>
      <c r="T229" s="246"/>
      <c r="U229" s="246"/>
      <c r="V229" s="246"/>
      <c r="W229" s="246"/>
      <c r="X229" s="246"/>
      <c r="Y229" s="246"/>
      <c r="Z229" s="246"/>
      <c r="AA229" s="246"/>
      <c r="AB229" s="246"/>
      <c r="AC229" s="246"/>
      <c r="AD229" s="246"/>
      <c r="AE229" s="246"/>
      <c r="AF229" s="246"/>
      <c r="AG229" s="246"/>
      <c r="AH229" s="246"/>
      <c r="AI229" s="246"/>
      <c r="AJ229" s="246"/>
      <c r="AK229" s="246"/>
      <c r="AL229" s="246"/>
      <c r="AM229" s="246"/>
      <c r="AN229" s="246"/>
      <c r="AO229" s="246"/>
      <c r="AP229" s="246"/>
      <c r="AQ229" s="246"/>
      <c r="AR229" s="246"/>
      <c r="AS229" s="246"/>
      <c r="AT229" s="246"/>
      <c r="AU229" s="260"/>
    </row>
    <row r="230" spans="1:47" ht="60" customHeight="1" x14ac:dyDescent="0.35">
      <c r="A230" s="256" t="s">
        <v>3882</v>
      </c>
      <c r="B230" s="234" t="s">
        <v>3927</v>
      </c>
      <c r="C230" s="235" t="s">
        <v>3945</v>
      </c>
      <c r="D230" s="238" t="s">
        <v>3946</v>
      </c>
      <c r="E230" s="239" t="s">
        <v>3483</v>
      </c>
      <c r="F230" s="242" t="s">
        <v>3930</v>
      </c>
      <c r="G230" s="245" t="str">
        <f>IF(COUNTIF(H230:AU230,"&lt;&gt;")=0,"",SUMPRODUCT(((Recommendations[ImplStatus]="Implemented")+(Recommendations[ImplStatus]="Compensated"))*ISNUMBER(MATCH(Recommendations[Id],H230:AU230,0)))/COUNTIF(H230:AU230,"&lt;&gt;"))</f>
        <v/>
      </c>
      <c r="H230" s="246"/>
      <c r="I230" s="246"/>
      <c r="J230" s="246"/>
      <c r="K230" s="246"/>
      <c r="L230" s="246"/>
      <c r="M230" s="246"/>
      <c r="N230" s="246"/>
      <c r="O230" s="246"/>
      <c r="P230" s="246"/>
      <c r="Q230" s="246"/>
      <c r="R230" s="246"/>
      <c r="S230" s="246"/>
      <c r="T230" s="246"/>
      <c r="U230" s="246"/>
      <c r="V230" s="246"/>
      <c r="W230" s="246"/>
      <c r="X230" s="246"/>
      <c r="Y230" s="246"/>
      <c r="Z230" s="246"/>
      <c r="AA230" s="246"/>
      <c r="AB230" s="246"/>
      <c r="AC230" s="246"/>
      <c r="AD230" s="246"/>
      <c r="AE230" s="246"/>
      <c r="AF230" s="246"/>
      <c r="AG230" s="246"/>
      <c r="AH230" s="246"/>
      <c r="AI230" s="246"/>
      <c r="AJ230" s="246"/>
      <c r="AK230" s="246"/>
      <c r="AL230" s="246"/>
      <c r="AM230" s="246"/>
      <c r="AN230" s="246"/>
      <c r="AO230" s="246"/>
      <c r="AP230" s="246"/>
      <c r="AQ230" s="246"/>
      <c r="AR230" s="246"/>
      <c r="AS230" s="246"/>
      <c r="AT230" s="246"/>
      <c r="AU230" s="260"/>
    </row>
    <row r="231" spans="1:47" ht="60" customHeight="1" x14ac:dyDescent="0.35">
      <c r="A231" s="256" t="s">
        <v>3882</v>
      </c>
      <c r="B231" s="234" t="s">
        <v>3927</v>
      </c>
      <c r="C231" s="235" t="s">
        <v>3947</v>
      </c>
      <c r="D231" s="238" t="s">
        <v>3948</v>
      </c>
      <c r="E231" s="239" t="s">
        <v>3579</v>
      </c>
      <c r="F231" s="242" t="s">
        <v>3949</v>
      </c>
      <c r="G231" s="245">
        <f>IF(COUNTIF(H231:AU231,"&lt;&gt;")=0,"",SUMPRODUCT(((Recommendations[ImplStatus]="Implemented")+(Recommendations[ImplStatus]="Compensated"))*ISNUMBER(MATCH(Recommendations[Id],H231:AU231,0)))/COUNTIF(H231:AU231,"&lt;&gt;"))</f>
        <v>0</v>
      </c>
      <c r="H231" s="246" t="s">
        <v>177</v>
      </c>
      <c r="I231" s="246"/>
      <c r="J231" s="246"/>
      <c r="K231" s="246"/>
      <c r="L231" s="246"/>
      <c r="M231" s="246"/>
      <c r="N231" s="246"/>
      <c r="O231" s="246"/>
      <c r="P231" s="246"/>
      <c r="Q231" s="246"/>
      <c r="R231" s="246"/>
      <c r="S231" s="246"/>
      <c r="T231" s="246"/>
      <c r="U231" s="246"/>
      <c r="V231" s="246"/>
      <c r="W231" s="246"/>
      <c r="X231" s="246"/>
      <c r="Y231" s="246"/>
      <c r="Z231" s="246"/>
      <c r="AA231" s="246"/>
      <c r="AB231" s="246"/>
      <c r="AC231" s="246"/>
      <c r="AD231" s="246"/>
      <c r="AE231" s="246"/>
      <c r="AF231" s="246"/>
      <c r="AG231" s="246"/>
      <c r="AH231" s="246"/>
      <c r="AI231" s="246"/>
      <c r="AJ231" s="246"/>
      <c r="AK231" s="246"/>
      <c r="AL231" s="246"/>
      <c r="AM231" s="246"/>
      <c r="AN231" s="246"/>
      <c r="AO231" s="246"/>
      <c r="AP231" s="246"/>
      <c r="AQ231" s="246"/>
      <c r="AR231" s="246"/>
      <c r="AS231" s="246"/>
      <c r="AT231" s="246"/>
      <c r="AU231" s="260"/>
    </row>
    <row r="232" spans="1:47" ht="60" customHeight="1" x14ac:dyDescent="0.35">
      <c r="A232" s="256" t="s">
        <v>3882</v>
      </c>
      <c r="B232" s="234" t="s">
        <v>3927</v>
      </c>
      <c r="C232" s="235" t="s">
        <v>3950</v>
      </c>
      <c r="D232" s="238" t="s">
        <v>3951</v>
      </c>
      <c r="E232" s="239" t="s">
        <v>3579</v>
      </c>
      <c r="F232" s="242" t="s">
        <v>3949</v>
      </c>
      <c r="G232" s="245" t="str">
        <f>IF(COUNTIF(H232:AU232,"&lt;&gt;")=0,"",SUMPRODUCT(((Recommendations[ImplStatus]="Implemented")+(Recommendations[ImplStatus]="Compensated"))*ISNUMBER(MATCH(Recommendations[Id],H232:AU232,0)))/COUNTIF(H232:AU232,"&lt;&gt;"))</f>
        <v/>
      </c>
      <c r="H232" s="246"/>
      <c r="I232" s="246"/>
      <c r="J232" s="246"/>
      <c r="K232" s="246"/>
      <c r="L232" s="246"/>
      <c r="M232" s="246"/>
      <c r="N232" s="246"/>
      <c r="O232" s="246"/>
      <c r="P232" s="246"/>
      <c r="Q232" s="246"/>
      <c r="R232" s="246"/>
      <c r="S232" s="246"/>
      <c r="T232" s="246"/>
      <c r="U232" s="246"/>
      <c r="V232" s="246"/>
      <c r="W232" s="246"/>
      <c r="X232" s="246"/>
      <c r="Y232" s="246"/>
      <c r="Z232" s="246"/>
      <c r="AA232" s="246"/>
      <c r="AB232" s="246"/>
      <c r="AC232" s="246"/>
      <c r="AD232" s="246"/>
      <c r="AE232" s="246"/>
      <c r="AF232" s="246"/>
      <c r="AG232" s="246"/>
      <c r="AH232" s="246"/>
      <c r="AI232" s="246"/>
      <c r="AJ232" s="246"/>
      <c r="AK232" s="246"/>
      <c r="AL232" s="246"/>
      <c r="AM232" s="246"/>
      <c r="AN232" s="246"/>
      <c r="AO232" s="246"/>
      <c r="AP232" s="246"/>
      <c r="AQ232" s="246"/>
      <c r="AR232" s="246"/>
      <c r="AS232" s="246"/>
      <c r="AT232" s="246"/>
      <c r="AU232" s="260"/>
    </row>
    <row r="233" spans="1:47" ht="60" customHeight="1" x14ac:dyDescent="0.35">
      <c r="A233" s="256" t="s">
        <v>3882</v>
      </c>
      <c r="B233" s="234" t="s">
        <v>3927</v>
      </c>
      <c r="C233" s="235" t="s">
        <v>3952</v>
      </c>
      <c r="D233" s="238" t="s">
        <v>3953</v>
      </c>
      <c r="E233" s="239" t="s">
        <v>3512</v>
      </c>
      <c r="F233" s="242" t="s">
        <v>3949</v>
      </c>
      <c r="G233" s="245" t="str">
        <f>IF(COUNTIF(H233:AU233,"&lt;&gt;")=0,"",SUMPRODUCT(((Recommendations[ImplStatus]="Implemented")+(Recommendations[ImplStatus]="Compensated"))*ISNUMBER(MATCH(Recommendations[Id],H233:AU233,0)))/COUNTIF(H233:AU233,"&lt;&gt;"))</f>
        <v/>
      </c>
      <c r="H233" s="246"/>
      <c r="I233" s="246"/>
      <c r="J233" s="246"/>
      <c r="K233" s="246"/>
      <c r="L233" s="246"/>
      <c r="M233" s="246"/>
      <c r="N233" s="246"/>
      <c r="O233" s="246"/>
      <c r="P233" s="246"/>
      <c r="Q233" s="246"/>
      <c r="R233" s="246"/>
      <c r="S233" s="246"/>
      <c r="T233" s="246"/>
      <c r="U233" s="246"/>
      <c r="V233" s="246"/>
      <c r="W233" s="246"/>
      <c r="X233" s="246"/>
      <c r="Y233" s="246"/>
      <c r="Z233" s="246"/>
      <c r="AA233" s="246"/>
      <c r="AB233" s="246"/>
      <c r="AC233" s="246"/>
      <c r="AD233" s="246"/>
      <c r="AE233" s="246"/>
      <c r="AF233" s="246"/>
      <c r="AG233" s="246"/>
      <c r="AH233" s="246"/>
      <c r="AI233" s="246"/>
      <c r="AJ233" s="246"/>
      <c r="AK233" s="246"/>
      <c r="AL233" s="246"/>
      <c r="AM233" s="246"/>
      <c r="AN233" s="246"/>
      <c r="AO233" s="246"/>
      <c r="AP233" s="246"/>
      <c r="AQ233" s="246"/>
      <c r="AR233" s="246"/>
      <c r="AS233" s="246"/>
      <c r="AT233" s="246"/>
      <c r="AU233" s="260"/>
    </row>
    <row r="234" spans="1:47" ht="60" customHeight="1" x14ac:dyDescent="0.35">
      <c r="A234" s="256" t="s">
        <v>3882</v>
      </c>
      <c r="B234" s="234" t="s">
        <v>3927</v>
      </c>
      <c r="C234" s="235" t="s">
        <v>3954</v>
      </c>
      <c r="D234" s="238" t="s">
        <v>3955</v>
      </c>
      <c r="E234" s="239" t="s">
        <v>3512</v>
      </c>
      <c r="F234" s="242" t="s">
        <v>3949</v>
      </c>
      <c r="G234" s="245" t="str">
        <f>IF(COUNTIF(H234:AU234,"&lt;&gt;")=0,"",SUMPRODUCT(((Recommendations[ImplStatus]="Implemented")+(Recommendations[ImplStatus]="Compensated"))*ISNUMBER(MATCH(Recommendations[Id],H234:AU234,0)))/COUNTIF(H234:AU234,"&lt;&gt;"))</f>
        <v/>
      </c>
      <c r="H234" s="246"/>
      <c r="I234" s="246"/>
      <c r="J234" s="246"/>
      <c r="K234" s="246"/>
      <c r="L234" s="246"/>
      <c r="M234" s="246"/>
      <c r="N234" s="246"/>
      <c r="O234" s="246"/>
      <c r="P234" s="246"/>
      <c r="Q234" s="246"/>
      <c r="R234" s="246"/>
      <c r="S234" s="246"/>
      <c r="T234" s="246"/>
      <c r="U234" s="246"/>
      <c r="V234" s="246"/>
      <c r="W234" s="246"/>
      <c r="X234" s="246"/>
      <c r="Y234" s="246"/>
      <c r="Z234" s="246"/>
      <c r="AA234" s="246"/>
      <c r="AB234" s="246"/>
      <c r="AC234" s="246"/>
      <c r="AD234" s="246"/>
      <c r="AE234" s="246"/>
      <c r="AF234" s="246"/>
      <c r="AG234" s="246"/>
      <c r="AH234" s="246"/>
      <c r="AI234" s="246"/>
      <c r="AJ234" s="246"/>
      <c r="AK234" s="246"/>
      <c r="AL234" s="246"/>
      <c r="AM234" s="246"/>
      <c r="AN234" s="246"/>
      <c r="AO234" s="246"/>
      <c r="AP234" s="246"/>
      <c r="AQ234" s="246"/>
      <c r="AR234" s="246"/>
      <c r="AS234" s="246"/>
      <c r="AT234" s="246"/>
      <c r="AU234" s="260"/>
    </row>
    <row r="235" spans="1:47" ht="60" customHeight="1" x14ac:dyDescent="0.35">
      <c r="A235" s="256" t="s">
        <v>3882</v>
      </c>
      <c r="B235" s="234" t="s">
        <v>3927</v>
      </c>
      <c r="C235" s="235" t="s">
        <v>3956</v>
      </c>
      <c r="D235" s="238" t="s">
        <v>3957</v>
      </c>
      <c r="E235" s="239" t="s">
        <v>3579</v>
      </c>
      <c r="F235" s="242" t="s">
        <v>3949</v>
      </c>
      <c r="G235" s="245" t="str">
        <f>IF(COUNTIF(H235:AU235,"&lt;&gt;")=0,"",SUMPRODUCT(((Recommendations[ImplStatus]="Implemented")+(Recommendations[ImplStatus]="Compensated"))*ISNUMBER(MATCH(Recommendations[Id],H235:AU235,0)))/COUNTIF(H235:AU235,"&lt;&gt;"))</f>
        <v/>
      </c>
      <c r="H235" s="246"/>
      <c r="I235" s="246"/>
      <c r="J235" s="246"/>
      <c r="K235" s="246"/>
      <c r="L235" s="246"/>
      <c r="M235" s="246"/>
      <c r="N235" s="246"/>
      <c r="O235" s="246"/>
      <c r="P235" s="246"/>
      <c r="Q235" s="246"/>
      <c r="R235" s="246"/>
      <c r="S235" s="246"/>
      <c r="T235" s="246"/>
      <c r="U235" s="246"/>
      <c r="V235" s="246"/>
      <c r="W235" s="246"/>
      <c r="X235" s="246"/>
      <c r="Y235" s="246"/>
      <c r="Z235" s="246"/>
      <c r="AA235" s="246"/>
      <c r="AB235" s="246"/>
      <c r="AC235" s="246"/>
      <c r="AD235" s="246"/>
      <c r="AE235" s="246"/>
      <c r="AF235" s="246"/>
      <c r="AG235" s="246"/>
      <c r="AH235" s="246"/>
      <c r="AI235" s="246"/>
      <c r="AJ235" s="246"/>
      <c r="AK235" s="246"/>
      <c r="AL235" s="246"/>
      <c r="AM235" s="246"/>
      <c r="AN235" s="246"/>
      <c r="AO235" s="246"/>
      <c r="AP235" s="246"/>
      <c r="AQ235" s="246"/>
      <c r="AR235" s="246"/>
      <c r="AS235" s="246"/>
      <c r="AT235" s="246"/>
      <c r="AU235" s="260"/>
    </row>
    <row r="236" spans="1:47" ht="60" customHeight="1" x14ac:dyDescent="0.35">
      <c r="A236" s="256" t="s">
        <v>3882</v>
      </c>
      <c r="B236" s="234" t="s">
        <v>3927</v>
      </c>
      <c r="C236" s="235" t="s">
        <v>3958</v>
      </c>
      <c r="D236" s="238" t="s">
        <v>3959</v>
      </c>
      <c r="E236" s="239" t="s">
        <v>3512</v>
      </c>
      <c r="F236" s="242" t="s">
        <v>3949</v>
      </c>
      <c r="G236" s="245" t="str">
        <f>IF(COUNTIF(H236:AU236,"&lt;&gt;")=0,"",SUMPRODUCT(((Recommendations[ImplStatus]="Implemented")+(Recommendations[ImplStatus]="Compensated"))*ISNUMBER(MATCH(Recommendations[Id],H236:AU236,0)))/COUNTIF(H236:AU236,"&lt;&gt;"))</f>
        <v/>
      </c>
      <c r="H236" s="246"/>
      <c r="I236" s="246"/>
      <c r="J236" s="246"/>
      <c r="K236" s="246"/>
      <c r="L236" s="246"/>
      <c r="M236" s="246"/>
      <c r="N236" s="246"/>
      <c r="O236" s="246"/>
      <c r="P236" s="246"/>
      <c r="Q236" s="246"/>
      <c r="R236" s="246"/>
      <c r="S236" s="246"/>
      <c r="T236" s="246"/>
      <c r="U236" s="246"/>
      <c r="V236" s="246"/>
      <c r="W236" s="246"/>
      <c r="X236" s="246"/>
      <c r="Y236" s="246"/>
      <c r="Z236" s="246"/>
      <c r="AA236" s="246"/>
      <c r="AB236" s="246"/>
      <c r="AC236" s="246"/>
      <c r="AD236" s="246"/>
      <c r="AE236" s="246"/>
      <c r="AF236" s="246"/>
      <c r="AG236" s="246"/>
      <c r="AH236" s="246"/>
      <c r="AI236" s="246"/>
      <c r="AJ236" s="246"/>
      <c r="AK236" s="246"/>
      <c r="AL236" s="246"/>
      <c r="AM236" s="246"/>
      <c r="AN236" s="246"/>
      <c r="AO236" s="246"/>
      <c r="AP236" s="246"/>
      <c r="AQ236" s="246"/>
      <c r="AR236" s="246"/>
      <c r="AS236" s="246"/>
      <c r="AT236" s="246"/>
      <c r="AU236" s="260"/>
    </row>
    <row r="237" spans="1:47" ht="60" customHeight="1" outlineLevel="2" x14ac:dyDescent="0.35">
      <c r="A237" s="255" t="s">
        <v>3882</v>
      </c>
      <c r="B237" s="233" t="s">
        <v>1795</v>
      </c>
      <c r="C237" s="233"/>
      <c r="D237" s="237"/>
      <c r="E237" s="233"/>
      <c r="F237" s="241"/>
      <c r="G237" s="244" t="str">
        <f>IF(COUNTIF(H237:AU237,"&lt;&gt;")=0,"",SUMPRODUCT(((Recommendations[ImplStatus]="Implemented")+(Recommendations[ImplStatus]="Compensated"))*ISNUMBER(MATCH(Recommendations[Id],H237:AU237,0)))/COUNTIF(H237:AU237,"&lt;&gt;"))</f>
        <v/>
      </c>
      <c r="H237" s="241"/>
      <c r="I237" s="241"/>
      <c r="J237" s="241"/>
      <c r="K237" s="241"/>
      <c r="L237" s="241"/>
      <c r="M237" s="241"/>
      <c r="N237" s="241"/>
      <c r="O237" s="241"/>
      <c r="P237" s="241"/>
      <c r="Q237" s="241"/>
      <c r="R237" s="241"/>
      <c r="S237" s="241"/>
      <c r="T237" s="241"/>
      <c r="U237" s="241"/>
      <c r="V237" s="241"/>
      <c r="W237" s="241"/>
      <c r="X237" s="241"/>
      <c r="Y237" s="241"/>
      <c r="Z237" s="241"/>
      <c r="AA237" s="241"/>
      <c r="AB237" s="241"/>
      <c r="AC237" s="241"/>
      <c r="AD237" s="241"/>
      <c r="AE237" s="241"/>
      <c r="AF237" s="241"/>
      <c r="AG237" s="241"/>
      <c r="AH237" s="241"/>
      <c r="AI237" s="241"/>
      <c r="AJ237" s="241"/>
      <c r="AK237" s="241"/>
      <c r="AL237" s="241"/>
      <c r="AM237" s="241"/>
      <c r="AN237" s="241"/>
      <c r="AO237" s="241"/>
      <c r="AP237" s="241"/>
      <c r="AQ237" s="241"/>
      <c r="AR237" s="241"/>
      <c r="AS237" s="241"/>
      <c r="AT237" s="241"/>
      <c r="AU237" s="259"/>
    </row>
    <row r="238" spans="1:47" ht="60" customHeight="1" x14ac:dyDescent="0.35">
      <c r="A238" s="256" t="s">
        <v>3882</v>
      </c>
      <c r="B238" s="234" t="s">
        <v>1795</v>
      </c>
      <c r="C238" s="235" t="s">
        <v>3960</v>
      </c>
      <c r="D238" s="238" t="s">
        <v>3961</v>
      </c>
      <c r="E238" s="239" t="s">
        <v>3483</v>
      </c>
      <c r="F238" s="242" t="s">
        <v>3962</v>
      </c>
      <c r="G238" s="245" t="str">
        <f>IF(COUNTIF(H238:AU238,"&lt;&gt;")=0,"",SUMPRODUCT(((Recommendations[ImplStatus]="Implemented")+(Recommendations[ImplStatus]="Compensated"))*ISNUMBER(MATCH(Recommendations[Id],H238:AU238,0)))/COUNTIF(H238:AU238,"&lt;&gt;"))</f>
        <v/>
      </c>
      <c r="H238" s="246"/>
      <c r="I238" s="246"/>
      <c r="J238" s="246"/>
      <c r="K238" s="246"/>
      <c r="L238" s="246"/>
      <c r="M238" s="246"/>
      <c r="N238" s="246"/>
      <c r="O238" s="246"/>
      <c r="P238" s="246"/>
      <c r="Q238" s="246"/>
      <c r="R238" s="246"/>
      <c r="S238" s="246"/>
      <c r="T238" s="246"/>
      <c r="U238" s="246"/>
      <c r="V238" s="246"/>
      <c r="W238" s="246"/>
      <c r="X238" s="246"/>
      <c r="Y238" s="246"/>
      <c r="Z238" s="246"/>
      <c r="AA238" s="246"/>
      <c r="AB238" s="246"/>
      <c r="AC238" s="246"/>
      <c r="AD238" s="246"/>
      <c r="AE238" s="246"/>
      <c r="AF238" s="246"/>
      <c r="AG238" s="246"/>
      <c r="AH238" s="246"/>
      <c r="AI238" s="246"/>
      <c r="AJ238" s="246"/>
      <c r="AK238" s="246"/>
      <c r="AL238" s="246"/>
      <c r="AM238" s="246"/>
      <c r="AN238" s="246"/>
      <c r="AO238" s="246"/>
      <c r="AP238" s="246"/>
      <c r="AQ238" s="246"/>
      <c r="AR238" s="246"/>
      <c r="AS238" s="246"/>
      <c r="AT238" s="246"/>
      <c r="AU238" s="260"/>
    </row>
    <row r="239" spans="1:47" ht="60" customHeight="1" x14ac:dyDescent="0.35">
      <c r="A239" s="256" t="s">
        <v>3882</v>
      </c>
      <c r="B239" s="234" t="s">
        <v>1795</v>
      </c>
      <c r="C239" s="235" t="s">
        <v>3963</v>
      </c>
      <c r="D239" s="238" t="s">
        <v>3964</v>
      </c>
      <c r="E239" s="239" t="s">
        <v>3483</v>
      </c>
      <c r="F239" s="242" t="s">
        <v>3962</v>
      </c>
      <c r="G239" s="245" t="str">
        <f>IF(COUNTIF(H239:AU239,"&lt;&gt;")=0,"",SUMPRODUCT(((Recommendations[ImplStatus]="Implemented")+(Recommendations[ImplStatus]="Compensated"))*ISNUMBER(MATCH(Recommendations[Id],H239:AU239,0)))/COUNTIF(H239:AU239,"&lt;&gt;"))</f>
        <v/>
      </c>
      <c r="H239" s="246"/>
      <c r="I239" s="246"/>
      <c r="J239" s="246"/>
      <c r="K239" s="246"/>
      <c r="L239" s="246"/>
      <c r="M239" s="246"/>
      <c r="N239" s="246"/>
      <c r="O239" s="246"/>
      <c r="P239" s="246"/>
      <c r="Q239" s="246"/>
      <c r="R239" s="246"/>
      <c r="S239" s="246"/>
      <c r="T239" s="246"/>
      <c r="U239" s="246"/>
      <c r="V239" s="246"/>
      <c r="W239" s="246"/>
      <c r="X239" s="246"/>
      <c r="Y239" s="246"/>
      <c r="Z239" s="246"/>
      <c r="AA239" s="246"/>
      <c r="AB239" s="246"/>
      <c r="AC239" s="246"/>
      <c r="AD239" s="246"/>
      <c r="AE239" s="246"/>
      <c r="AF239" s="246"/>
      <c r="AG239" s="246"/>
      <c r="AH239" s="246"/>
      <c r="AI239" s="246"/>
      <c r="AJ239" s="246"/>
      <c r="AK239" s="246"/>
      <c r="AL239" s="246"/>
      <c r="AM239" s="246"/>
      <c r="AN239" s="246"/>
      <c r="AO239" s="246"/>
      <c r="AP239" s="246"/>
      <c r="AQ239" s="246"/>
      <c r="AR239" s="246"/>
      <c r="AS239" s="246"/>
      <c r="AT239" s="246"/>
      <c r="AU239" s="260"/>
    </row>
    <row r="240" spans="1:47" ht="60" customHeight="1" x14ac:dyDescent="0.35">
      <c r="A240" s="256" t="s">
        <v>3882</v>
      </c>
      <c r="B240" s="234" t="s">
        <v>1795</v>
      </c>
      <c r="C240" s="235" t="s">
        <v>3965</v>
      </c>
      <c r="D240" s="238" t="s">
        <v>3966</v>
      </c>
      <c r="E240" s="239" t="s">
        <v>3483</v>
      </c>
      <c r="F240" s="242" t="s">
        <v>3962</v>
      </c>
      <c r="G240" s="245" t="str">
        <f>IF(COUNTIF(H240:AU240,"&lt;&gt;")=0,"",SUMPRODUCT(((Recommendations[ImplStatus]="Implemented")+(Recommendations[ImplStatus]="Compensated"))*ISNUMBER(MATCH(Recommendations[Id],H240:AU240,0)))/COUNTIF(H240:AU240,"&lt;&gt;"))</f>
        <v/>
      </c>
      <c r="H240" s="246"/>
      <c r="I240" s="246"/>
      <c r="J240" s="246"/>
      <c r="K240" s="246"/>
      <c r="L240" s="246"/>
      <c r="M240" s="246"/>
      <c r="N240" s="246"/>
      <c r="O240" s="246"/>
      <c r="P240" s="246"/>
      <c r="Q240" s="246"/>
      <c r="R240" s="246"/>
      <c r="S240" s="246"/>
      <c r="T240" s="246"/>
      <c r="U240" s="246"/>
      <c r="V240" s="246"/>
      <c r="W240" s="246"/>
      <c r="X240" s="246"/>
      <c r="Y240" s="246"/>
      <c r="Z240" s="246"/>
      <c r="AA240" s="246"/>
      <c r="AB240" s="246"/>
      <c r="AC240" s="246"/>
      <c r="AD240" s="246"/>
      <c r="AE240" s="246"/>
      <c r="AF240" s="246"/>
      <c r="AG240" s="246"/>
      <c r="AH240" s="246"/>
      <c r="AI240" s="246"/>
      <c r="AJ240" s="246"/>
      <c r="AK240" s="246"/>
      <c r="AL240" s="246"/>
      <c r="AM240" s="246"/>
      <c r="AN240" s="246"/>
      <c r="AO240" s="246"/>
      <c r="AP240" s="246"/>
      <c r="AQ240" s="246"/>
      <c r="AR240" s="246"/>
      <c r="AS240" s="246"/>
      <c r="AT240" s="246"/>
      <c r="AU240" s="260"/>
    </row>
    <row r="241" spans="1:47" ht="60" customHeight="1" x14ac:dyDescent="0.35">
      <c r="A241" s="256" t="s">
        <v>3882</v>
      </c>
      <c r="B241" s="234" t="s">
        <v>1795</v>
      </c>
      <c r="C241" s="235" t="s">
        <v>3967</v>
      </c>
      <c r="D241" s="238" t="s">
        <v>3968</v>
      </c>
      <c r="E241" s="239" t="s">
        <v>3483</v>
      </c>
      <c r="F241" s="242" t="s">
        <v>3962</v>
      </c>
      <c r="G241" s="245" t="str">
        <f>IF(COUNTIF(H241:AU241,"&lt;&gt;")=0,"",SUMPRODUCT(((Recommendations[ImplStatus]="Implemented")+(Recommendations[ImplStatus]="Compensated"))*ISNUMBER(MATCH(Recommendations[Id],H241:AU241,0)))/COUNTIF(H241:AU241,"&lt;&gt;"))</f>
        <v/>
      </c>
      <c r="H241" s="246"/>
      <c r="I241" s="246"/>
      <c r="J241" s="246"/>
      <c r="K241" s="246"/>
      <c r="L241" s="246"/>
      <c r="M241" s="246"/>
      <c r="N241" s="246"/>
      <c r="O241" s="246"/>
      <c r="P241" s="246"/>
      <c r="Q241" s="246"/>
      <c r="R241" s="246"/>
      <c r="S241" s="246"/>
      <c r="T241" s="246"/>
      <c r="U241" s="246"/>
      <c r="V241" s="246"/>
      <c r="W241" s="246"/>
      <c r="X241" s="246"/>
      <c r="Y241" s="246"/>
      <c r="Z241" s="246"/>
      <c r="AA241" s="246"/>
      <c r="AB241" s="246"/>
      <c r="AC241" s="246"/>
      <c r="AD241" s="246"/>
      <c r="AE241" s="246"/>
      <c r="AF241" s="246"/>
      <c r="AG241" s="246"/>
      <c r="AH241" s="246"/>
      <c r="AI241" s="246"/>
      <c r="AJ241" s="246"/>
      <c r="AK241" s="246"/>
      <c r="AL241" s="246"/>
      <c r="AM241" s="246"/>
      <c r="AN241" s="246"/>
      <c r="AO241" s="246"/>
      <c r="AP241" s="246"/>
      <c r="AQ241" s="246"/>
      <c r="AR241" s="246"/>
      <c r="AS241" s="246"/>
      <c r="AT241" s="246"/>
      <c r="AU241" s="260"/>
    </row>
    <row r="242" spans="1:47" ht="60" customHeight="1" x14ac:dyDescent="0.35">
      <c r="A242" s="256" t="s">
        <v>3882</v>
      </c>
      <c r="B242" s="234" t="s">
        <v>1795</v>
      </c>
      <c r="C242" s="235" t="s">
        <v>3969</v>
      </c>
      <c r="D242" s="238" t="s">
        <v>3970</v>
      </c>
      <c r="E242" s="239" t="s">
        <v>3483</v>
      </c>
      <c r="F242" s="242" t="s">
        <v>3962</v>
      </c>
      <c r="G242" s="245" t="str">
        <f>IF(COUNTIF(H242:AU242,"&lt;&gt;")=0,"",SUMPRODUCT(((Recommendations[ImplStatus]="Implemented")+(Recommendations[ImplStatus]="Compensated"))*ISNUMBER(MATCH(Recommendations[Id],H242:AU242,0)))/COUNTIF(H242:AU242,"&lt;&gt;"))</f>
        <v/>
      </c>
      <c r="H242" s="246"/>
      <c r="I242" s="246"/>
      <c r="J242" s="246"/>
      <c r="K242" s="246"/>
      <c r="L242" s="246"/>
      <c r="M242" s="246"/>
      <c r="N242" s="246"/>
      <c r="O242" s="246"/>
      <c r="P242" s="246"/>
      <c r="Q242" s="246"/>
      <c r="R242" s="246"/>
      <c r="S242" s="246"/>
      <c r="T242" s="246"/>
      <c r="U242" s="246"/>
      <c r="V242" s="246"/>
      <c r="W242" s="246"/>
      <c r="X242" s="246"/>
      <c r="Y242" s="246"/>
      <c r="Z242" s="246"/>
      <c r="AA242" s="246"/>
      <c r="AB242" s="246"/>
      <c r="AC242" s="246"/>
      <c r="AD242" s="246"/>
      <c r="AE242" s="246"/>
      <c r="AF242" s="246"/>
      <c r="AG242" s="246"/>
      <c r="AH242" s="246"/>
      <c r="AI242" s="246"/>
      <c r="AJ242" s="246"/>
      <c r="AK242" s="246"/>
      <c r="AL242" s="246"/>
      <c r="AM242" s="246"/>
      <c r="AN242" s="246"/>
      <c r="AO242" s="246"/>
      <c r="AP242" s="246"/>
      <c r="AQ242" s="246"/>
      <c r="AR242" s="246"/>
      <c r="AS242" s="246"/>
      <c r="AT242" s="246"/>
      <c r="AU242" s="260"/>
    </row>
    <row r="243" spans="1:47" ht="60" customHeight="1" x14ac:dyDescent="0.35">
      <c r="A243" s="256" t="s">
        <v>3882</v>
      </c>
      <c r="B243" s="234" t="s">
        <v>1795</v>
      </c>
      <c r="C243" s="235" t="s">
        <v>3971</v>
      </c>
      <c r="D243" s="238" t="s">
        <v>3972</v>
      </c>
      <c r="E243" s="239" t="s">
        <v>3483</v>
      </c>
      <c r="F243" s="242" t="s">
        <v>3962</v>
      </c>
      <c r="G243" s="245">
        <f>IF(COUNTIF(H243:AU243,"&lt;&gt;")=0,"",SUMPRODUCT(((Recommendations[ImplStatus]="Implemented")+(Recommendations[ImplStatus]="Compensated"))*ISNUMBER(MATCH(Recommendations[Id],H243:AU243,0)))/COUNTIF(H243:AU243,"&lt;&gt;"))</f>
        <v>0</v>
      </c>
      <c r="H243" s="246" t="s">
        <v>215</v>
      </c>
      <c r="I243" s="246" t="s">
        <v>405</v>
      </c>
      <c r="J243" s="246"/>
      <c r="K243" s="246"/>
      <c r="L243" s="246"/>
      <c r="M243" s="246"/>
      <c r="N243" s="246"/>
      <c r="O243" s="246"/>
      <c r="P243" s="246"/>
      <c r="Q243" s="246"/>
      <c r="R243" s="246"/>
      <c r="S243" s="246"/>
      <c r="T243" s="246"/>
      <c r="U243" s="246"/>
      <c r="V243" s="246"/>
      <c r="W243" s="246"/>
      <c r="X243" s="246"/>
      <c r="Y243" s="246"/>
      <c r="Z243" s="246"/>
      <c r="AA243" s="246"/>
      <c r="AB243" s="246"/>
      <c r="AC243" s="246"/>
      <c r="AD243" s="246"/>
      <c r="AE243" s="246"/>
      <c r="AF243" s="246"/>
      <c r="AG243" s="246"/>
      <c r="AH243" s="246"/>
      <c r="AI243" s="246"/>
      <c r="AJ243" s="246"/>
      <c r="AK243" s="246"/>
      <c r="AL243" s="246"/>
      <c r="AM243" s="246"/>
      <c r="AN243" s="246"/>
      <c r="AO243" s="246"/>
      <c r="AP243" s="246"/>
      <c r="AQ243" s="246"/>
      <c r="AR243" s="246"/>
      <c r="AS243" s="246"/>
      <c r="AT243" s="246"/>
      <c r="AU243" s="260"/>
    </row>
    <row r="244" spans="1:47" ht="60" customHeight="1" x14ac:dyDescent="0.35">
      <c r="A244" s="256" t="s">
        <v>3882</v>
      </c>
      <c r="B244" s="234" t="s">
        <v>1795</v>
      </c>
      <c r="C244" s="235" t="s">
        <v>3973</v>
      </c>
      <c r="D244" s="238" t="s">
        <v>3974</v>
      </c>
      <c r="E244" s="239" t="s">
        <v>3483</v>
      </c>
      <c r="F244" s="242" t="s">
        <v>3962</v>
      </c>
      <c r="G244" s="245" t="str">
        <f>IF(COUNTIF(H244:AU244,"&lt;&gt;")=0,"",SUMPRODUCT(((Recommendations[ImplStatus]="Implemented")+(Recommendations[ImplStatus]="Compensated"))*ISNUMBER(MATCH(Recommendations[Id],H244:AU244,0)))/COUNTIF(H244:AU244,"&lt;&gt;"))</f>
        <v/>
      </c>
      <c r="H244" s="246"/>
      <c r="I244" s="246"/>
      <c r="J244" s="246"/>
      <c r="K244" s="246"/>
      <c r="L244" s="246"/>
      <c r="M244" s="246"/>
      <c r="N244" s="246"/>
      <c r="O244" s="246"/>
      <c r="P244" s="246"/>
      <c r="Q244" s="246"/>
      <c r="R244" s="246"/>
      <c r="S244" s="246"/>
      <c r="T244" s="246"/>
      <c r="U244" s="246"/>
      <c r="V244" s="246"/>
      <c r="W244" s="246"/>
      <c r="X244" s="246"/>
      <c r="Y244" s="246"/>
      <c r="Z244" s="246"/>
      <c r="AA244" s="246"/>
      <c r="AB244" s="246"/>
      <c r="AC244" s="246"/>
      <c r="AD244" s="246"/>
      <c r="AE244" s="246"/>
      <c r="AF244" s="246"/>
      <c r="AG244" s="246"/>
      <c r="AH244" s="246"/>
      <c r="AI244" s="246"/>
      <c r="AJ244" s="246"/>
      <c r="AK244" s="246"/>
      <c r="AL244" s="246"/>
      <c r="AM244" s="246"/>
      <c r="AN244" s="246"/>
      <c r="AO244" s="246"/>
      <c r="AP244" s="246"/>
      <c r="AQ244" s="246"/>
      <c r="AR244" s="246"/>
      <c r="AS244" s="246"/>
      <c r="AT244" s="246"/>
      <c r="AU244" s="260"/>
    </row>
    <row r="245" spans="1:47" ht="60" customHeight="1" x14ac:dyDescent="0.35">
      <c r="A245" s="256" t="s">
        <v>3882</v>
      </c>
      <c r="B245" s="234" t="s">
        <v>1795</v>
      </c>
      <c r="C245" s="235" t="s">
        <v>3975</v>
      </c>
      <c r="D245" s="238" t="s">
        <v>3976</v>
      </c>
      <c r="E245" s="239" t="s">
        <v>3483</v>
      </c>
      <c r="F245" s="242" t="s">
        <v>3962</v>
      </c>
      <c r="G245" s="245" t="str">
        <f>IF(COUNTIF(H245:AU245,"&lt;&gt;")=0,"",SUMPRODUCT(((Recommendations[ImplStatus]="Implemented")+(Recommendations[ImplStatus]="Compensated"))*ISNUMBER(MATCH(Recommendations[Id],H245:AU245,0)))/COUNTIF(H245:AU245,"&lt;&gt;"))</f>
        <v/>
      </c>
      <c r="H245" s="246"/>
      <c r="I245" s="246"/>
      <c r="J245" s="246"/>
      <c r="K245" s="246"/>
      <c r="L245" s="246"/>
      <c r="M245" s="246"/>
      <c r="N245" s="246"/>
      <c r="O245" s="246"/>
      <c r="P245" s="246"/>
      <c r="Q245" s="246"/>
      <c r="R245" s="246"/>
      <c r="S245" s="246"/>
      <c r="T245" s="246"/>
      <c r="U245" s="246"/>
      <c r="V245" s="246"/>
      <c r="W245" s="246"/>
      <c r="X245" s="246"/>
      <c r="Y245" s="246"/>
      <c r="Z245" s="246"/>
      <c r="AA245" s="246"/>
      <c r="AB245" s="246"/>
      <c r="AC245" s="246"/>
      <c r="AD245" s="246"/>
      <c r="AE245" s="246"/>
      <c r="AF245" s="246"/>
      <c r="AG245" s="246"/>
      <c r="AH245" s="246"/>
      <c r="AI245" s="246"/>
      <c r="AJ245" s="246"/>
      <c r="AK245" s="246"/>
      <c r="AL245" s="246"/>
      <c r="AM245" s="246"/>
      <c r="AN245" s="246"/>
      <c r="AO245" s="246"/>
      <c r="AP245" s="246"/>
      <c r="AQ245" s="246"/>
      <c r="AR245" s="246"/>
      <c r="AS245" s="246"/>
      <c r="AT245" s="246"/>
      <c r="AU245" s="260"/>
    </row>
    <row r="246" spans="1:47" ht="60" customHeight="1" x14ac:dyDescent="0.35">
      <c r="A246" s="256" t="s">
        <v>3882</v>
      </c>
      <c r="B246" s="234" t="s">
        <v>1795</v>
      </c>
      <c r="C246" s="235" t="s">
        <v>3977</v>
      </c>
      <c r="D246" s="238" t="s">
        <v>3978</v>
      </c>
      <c r="E246" s="239" t="s">
        <v>3483</v>
      </c>
      <c r="F246" s="242" t="s">
        <v>3962</v>
      </c>
      <c r="G246" s="245" t="str">
        <f>IF(COUNTIF(H246:AU246,"&lt;&gt;")=0,"",SUMPRODUCT(((Recommendations[ImplStatus]="Implemented")+(Recommendations[ImplStatus]="Compensated"))*ISNUMBER(MATCH(Recommendations[Id],H246:AU246,0)))/COUNTIF(H246:AU246,"&lt;&gt;"))</f>
        <v/>
      </c>
      <c r="H246" s="246"/>
      <c r="I246" s="246"/>
      <c r="J246" s="246"/>
      <c r="K246" s="246"/>
      <c r="L246" s="246"/>
      <c r="M246" s="246"/>
      <c r="N246" s="246"/>
      <c r="O246" s="246"/>
      <c r="P246" s="246"/>
      <c r="Q246" s="246"/>
      <c r="R246" s="246"/>
      <c r="S246" s="246"/>
      <c r="T246" s="246"/>
      <c r="U246" s="246"/>
      <c r="V246" s="246"/>
      <c r="W246" s="246"/>
      <c r="X246" s="246"/>
      <c r="Y246" s="246"/>
      <c r="Z246" s="246"/>
      <c r="AA246" s="246"/>
      <c r="AB246" s="246"/>
      <c r="AC246" s="246"/>
      <c r="AD246" s="246"/>
      <c r="AE246" s="246"/>
      <c r="AF246" s="246"/>
      <c r="AG246" s="246"/>
      <c r="AH246" s="246"/>
      <c r="AI246" s="246"/>
      <c r="AJ246" s="246"/>
      <c r="AK246" s="246"/>
      <c r="AL246" s="246"/>
      <c r="AM246" s="246"/>
      <c r="AN246" s="246"/>
      <c r="AO246" s="246"/>
      <c r="AP246" s="246"/>
      <c r="AQ246" s="246"/>
      <c r="AR246" s="246"/>
      <c r="AS246" s="246"/>
      <c r="AT246" s="246"/>
      <c r="AU246" s="260"/>
    </row>
    <row r="247" spans="1:47" ht="60" customHeight="1" x14ac:dyDescent="0.35">
      <c r="A247" s="256" t="s">
        <v>3882</v>
      </c>
      <c r="B247" s="234" t="s">
        <v>1795</v>
      </c>
      <c r="C247" s="235" t="s">
        <v>3979</v>
      </c>
      <c r="D247" s="238" t="s">
        <v>3980</v>
      </c>
      <c r="E247" s="239" t="s">
        <v>3483</v>
      </c>
      <c r="F247" s="242" t="s">
        <v>3962</v>
      </c>
      <c r="G247" s="245" t="str">
        <f>IF(COUNTIF(H247:AU247,"&lt;&gt;")=0,"",SUMPRODUCT(((Recommendations[ImplStatus]="Implemented")+(Recommendations[ImplStatus]="Compensated"))*ISNUMBER(MATCH(Recommendations[Id],H247:AU247,0)))/COUNTIF(H247:AU247,"&lt;&gt;"))</f>
        <v/>
      </c>
      <c r="H247" s="246"/>
      <c r="I247" s="246"/>
      <c r="J247" s="246"/>
      <c r="K247" s="246"/>
      <c r="L247" s="246"/>
      <c r="M247" s="246"/>
      <c r="N247" s="246"/>
      <c r="O247" s="246"/>
      <c r="P247" s="246"/>
      <c r="Q247" s="246"/>
      <c r="R247" s="246"/>
      <c r="S247" s="246"/>
      <c r="T247" s="246"/>
      <c r="U247" s="246"/>
      <c r="V247" s="246"/>
      <c r="W247" s="246"/>
      <c r="X247" s="246"/>
      <c r="Y247" s="246"/>
      <c r="Z247" s="246"/>
      <c r="AA247" s="246"/>
      <c r="AB247" s="246"/>
      <c r="AC247" s="246"/>
      <c r="AD247" s="246"/>
      <c r="AE247" s="246"/>
      <c r="AF247" s="246"/>
      <c r="AG247" s="246"/>
      <c r="AH247" s="246"/>
      <c r="AI247" s="246"/>
      <c r="AJ247" s="246"/>
      <c r="AK247" s="246"/>
      <c r="AL247" s="246"/>
      <c r="AM247" s="246"/>
      <c r="AN247" s="246"/>
      <c r="AO247" s="246"/>
      <c r="AP247" s="246"/>
      <c r="AQ247" s="246"/>
      <c r="AR247" s="246"/>
      <c r="AS247" s="246"/>
      <c r="AT247" s="246"/>
      <c r="AU247" s="260"/>
    </row>
    <row r="248" spans="1:47" ht="60" customHeight="1" x14ac:dyDescent="0.35">
      <c r="A248" s="256" t="s">
        <v>3882</v>
      </c>
      <c r="B248" s="234" t="s">
        <v>1795</v>
      </c>
      <c r="C248" s="235" t="s">
        <v>3981</v>
      </c>
      <c r="D248" s="238" t="s">
        <v>3982</v>
      </c>
      <c r="E248" s="239" t="s">
        <v>3512</v>
      </c>
      <c r="F248" s="242" t="s">
        <v>3962</v>
      </c>
      <c r="G248" s="245" t="str">
        <f>IF(COUNTIF(H248:AU248,"&lt;&gt;")=0,"",SUMPRODUCT(((Recommendations[ImplStatus]="Implemented")+(Recommendations[ImplStatus]="Compensated"))*ISNUMBER(MATCH(Recommendations[Id],H248:AU248,0)))/COUNTIF(H248:AU248,"&lt;&gt;"))</f>
        <v/>
      </c>
      <c r="H248" s="246"/>
      <c r="I248" s="246"/>
      <c r="J248" s="246"/>
      <c r="K248" s="246"/>
      <c r="L248" s="246"/>
      <c r="M248" s="246"/>
      <c r="N248" s="246"/>
      <c r="O248" s="246"/>
      <c r="P248" s="246"/>
      <c r="Q248" s="246"/>
      <c r="R248" s="246"/>
      <c r="S248" s="246"/>
      <c r="T248" s="246"/>
      <c r="U248" s="246"/>
      <c r="V248" s="246"/>
      <c r="W248" s="246"/>
      <c r="X248" s="246"/>
      <c r="Y248" s="246"/>
      <c r="Z248" s="246"/>
      <c r="AA248" s="246"/>
      <c r="AB248" s="246"/>
      <c r="AC248" s="246"/>
      <c r="AD248" s="246"/>
      <c r="AE248" s="246"/>
      <c r="AF248" s="246"/>
      <c r="AG248" s="246"/>
      <c r="AH248" s="246"/>
      <c r="AI248" s="246"/>
      <c r="AJ248" s="246"/>
      <c r="AK248" s="246"/>
      <c r="AL248" s="246"/>
      <c r="AM248" s="246"/>
      <c r="AN248" s="246"/>
      <c r="AO248" s="246"/>
      <c r="AP248" s="246"/>
      <c r="AQ248" s="246"/>
      <c r="AR248" s="246"/>
      <c r="AS248" s="246"/>
      <c r="AT248" s="246"/>
      <c r="AU248" s="260"/>
    </row>
    <row r="249" spans="1:47" ht="60" customHeight="1" x14ac:dyDescent="0.35">
      <c r="A249" s="256" t="s">
        <v>3882</v>
      </c>
      <c r="B249" s="234" t="s">
        <v>1795</v>
      </c>
      <c r="C249" s="235" t="s">
        <v>3983</v>
      </c>
      <c r="D249" s="238" t="s">
        <v>3984</v>
      </c>
      <c r="E249" s="239" t="s">
        <v>3512</v>
      </c>
      <c r="F249" s="242" t="s">
        <v>3985</v>
      </c>
      <c r="G249" s="245" t="str">
        <f>IF(COUNTIF(H249:AU249,"&lt;&gt;")=0,"",SUMPRODUCT(((Recommendations[ImplStatus]="Implemented")+(Recommendations[ImplStatus]="Compensated"))*ISNUMBER(MATCH(Recommendations[Id],H249:AU249,0)))/COUNTIF(H249:AU249,"&lt;&gt;"))</f>
        <v/>
      </c>
      <c r="H249" s="246"/>
      <c r="I249" s="246"/>
      <c r="J249" s="246"/>
      <c r="K249" s="246"/>
      <c r="L249" s="246"/>
      <c r="M249" s="246"/>
      <c r="N249" s="246"/>
      <c r="O249" s="246"/>
      <c r="P249" s="246"/>
      <c r="Q249" s="246"/>
      <c r="R249" s="246"/>
      <c r="S249" s="246"/>
      <c r="T249" s="246"/>
      <c r="U249" s="246"/>
      <c r="V249" s="246"/>
      <c r="W249" s="246"/>
      <c r="X249" s="246"/>
      <c r="Y249" s="246"/>
      <c r="Z249" s="246"/>
      <c r="AA249" s="246"/>
      <c r="AB249" s="246"/>
      <c r="AC249" s="246"/>
      <c r="AD249" s="246"/>
      <c r="AE249" s="246"/>
      <c r="AF249" s="246"/>
      <c r="AG249" s="246"/>
      <c r="AH249" s="246"/>
      <c r="AI249" s="246"/>
      <c r="AJ249" s="246"/>
      <c r="AK249" s="246"/>
      <c r="AL249" s="246"/>
      <c r="AM249" s="246"/>
      <c r="AN249" s="246"/>
      <c r="AO249" s="246"/>
      <c r="AP249" s="246"/>
      <c r="AQ249" s="246"/>
      <c r="AR249" s="246"/>
      <c r="AS249" s="246"/>
      <c r="AT249" s="246"/>
      <c r="AU249" s="260"/>
    </row>
    <row r="250" spans="1:47" ht="60" customHeight="1" x14ac:dyDescent="0.35">
      <c r="A250" s="256" t="s">
        <v>3882</v>
      </c>
      <c r="B250" s="234" t="s">
        <v>1795</v>
      </c>
      <c r="C250" s="235" t="s">
        <v>3986</v>
      </c>
      <c r="D250" s="238" t="s">
        <v>3987</v>
      </c>
      <c r="E250" s="239" t="s">
        <v>3512</v>
      </c>
      <c r="F250" s="242" t="s">
        <v>3985</v>
      </c>
      <c r="G250" s="245" t="str">
        <f>IF(COUNTIF(H250:AU250,"&lt;&gt;")=0,"",SUMPRODUCT(((Recommendations[ImplStatus]="Implemented")+(Recommendations[ImplStatus]="Compensated"))*ISNUMBER(MATCH(Recommendations[Id],H250:AU250,0)))/COUNTIF(H250:AU250,"&lt;&gt;"))</f>
        <v/>
      </c>
      <c r="H250" s="246"/>
      <c r="I250" s="246"/>
      <c r="J250" s="246"/>
      <c r="K250" s="246"/>
      <c r="L250" s="246"/>
      <c r="M250" s="246"/>
      <c r="N250" s="246"/>
      <c r="O250" s="246"/>
      <c r="P250" s="246"/>
      <c r="Q250" s="246"/>
      <c r="R250" s="246"/>
      <c r="S250" s="246"/>
      <c r="T250" s="246"/>
      <c r="U250" s="246"/>
      <c r="V250" s="246"/>
      <c r="W250" s="246"/>
      <c r="X250" s="246"/>
      <c r="Y250" s="246"/>
      <c r="Z250" s="246"/>
      <c r="AA250" s="246"/>
      <c r="AB250" s="246"/>
      <c r="AC250" s="246"/>
      <c r="AD250" s="246"/>
      <c r="AE250" s="246"/>
      <c r="AF250" s="246"/>
      <c r="AG250" s="246"/>
      <c r="AH250" s="246"/>
      <c r="AI250" s="246"/>
      <c r="AJ250" s="246"/>
      <c r="AK250" s="246"/>
      <c r="AL250" s="246"/>
      <c r="AM250" s="246"/>
      <c r="AN250" s="246"/>
      <c r="AO250" s="246"/>
      <c r="AP250" s="246"/>
      <c r="AQ250" s="246"/>
      <c r="AR250" s="246"/>
      <c r="AS250" s="246"/>
      <c r="AT250" s="246"/>
      <c r="AU250" s="260"/>
    </row>
    <row r="251" spans="1:47" ht="60" customHeight="1" outlineLevel="2" x14ac:dyDescent="0.35">
      <c r="A251" s="255" t="s">
        <v>3882</v>
      </c>
      <c r="B251" s="233" t="s">
        <v>3988</v>
      </c>
      <c r="C251" s="233"/>
      <c r="D251" s="237"/>
      <c r="E251" s="233"/>
      <c r="F251" s="241"/>
      <c r="G251" s="244" t="str">
        <f>IF(COUNTIF(H251:AU251,"&lt;&gt;")=0,"",SUMPRODUCT(((Recommendations[ImplStatus]="Implemented")+(Recommendations[ImplStatus]="Compensated"))*ISNUMBER(MATCH(Recommendations[Id],H251:AU251,0)))/COUNTIF(H251:AU251,"&lt;&gt;"))</f>
        <v/>
      </c>
      <c r="H251" s="241"/>
      <c r="I251" s="241"/>
      <c r="J251" s="241"/>
      <c r="K251" s="241"/>
      <c r="L251" s="241"/>
      <c r="M251" s="241"/>
      <c r="N251" s="241"/>
      <c r="O251" s="241"/>
      <c r="P251" s="241"/>
      <c r="Q251" s="241"/>
      <c r="R251" s="241"/>
      <c r="S251" s="241"/>
      <c r="T251" s="241"/>
      <c r="U251" s="241"/>
      <c r="V251" s="241"/>
      <c r="W251" s="241"/>
      <c r="X251" s="241"/>
      <c r="Y251" s="241"/>
      <c r="Z251" s="241"/>
      <c r="AA251" s="241"/>
      <c r="AB251" s="241"/>
      <c r="AC251" s="241"/>
      <c r="AD251" s="241"/>
      <c r="AE251" s="241"/>
      <c r="AF251" s="241"/>
      <c r="AG251" s="241"/>
      <c r="AH251" s="241"/>
      <c r="AI251" s="241"/>
      <c r="AJ251" s="241"/>
      <c r="AK251" s="241"/>
      <c r="AL251" s="241"/>
      <c r="AM251" s="241"/>
      <c r="AN251" s="241"/>
      <c r="AO251" s="241"/>
      <c r="AP251" s="241"/>
      <c r="AQ251" s="241"/>
      <c r="AR251" s="241"/>
      <c r="AS251" s="241"/>
      <c r="AT251" s="241"/>
      <c r="AU251" s="259"/>
    </row>
    <row r="252" spans="1:47" ht="60" customHeight="1" x14ac:dyDescent="0.35">
      <c r="A252" s="256" t="s">
        <v>3882</v>
      </c>
      <c r="B252" s="234" t="s">
        <v>3988</v>
      </c>
      <c r="C252" s="235" t="s">
        <v>3989</v>
      </c>
      <c r="D252" s="238" t="s">
        <v>3990</v>
      </c>
      <c r="E252" s="239" t="s">
        <v>3579</v>
      </c>
      <c r="F252" s="242" t="s">
        <v>3991</v>
      </c>
      <c r="G252" s="245">
        <f>IF(COUNTIF(H252:AU252,"&lt;&gt;")=0,"",SUMPRODUCT(((Recommendations[ImplStatus]="Implemented")+(Recommendations[ImplStatus]="Compensated"))*ISNUMBER(MATCH(Recommendations[Id],H252:AU252,0)))/COUNTIF(H252:AU252,"&lt;&gt;"))</f>
        <v>0</v>
      </c>
      <c r="H252" s="246" t="s">
        <v>420</v>
      </c>
      <c r="I252" s="246"/>
      <c r="J252" s="246"/>
      <c r="K252" s="246"/>
      <c r="L252" s="246"/>
      <c r="M252" s="246"/>
      <c r="N252" s="246"/>
      <c r="O252" s="246"/>
      <c r="P252" s="246"/>
      <c r="Q252" s="246"/>
      <c r="R252" s="246"/>
      <c r="S252" s="246"/>
      <c r="T252" s="246"/>
      <c r="U252" s="246"/>
      <c r="V252" s="246"/>
      <c r="W252" s="246"/>
      <c r="X252" s="246"/>
      <c r="Y252" s="246"/>
      <c r="Z252" s="246"/>
      <c r="AA252" s="246"/>
      <c r="AB252" s="246"/>
      <c r="AC252" s="246"/>
      <c r="AD252" s="246"/>
      <c r="AE252" s="246"/>
      <c r="AF252" s="246"/>
      <c r="AG252" s="246"/>
      <c r="AH252" s="246"/>
      <c r="AI252" s="246"/>
      <c r="AJ252" s="246"/>
      <c r="AK252" s="246"/>
      <c r="AL252" s="246"/>
      <c r="AM252" s="246"/>
      <c r="AN252" s="246"/>
      <c r="AO252" s="246"/>
      <c r="AP252" s="246"/>
      <c r="AQ252" s="246"/>
      <c r="AR252" s="246"/>
      <c r="AS252" s="246"/>
      <c r="AT252" s="246"/>
      <c r="AU252" s="260"/>
    </row>
    <row r="253" spans="1:47" ht="60" customHeight="1" x14ac:dyDescent="0.35">
      <c r="A253" s="256" t="s">
        <v>3882</v>
      </c>
      <c r="B253" s="234" t="s">
        <v>3988</v>
      </c>
      <c r="C253" s="235" t="s">
        <v>3992</v>
      </c>
      <c r="D253" s="238" t="s">
        <v>3993</v>
      </c>
      <c r="E253" s="239" t="s">
        <v>3579</v>
      </c>
      <c r="F253" s="242" t="s">
        <v>3991</v>
      </c>
      <c r="G253" s="245">
        <f>IF(COUNTIF(H253:AU253,"&lt;&gt;")=0,"",SUMPRODUCT(((Recommendations[ImplStatus]="Implemented")+(Recommendations[ImplStatus]="Compensated"))*ISNUMBER(MATCH(Recommendations[Id],H253:AU253,0)))/COUNTIF(H253:AU253,"&lt;&gt;"))</f>
        <v>0</v>
      </c>
      <c r="H253" s="246" t="s">
        <v>420</v>
      </c>
      <c r="I253" s="246"/>
      <c r="J253" s="246"/>
      <c r="K253" s="246"/>
      <c r="L253" s="246"/>
      <c r="M253" s="246"/>
      <c r="N253" s="246"/>
      <c r="O253" s="246"/>
      <c r="P253" s="246"/>
      <c r="Q253" s="246"/>
      <c r="R253" s="246"/>
      <c r="S253" s="246"/>
      <c r="T253" s="246"/>
      <c r="U253" s="246"/>
      <c r="V253" s="246"/>
      <c r="W253" s="246"/>
      <c r="X253" s="246"/>
      <c r="Y253" s="246"/>
      <c r="Z253" s="246"/>
      <c r="AA253" s="246"/>
      <c r="AB253" s="246"/>
      <c r="AC253" s="246"/>
      <c r="AD253" s="246"/>
      <c r="AE253" s="246"/>
      <c r="AF253" s="246"/>
      <c r="AG253" s="246"/>
      <c r="AH253" s="246"/>
      <c r="AI253" s="246"/>
      <c r="AJ253" s="246"/>
      <c r="AK253" s="246"/>
      <c r="AL253" s="246"/>
      <c r="AM253" s="246"/>
      <c r="AN253" s="246"/>
      <c r="AO253" s="246"/>
      <c r="AP253" s="246"/>
      <c r="AQ253" s="246"/>
      <c r="AR253" s="246"/>
      <c r="AS253" s="246"/>
      <c r="AT253" s="246"/>
      <c r="AU253" s="260"/>
    </row>
    <row r="254" spans="1:47" ht="60" customHeight="1" x14ac:dyDescent="0.35">
      <c r="A254" s="256" t="s">
        <v>3882</v>
      </c>
      <c r="B254" s="234" t="s">
        <v>3988</v>
      </c>
      <c r="C254" s="235" t="s">
        <v>3994</v>
      </c>
      <c r="D254" s="238" t="s">
        <v>3995</v>
      </c>
      <c r="E254" s="239" t="s">
        <v>3579</v>
      </c>
      <c r="F254" s="242" t="s">
        <v>3991</v>
      </c>
      <c r="G254" s="245" t="str">
        <f>IF(COUNTIF(H254:AU254,"&lt;&gt;")=0,"",SUMPRODUCT(((Recommendations[ImplStatus]="Implemented")+(Recommendations[ImplStatus]="Compensated"))*ISNUMBER(MATCH(Recommendations[Id],H254:AU254,0)))/COUNTIF(H254:AU254,"&lt;&gt;"))</f>
        <v/>
      </c>
      <c r="H254" s="246"/>
      <c r="I254" s="246"/>
      <c r="J254" s="246"/>
      <c r="K254" s="246"/>
      <c r="L254" s="246"/>
      <c r="M254" s="246"/>
      <c r="N254" s="246"/>
      <c r="O254" s="246"/>
      <c r="P254" s="246"/>
      <c r="Q254" s="246"/>
      <c r="R254" s="246"/>
      <c r="S254" s="246"/>
      <c r="T254" s="246"/>
      <c r="U254" s="246"/>
      <c r="V254" s="246"/>
      <c r="W254" s="246"/>
      <c r="X254" s="246"/>
      <c r="Y254" s="246"/>
      <c r="Z254" s="246"/>
      <c r="AA254" s="246"/>
      <c r="AB254" s="246"/>
      <c r="AC254" s="246"/>
      <c r="AD254" s="246"/>
      <c r="AE254" s="246"/>
      <c r="AF254" s="246"/>
      <c r="AG254" s="246"/>
      <c r="AH254" s="246"/>
      <c r="AI254" s="246"/>
      <c r="AJ254" s="246"/>
      <c r="AK254" s="246"/>
      <c r="AL254" s="246"/>
      <c r="AM254" s="246"/>
      <c r="AN254" s="246"/>
      <c r="AO254" s="246"/>
      <c r="AP254" s="246"/>
      <c r="AQ254" s="246"/>
      <c r="AR254" s="246"/>
      <c r="AS254" s="246"/>
      <c r="AT254" s="246"/>
      <c r="AU254" s="260"/>
    </row>
    <row r="255" spans="1:47" ht="60" customHeight="1" x14ac:dyDescent="0.35">
      <c r="A255" s="256" t="s">
        <v>3882</v>
      </c>
      <c r="B255" s="234" t="s">
        <v>3988</v>
      </c>
      <c r="C255" s="235" t="s">
        <v>3996</v>
      </c>
      <c r="D255" s="238" t="s">
        <v>3997</v>
      </c>
      <c r="E255" s="239" t="s">
        <v>3579</v>
      </c>
      <c r="F255" s="242" t="s">
        <v>3991</v>
      </c>
      <c r="G255" s="245" t="str">
        <f>IF(COUNTIF(H255:AU255,"&lt;&gt;")=0,"",SUMPRODUCT(((Recommendations[ImplStatus]="Implemented")+(Recommendations[ImplStatus]="Compensated"))*ISNUMBER(MATCH(Recommendations[Id],H255:AU255,0)))/COUNTIF(H255:AU255,"&lt;&gt;"))</f>
        <v/>
      </c>
      <c r="H255" s="246"/>
      <c r="I255" s="246"/>
      <c r="J255" s="246"/>
      <c r="K255" s="246"/>
      <c r="L255" s="246"/>
      <c r="M255" s="246"/>
      <c r="N255" s="246"/>
      <c r="O255" s="246"/>
      <c r="P255" s="246"/>
      <c r="Q255" s="246"/>
      <c r="R255" s="246"/>
      <c r="S255" s="246"/>
      <c r="T255" s="246"/>
      <c r="U255" s="246"/>
      <c r="V255" s="246"/>
      <c r="W255" s="246"/>
      <c r="X255" s="246"/>
      <c r="Y255" s="246"/>
      <c r="Z255" s="246"/>
      <c r="AA255" s="246"/>
      <c r="AB255" s="246"/>
      <c r="AC255" s="246"/>
      <c r="AD255" s="246"/>
      <c r="AE255" s="246"/>
      <c r="AF255" s="246"/>
      <c r="AG255" s="246"/>
      <c r="AH255" s="246"/>
      <c r="AI255" s="246"/>
      <c r="AJ255" s="246"/>
      <c r="AK255" s="246"/>
      <c r="AL255" s="246"/>
      <c r="AM255" s="246"/>
      <c r="AN255" s="246"/>
      <c r="AO255" s="246"/>
      <c r="AP255" s="246"/>
      <c r="AQ255" s="246"/>
      <c r="AR255" s="246"/>
      <c r="AS255" s="246"/>
      <c r="AT255" s="246"/>
      <c r="AU255" s="260"/>
    </row>
    <row r="256" spans="1:47" ht="60" customHeight="1" x14ac:dyDescent="0.35">
      <c r="A256" s="256" t="s">
        <v>3882</v>
      </c>
      <c r="B256" s="234" t="s">
        <v>3988</v>
      </c>
      <c r="C256" s="235" t="s">
        <v>3998</v>
      </c>
      <c r="D256" s="238" t="s">
        <v>3999</v>
      </c>
      <c r="E256" s="239" t="s">
        <v>3579</v>
      </c>
      <c r="F256" s="242" t="s">
        <v>3991</v>
      </c>
      <c r="G256" s="245" t="str">
        <f>IF(COUNTIF(H256:AU256,"&lt;&gt;")=0,"",SUMPRODUCT(((Recommendations[ImplStatus]="Implemented")+(Recommendations[ImplStatus]="Compensated"))*ISNUMBER(MATCH(Recommendations[Id],H256:AU256,0)))/COUNTIF(H256:AU256,"&lt;&gt;"))</f>
        <v/>
      </c>
      <c r="H256" s="246"/>
      <c r="I256" s="246"/>
      <c r="J256" s="246"/>
      <c r="K256" s="246"/>
      <c r="L256" s="246"/>
      <c r="M256" s="246"/>
      <c r="N256" s="246"/>
      <c r="O256" s="246"/>
      <c r="P256" s="246"/>
      <c r="Q256" s="246"/>
      <c r="R256" s="246"/>
      <c r="S256" s="246"/>
      <c r="T256" s="246"/>
      <c r="U256" s="246"/>
      <c r="V256" s="246"/>
      <c r="W256" s="246"/>
      <c r="X256" s="246"/>
      <c r="Y256" s="246"/>
      <c r="Z256" s="246"/>
      <c r="AA256" s="246"/>
      <c r="AB256" s="246"/>
      <c r="AC256" s="246"/>
      <c r="AD256" s="246"/>
      <c r="AE256" s="246"/>
      <c r="AF256" s="246"/>
      <c r="AG256" s="246"/>
      <c r="AH256" s="246"/>
      <c r="AI256" s="246"/>
      <c r="AJ256" s="246"/>
      <c r="AK256" s="246"/>
      <c r="AL256" s="246"/>
      <c r="AM256" s="246"/>
      <c r="AN256" s="246"/>
      <c r="AO256" s="246"/>
      <c r="AP256" s="246"/>
      <c r="AQ256" s="246"/>
      <c r="AR256" s="246"/>
      <c r="AS256" s="246"/>
      <c r="AT256" s="246"/>
      <c r="AU256" s="260"/>
    </row>
    <row r="257" spans="1:47" ht="60" customHeight="1" x14ac:dyDescent="0.35">
      <c r="A257" s="256" t="s">
        <v>3882</v>
      </c>
      <c r="B257" s="234" t="s">
        <v>3988</v>
      </c>
      <c r="C257" s="235" t="s">
        <v>4000</v>
      </c>
      <c r="D257" s="238" t="s">
        <v>4001</v>
      </c>
      <c r="E257" s="239" t="s">
        <v>3483</v>
      </c>
      <c r="F257" s="242" t="s">
        <v>3991</v>
      </c>
      <c r="G257" s="245" t="str">
        <f>IF(COUNTIF(H257:AU257,"&lt;&gt;")=0,"",SUMPRODUCT(((Recommendations[ImplStatus]="Implemented")+(Recommendations[ImplStatus]="Compensated"))*ISNUMBER(MATCH(Recommendations[Id],H257:AU257,0)))/COUNTIF(H257:AU257,"&lt;&gt;"))</f>
        <v/>
      </c>
      <c r="H257" s="246"/>
      <c r="I257" s="246"/>
      <c r="J257" s="246"/>
      <c r="K257" s="246"/>
      <c r="L257" s="246"/>
      <c r="M257" s="246"/>
      <c r="N257" s="246"/>
      <c r="O257" s="246"/>
      <c r="P257" s="246"/>
      <c r="Q257" s="246"/>
      <c r="R257" s="246"/>
      <c r="S257" s="246"/>
      <c r="T257" s="246"/>
      <c r="U257" s="246"/>
      <c r="V257" s="246"/>
      <c r="W257" s="246"/>
      <c r="X257" s="246"/>
      <c r="Y257" s="246"/>
      <c r="Z257" s="246"/>
      <c r="AA257" s="246"/>
      <c r="AB257" s="246"/>
      <c r="AC257" s="246"/>
      <c r="AD257" s="246"/>
      <c r="AE257" s="246"/>
      <c r="AF257" s="246"/>
      <c r="AG257" s="246"/>
      <c r="AH257" s="246"/>
      <c r="AI257" s="246"/>
      <c r="AJ257" s="246"/>
      <c r="AK257" s="246"/>
      <c r="AL257" s="246"/>
      <c r="AM257" s="246"/>
      <c r="AN257" s="246"/>
      <c r="AO257" s="246"/>
      <c r="AP257" s="246"/>
      <c r="AQ257" s="246"/>
      <c r="AR257" s="246"/>
      <c r="AS257" s="246"/>
      <c r="AT257" s="246"/>
      <c r="AU257" s="260"/>
    </row>
    <row r="258" spans="1:47" ht="60" customHeight="1" x14ac:dyDescent="0.35">
      <c r="A258" s="256" t="s">
        <v>3882</v>
      </c>
      <c r="B258" s="234" t="s">
        <v>3988</v>
      </c>
      <c r="C258" s="235" t="s">
        <v>4002</v>
      </c>
      <c r="D258" s="238" t="s">
        <v>4003</v>
      </c>
      <c r="E258" s="239" t="s">
        <v>3483</v>
      </c>
      <c r="F258" s="242" t="s">
        <v>3991</v>
      </c>
      <c r="G258" s="245" t="str">
        <f>IF(COUNTIF(H258:AU258,"&lt;&gt;")=0,"",SUMPRODUCT(((Recommendations[ImplStatus]="Implemented")+(Recommendations[ImplStatus]="Compensated"))*ISNUMBER(MATCH(Recommendations[Id],H258:AU258,0)))/COUNTIF(H258:AU258,"&lt;&gt;"))</f>
        <v/>
      </c>
      <c r="H258" s="246"/>
      <c r="I258" s="246"/>
      <c r="J258" s="246"/>
      <c r="K258" s="246"/>
      <c r="L258" s="246"/>
      <c r="M258" s="246"/>
      <c r="N258" s="246"/>
      <c r="O258" s="246"/>
      <c r="P258" s="246"/>
      <c r="Q258" s="246"/>
      <c r="R258" s="246"/>
      <c r="S258" s="246"/>
      <c r="T258" s="246"/>
      <c r="U258" s="246"/>
      <c r="V258" s="246"/>
      <c r="W258" s="246"/>
      <c r="X258" s="246"/>
      <c r="Y258" s="246"/>
      <c r="Z258" s="246"/>
      <c r="AA258" s="246"/>
      <c r="AB258" s="246"/>
      <c r="AC258" s="246"/>
      <c r="AD258" s="246"/>
      <c r="AE258" s="246"/>
      <c r="AF258" s="246"/>
      <c r="AG258" s="246"/>
      <c r="AH258" s="246"/>
      <c r="AI258" s="246"/>
      <c r="AJ258" s="246"/>
      <c r="AK258" s="246"/>
      <c r="AL258" s="246"/>
      <c r="AM258" s="246"/>
      <c r="AN258" s="246"/>
      <c r="AO258" s="246"/>
      <c r="AP258" s="246"/>
      <c r="AQ258" s="246"/>
      <c r="AR258" s="246"/>
      <c r="AS258" s="246"/>
      <c r="AT258" s="246"/>
      <c r="AU258" s="260"/>
    </row>
    <row r="259" spans="1:47" ht="60" customHeight="1" x14ac:dyDescent="0.35">
      <c r="A259" s="256" t="s">
        <v>3882</v>
      </c>
      <c r="B259" s="234" t="s">
        <v>3988</v>
      </c>
      <c r="C259" s="235" t="s">
        <v>4004</v>
      </c>
      <c r="D259" s="238" t="s">
        <v>4005</v>
      </c>
      <c r="E259" s="239" t="s">
        <v>3483</v>
      </c>
      <c r="F259" s="242" t="s">
        <v>3991</v>
      </c>
      <c r="G259" s="245" t="str">
        <f>IF(COUNTIF(H259:AU259,"&lt;&gt;")=0,"",SUMPRODUCT(((Recommendations[ImplStatus]="Implemented")+(Recommendations[ImplStatus]="Compensated"))*ISNUMBER(MATCH(Recommendations[Id],H259:AU259,0)))/COUNTIF(H259:AU259,"&lt;&gt;"))</f>
        <v/>
      </c>
      <c r="H259" s="246"/>
      <c r="I259" s="246"/>
      <c r="J259" s="246"/>
      <c r="K259" s="246"/>
      <c r="L259" s="246"/>
      <c r="M259" s="246"/>
      <c r="N259" s="246"/>
      <c r="O259" s="246"/>
      <c r="P259" s="246"/>
      <c r="Q259" s="246"/>
      <c r="R259" s="246"/>
      <c r="S259" s="246"/>
      <c r="T259" s="246"/>
      <c r="U259" s="246"/>
      <c r="V259" s="246"/>
      <c r="W259" s="246"/>
      <c r="X259" s="246"/>
      <c r="Y259" s="246"/>
      <c r="Z259" s="246"/>
      <c r="AA259" s="246"/>
      <c r="AB259" s="246"/>
      <c r="AC259" s="246"/>
      <c r="AD259" s="246"/>
      <c r="AE259" s="246"/>
      <c r="AF259" s="246"/>
      <c r="AG259" s="246"/>
      <c r="AH259" s="246"/>
      <c r="AI259" s="246"/>
      <c r="AJ259" s="246"/>
      <c r="AK259" s="246"/>
      <c r="AL259" s="246"/>
      <c r="AM259" s="246"/>
      <c r="AN259" s="246"/>
      <c r="AO259" s="246"/>
      <c r="AP259" s="246"/>
      <c r="AQ259" s="246"/>
      <c r="AR259" s="246"/>
      <c r="AS259" s="246"/>
      <c r="AT259" s="246"/>
      <c r="AU259" s="260"/>
    </row>
    <row r="260" spans="1:47" ht="60" customHeight="1" x14ac:dyDescent="0.35">
      <c r="A260" s="256" t="s">
        <v>3882</v>
      </c>
      <c r="B260" s="234" t="s">
        <v>3988</v>
      </c>
      <c r="C260" s="235" t="s">
        <v>4006</v>
      </c>
      <c r="D260" s="238" t="s">
        <v>4007</v>
      </c>
      <c r="E260" s="239" t="s">
        <v>3483</v>
      </c>
      <c r="F260" s="242" t="s">
        <v>3991</v>
      </c>
      <c r="G260" s="245" t="str">
        <f>IF(COUNTIF(H260:AU260,"&lt;&gt;")=0,"",SUMPRODUCT(((Recommendations[ImplStatus]="Implemented")+(Recommendations[ImplStatus]="Compensated"))*ISNUMBER(MATCH(Recommendations[Id],H260:AU260,0)))/COUNTIF(H260:AU260,"&lt;&gt;"))</f>
        <v/>
      </c>
      <c r="H260" s="246"/>
      <c r="I260" s="246"/>
      <c r="J260" s="246"/>
      <c r="K260" s="246"/>
      <c r="L260" s="246"/>
      <c r="M260" s="246"/>
      <c r="N260" s="246"/>
      <c r="O260" s="246"/>
      <c r="P260" s="246"/>
      <c r="Q260" s="246"/>
      <c r="R260" s="246"/>
      <c r="S260" s="246"/>
      <c r="T260" s="246"/>
      <c r="U260" s="246"/>
      <c r="V260" s="246"/>
      <c r="W260" s="246"/>
      <c r="X260" s="246"/>
      <c r="Y260" s="246"/>
      <c r="Z260" s="246"/>
      <c r="AA260" s="246"/>
      <c r="AB260" s="246"/>
      <c r="AC260" s="246"/>
      <c r="AD260" s="246"/>
      <c r="AE260" s="246"/>
      <c r="AF260" s="246"/>
      <c r="AG260" s="246"/>
      <c r="AH260" s="246"/>
      <c r="AI260" s="246"/>
      <c r="AJ260" s="246"/>
      <c r="AK260" s="246"/>
      <c r="AL260" s="246"/>
      <c r="AM260" s="246"/>
      <c r="AN260" s="246"/>
      <c r="AO260" s="246"/>
      <c r="AP260" s="246"/>
      <c r="AQ260" s="246"/>
      <c r="AR260" s="246"/>
      <c r="AS260" s="246"/>
      <c r="AT260" s="246"/>
      <c r="AU260" s="260"/>
    </row>
    <row r="261" spans="1:47" ht="60" customHeight="1" x14ac:dyDescent="0.35">
      <c r="A261" s="256" t="s">
        <v>3882</v>
      </c>
      <c r="B261" s="234" t="s">
        <v>3988</v>
      </c>
      <c r="C261" s="235" t="s">
        <v>4008</v>
      </c>
      <c r="D261" s="238" t="s">
        <v>4009</v>
      </c>
      <c r="E261" s="239" t="s">
        <v>3627</v>
      </c>
      <c r="F261" s="242" t="s">
        <v>3991</v>
      </c>
      <c r="G261" s="245" t="str">
        <f>IF(COUNTIF(H261:AU261,"&lt;&gt;")=0,"",SUMPRODUCT(((Recommendations[ImplStatus]="Implemented")+(Recommendations[ImplStatus]="Compensated"))*ISNUMBER(MATCH(Recommendations[Id],H261:AU261,0)))/COUNTIF(H261:AU261,"&lt;&gt;"))</f>
        <v/>
      </c>
      <c r="H261" s="246"/>
      <c r="I261" s="246"/>
      <c r="J261" s="246"/>
      <c r="K261" s="246"/>
      <c r="L261" s="246"/>
      <c r="M261" s="246"/>
      <c r="N261" s="246"/>
      <c r="O261" s="246"/>
      <c r="P261" s="246"/>
      <c r="Q261" s="246"/>
      <c r="R261" s="246"/>
      <c r="S261" s="246"/>
      <c r="T261" s="246"/>
      <c r="U261" s="246"/>
      <c r="V261" s="246"/>
      <c r="W261" s="246"/>
      <c r="X261" s="246"/>
      <c r="Y261" s="246"/>
      <c r="Z261" s="246"/>
      <c r="AA261" s="246"/>
      <c r="AB261" s="246"/>
      <c r="AC261" s="246"/>
      <c r="AD261" s="246"/>
      <c r="AE261" s="246"/>
      <c r="AF261" s="246"/>
      <c r="AG261" s="246"/>
      <c r="AH261" s="246"/>
      <c r="AI261" s="246"/>
      <c r="AJ261" s="246"/>
      <c r="AK261" s="246"/>
      <c r="AL261" s="246"/>
      <c r="AM261" s="246"/>
      <c r="AN261" s="246"/>
      <c r="AO261" s="246"/>
      <c r="AP261" s="246"/>
      <c r="AQ261" s="246"/>
      <c r="AR261" s="246"/>
      <c r="AS261" s="246"/>
      <c r="AT261" s="246"/>
      <c r="AU261" s="260"/>
    </row>
    <row r="262" spans="1:47" ht="60" customHeight="1" x14ac:dyDescent="0.35">
      <c r="A262" s="256" t="s">
        <v>3882</v>
      </c>
      <c r="B262" s="234" t="s">
        <v>3988</v>
      </c>
      <c r="C262" s="235" t="s">
        <v>4010</v>
      </c>
      <c r="D262" s="238" t="s">
        <v>4011</v>
      </c>
      <c r="E262" s="239" t="s">
        <v>3627</v>
      </c>
      <c r="F262" s="242" t="s">
        <v>3991</v>
      </c>
      <c r="G262" s="245" t="str">
        <f>IF(COUNTIF(H262:AU262,"&lt;&gt;")=0,"",SUMPRODUCT(((Recommendations[ImplStatus]="Implemented")+(Recommendations[ImplStatus]="Compensated"))*ISNUMBER(MATCH(Recommendations[Id],H262:AU262,0)))/COUNTIF(H262:AU262,"&lt;&gt;"))</f>
        <v/>
      </c>
      <c r="H262" s="246"/>
      <c r="I262" s="246"/>
      <c r="J262" s="246"/>
      <c r="K262" s="246"/>
      <c r="L262" s="246"/>
      <c r="M262" s="246"/>
      <c r="N262" s="246"/>
      <c r="O262" s="246"/>
      <c r="P262" s="246"/>
      <c r="Q262" s="246"/>
      <c r="R262" s="246"/>
      <c r="S262" s="246"/>
      <c r="T262" s="246"/>
      <c r="U262" s="246"/>
      <c r="V262" s="246"/>
      <c r="W262" s="246"/>
      <c r="X262" s="246"/>
      <c r="Y262" s="246"/>
      <c r="Z262" s="246"/>
      <c r="AA262" s="246"/>
      <c r="AB262" s="246"/>
      <c r="AC262" s="246"/>
      <c r="AD262" s="246"/>
      <c r="AE262" s="246"/>
      <c r="AF262" s="246"/>
      <c r="AG262" s="246"/>
      <c r="AH262" s="246"/>
      <c r="AI262" s="246"/>
      <c r="AJ262" s="246"/>
      <c r="AK262" s="246"/>
      <c r="AL262" s="246"/>
      <c r="AM262" s="246"/>
      <c r="AN262" s="246"/>
      <c r="AO262" s="246"/>
      <c r="AP262" s="246"/>
      <c r="AQ262" s="246"/>
      <c r="AR262" s="246"/>
      <c r="AS262" s="246"/>
      <c r="AT262" s="246"/>
      <c r="AU262" s="260"/>
    </row>
    <row r="263" spans="1:47" ht="60" customHeight="1" x14ac:dyDescent="0.35">
      <c r="A263" s="256" t="s">
        <v>3882</v>
      </c>
      <c r="B263" s="234" t="s">
        <v>3988</v>
      </c>
      <c r="C263" s="235" t="s">
        <v>4012</v>
      </c>
      <c r="D263" s="238" t="s">
        <v>4013</v>
      </c>
      <c r="E263" s="239" t="s">
        <v>3627</v>
      </c>
      <c r="F263" s="242" t="s">
        <v>3991</v>
      </c>
      <c r="G263" s="245" t="str">
        <f>IF(COUNTIF(H263:AU263,"&lt;&gt;")=0,"",SUMPRODUCT(((Recommendations[ImplStatus]="Implemented")+(Recommendations[ImplStatus]="Compensated"))*ISNUMBER(MATCH(Recommendations[Id],H263:AU263,0)))/COUNTIF(H263:AU263,"&lt;&gt;"))</f>
        <v/>
      </c>
      <c r="H263" s="246"/>
      <c r="I263" s="246"/>
      <c r="J263" s="246"/>
      <c r="K263" s="246"/>
      <c r="L263" s="246"/>
      <c r="M263" s="246"/>
      <c r="N263" s="246"/>
      <c r="O263" s="246"/>
      <c r="P263" s="246"/>
      <c r="Q263" s="246"/>
      <c r="R263" s="246"/>
      <c r="S263" s="246"/>
      <c r="T263" s="246"/>
      <c r="U263" s="246"/>
      <c r="V263" s="246"/>
      <c r="W263" s="246"/>
      <c r="X263" s="246"/>
      <c r="Y263" s="246"/>
      <c r="Z263" s="246"/>
      <c r="AA263" s="246"/>
      <c r="AB263" s="246"/>
      <c r="AC263" s="246"/>
      <c r="AD263" s="246"/>
      <c r="AE263" s="246"/>
      <c r="AF263" s="246"/>
      <c r="AG263" s="246"/>
      <c r="AH263" s="246"/>
      <c r="AI263" s="246"/>
      <c r="AJ263" s="246"/>
      <c r="AK263" s="246"/>
      <c r="AL263" s="246"/>
      <c r="AM263" s="246"/>
      <c r="AN263" s="246"/>
      <c r="AO263" s="246"/>
      <c r="AP263" s="246"/>
      <c r="AQ263" s="246"/>
      <c r="AR263" s="246"/>
      <c r="AS263" s="246"/>
      <c r="AT263" s="246"/>
      <c r="AU263" s="260"/>
    </row>
    <row r="264" spans="1:47" ht="60" customHeight="1" outlineLevel="2" x14ac:dyDescent="0.35">
      <c r="A264" s="255" t="s">
        <v>3882</v>
      </c>
      <c r="B264" s="233" t="s">
        <v>4014</v>
      </c>
      <c r="C264" s="233"/>
      <c r="D264" s="237"/>
      <c r="E264" s="233"/>
      <c r="F264" s="241"/>
      <c r="G264" s="244" t="str">
        <f>IF(COUNTIF(H264:AU264,"&lt;&gt;")=0,"",SUMPRODUCT(((Recommendations[ImplStatus]="Implemented")+(Recommendations[ImplStatus]="Compensated"))*ISNUMBER(MATCH(Recommendations[Id],H264:AU264,0)))/COUNTIF(H264:AU264,"&lt;&gt;"))</f>
        <v/>
      </c>
      <c r="H264" s="241"/>
      <c r="I264" s="241"/>
      <c r="J264" s="241"/>
      <c r="K264" s="241"/>
      <c r="L264" s="241"/>
      <c r="M264" s="241"/>
      <c r="N264" s="241"/>
      <c r="O264" s="241"/>
      <c r="P264" s="241"/>
      <c r="Q264" s="241"/>
      <c r="R264" s="241"/>
      <c r="S264" s="241"/>
      <c r="T264" s="241"/>
      <c r="U264" s="241"/>
      <c r="V264" s="241"/>
      <c r="W264" s="241"/>
      <c r="X264" s="241"/>
      <c r="Y264" s="241"/>
      <c r="Z264" s="241"/>
      <c r="AA264" s="241"/>
      <c r="AB264" s="241"/>
      <c r="AC264" s="241"/>
      <c r="AD264" s="241"/>
      <c r="AE264" s="241"/>
      <c r="AF264" s="241"/>
      <c r="AG264" s="241"/>
      <c r="AH264" s="241"/>
      <c r="AI264" s="241"/>
      <c r="AJ264" s="241"/>
      <c r="AK264" s="241"/>
      <c r="AL264" s="241"/>
      <c r="AM264" s="241"/>
      <c r="AN264" s="241"/>
      <c r="AO264" s="241"/>
      <c r="AP264" s="241"/>
      <c r="AQ264" s="241"/>
      <c r="AR264" s="241"/>
      <c r="AS264" s="241"/>
      <c r="AT264" s="241"/>
      <c r="AU264" s="259"/>
    </row>
    <row r="265" spans="1:47" ht="60" customHeight="1" x14ac:dyDescent="0.35">
      <c r="A265" s="256" t="s">
        <v>3882</v>
      </c>
      <c r="B265" s="234" t="s">
        <v>4014</v>
      </c>
      <c r="C265" s="235" t="s">
        <v>4015</v>
      </c>
      <c r="D265" s="238" t="s">
        <v>4016</v>
      </c>
      <c r="E265" s="239" t="s">
        <v>3512</v>
      </c>
      <c r="F265" s="242" t="s">
        <v>4017</v>
      </c>
      <c r="G265" s="245" t="str">
        <f>IF(COUNTIF(H265:AU265,"&lt;&gt;")=0,"",SUMPRODUCT(((Recommendations[ImplStatus]="Implemented")+(Recommendations[ImplStatus]="Compensated"))*ISNUMBER(MATCH(Recommendations[Id],H265:AU265,0)))/COUNTIF(H265:AU265,"&lt;&gt;"))</f>
        <v/>
      </c>
      <c r="H265" s="246"/>
      <c r="I265" s="246"/>
      <c r="J265" s="246"/>
      <c r="K265" s="246"/>
      <c r="L265" s="246"/>
      <c r="M265" s="246"/>
      <c r="N265" s="246"/>
      <c r="O265" s="246"/>
      <c r="P265" s="246"/>
      <c r="Q265" s="246"/>
      <c r="R265" s="246"/>
      <c r="S265" s="246"/>
      <c r="T265" s="246"/>
      <c r="U265" s="246"/>
      <c r="V265" s="246"/>
      <c r="W265" s="246"/>
      <c r="X265" s="246"/>
      <c r="Y265" s="246"/>
      <c r="Z265" s="246"/>
      <c r="AA265" s="246"/>
      <c r="AB265" s="246"/>
      <c r="AC265" s="246"/>
      <c r="AD265" s="246"/>
      <c r="AE265" s="246"/>
      <c r="AF265" s="246"/>
      <c r="AG265" s="246"/>
      <c r="AH265" s="246"/>
      <c r="AI265" s="246"/>
      <c r="AJ265" s="246"/>
      <c r="AK265" s="246"/>
      <c r="AL265" s="246"/>
      <c r="AM265" s="246"/>
      <c r="AN265" s="246"/>
      <c r="AO265" s="246"/>
      <c r="AP265" s="246"/>
      <c r="AQ265" s="246"/>
      <c r="AR265" s="246"/>
      <c r="AS265" s="246"/>
      <c r="AT265" s="246"/>
      <c r="AU265" s="260"/>
    </row>
    <row r="266" spans="1:47" ht="60" customHeight="1" x14ac:dyDescent="0.35">
      <c r="A266" s="256" t="s">
        <v>3882</v>
      </c>
      <c r="B266" s="234" t="s">
        <v>4014</v>
      </c>
      <c r="C266" s="235" t="s">
        <v>4018</v>
      </c>
      <c r="D266" s="238" t="s">
        <v>4019</v>
      </c>
      <c r="E266" s="239" t="s">
        <v>3512</v>
      </c>
      <c r="F266" s="242" t="s">
        <v>4017</v>
      </c>
      <c r="G266" s="245" t="str">
        <f>IF(COUNTIF(H266:AU266,"&lt;&gt;")=0,"",SUMPRODUCT(((Recommendations[ImplStatus]="Implemented")+(Recommendations[ImplStatus]="Compensated"))*ISNUMBER(MATCH(Recommendations[Id],H266:AU266,0)))/COUNTIF(H266:AU266,"&lt;&gt;"))</f>
        <v/>
      </c>
      <c r="H266" s="246"/>
      <c r="I266" s="246"/>
      <c r="J266" s="246"/>
      <c r="K266" s="246"/>
      <c r="L266" s="246"/>
      <c r="M266" s="246"/>
      <c r="N266" s="246"/>
      <c r="O266" s="246"/>
      <c r="P266" s="246"/>
      <c r="Q266" s="246"/>
      <c r="R266" s="246"/>
      <c r="S266" s="246"/>
      <c r="T266" s="246"/>
      <c r="U266" s="246"/>
      <c r="V266" s="246"/>
      <c r="W266" s="246"/>
      <c r="X266" s="246"/>
      <c r="Y266" s="246"/>
      <c r="Z266" s="246"/>
      <c r="AA266" s="246"/>
      <c r="AB266" s="246"/>
      <c r="AC266" s="246"/>
      <c r="AD266" s="246"/>
      <c r="AE266" s="246"/>
      <c r="AF266" s="246"/>
      <c r="AG266" s="246"/>
      <c r="AH266" s="246"/>
      <c r="AI266" s="246"/>
      <c r="AJ266" s="246"/>
      <c r="AK266" s="246"/>
      <c r="AL266" s="246"/>
      <c r="AM266" s="246"/>
      <c r="AN266" s="246"/>
      <c r="AO266" s="246"/>
      <c r="AP266" s="246"/>
      <c r="AQ266" s="246"/>
      <c r="AR266" s="246"/>
      <c r="AS266" s="246"/>
      <c r="AT266" s="246"/>
      <c r="AU266" s="260"/>
    </row>
    <row r="267" spans="1:47" ht="60" customHeight="1" x14ac:dyDescent="0.35">
      <c r="A267" s="256" t="s">
        <v>3882</v>
      </c>
      <c r="B267" s="234" t="s">
        <v>4014</v>
      </c>
      <c r="C267" s="235" t="s">
        <v>4020</v>
      </c>
      <c r="D267" s="238" t="s">
        <v>4021</v>
      </c>
      <c r="E267" s="239" t="s">
        <v>3512</v>
      </c>
      <c r="F267" s="242" t="s">
        <v>4017</v>
      </c>
      <c r="G267" s="245" t="str">
        <f>IF(COUNTIF(H267:AU267,"&lt;&gt;")=0,"",SUMPRODUCT(((Recommendations[ImplStatus]="Implemented")+(Recommendations[ImplStatus]="Compensated"))*ISNUMBER(MATCH(Recommendations[Id],H267:AU267,0)))/COUNTIF(H267:AU267,"&lt;&gt;"))</f>
        <v/>
      </c>
      <c r="H267" s="246"/>
      <c r="I267" s="246"/>
      <c r="J267" s="246"/>
      <c r="K267" s="246"/>
      <c r="L267" s="246"/>
      <c r="M267" s="246"/>
      <c r="N267" s="246"/>
      <c r="O267" s="246"/>
      <c r="P267" s="246"/>
      <c r="Q267" s="246"/>
      <c r="R267" s="246"/>
      <c r="S267" s="246"/>
      <c r="T267" s="246"/>
      <c r="U267" s="246"/>
      <c r="V267" s="246"/>
      <c r="W267" s="246"/>
      <c r="X267" s="246"/>
      <c r="Y267" s="246"/>
      <c r="Z267" s="246"/>
      <c r="AA267" s="246"/>
      <c r="AB267" s="246"/>
      <c r="AC267" s="246"/>
      <c r="AD267" s="246"/>
      <c r="AE267" s="246"/>
      <c r="AF267" s="246"/>
      <c r="AG267" s="246"/>
      <c r="AH267" s="246"/>
      <c r="AI267" s="246"/>
      <c r="AJ267" s="246"/>
      <c r="AK267" s="246"/>
      <c r="AL267" s="246"/>
      <c r="AM267" s="246"/>
      <c r="AN267" s="246"/>
      <c r="AO267" s="246"/>
      <c r="AP267" s="246"/>
      <c r="AQ267" s="246"/>
      <c r="AR267" s="246"/>
      <c r="AS267" s="246"/>
      <c r="AT267" s="246"/>
      <c r="AU267" s="260"/>
    </row>
    <row r="268" spans="1:47" ht="60" customHeight="1" x14ac:dyDescent="0.35">
      <c r="A268" s="256" t="s">
        <v>3882</v>
      </c>
      <c r="B268" s="234" t="s">
        <v>4014</v>
      </c>
      <c r="C268" s="235" t="s">
        <v>4022</v>
      </c>
      <c r="D268" s="238" t="s">
        <v>4023</v>
      </c>
      <c r="E268" s="239" t="s">
        <v>3512</v>
      </c>
      <c r="F268" s="242" t="s">
        <v>4017</v>
      </c>
      <c r="G268" s="245" t="str">
        <f>IF(COUNTIF(H268:AU268,"&lt;&gt;")=0,"",SUMPRODUCT(((Recommendations[ImplStatus]="Implemented")+(Recommendations[ImplStatus]="Compensated"))*ISNUMBER(MATCH(Recommendations[Id],H268:AU268,0)))/COUNTIF(H268:AU268,"&lt;&gt;"))</f>
        <v/>
      </c>
      <c r="H268" s="246"/>
      <c r="I268" s="246"/>
      <c r="J268" s="246"/>
      <c r="K268" s="246"/>
      <c r="L268" s="246"/>
      <c r="M268" s="246"/>
      <c r="N268" s="246"/>
      <c r="O268" s="246"/>
      <c r="P268" s="246"/>
      <c r="Q268" s="246"/>
      <c r="R268" s="246"/>
      <c r="S268" s="246"/>
      <c r="T268" s="246"/>
      <c r="U268" s="246"/>
      <c r="V268" s="246"/>
      <c r="W268" s="246"/>
      <c r="X268" s="246"/>
      <c r="Y268" s="246"/>
      <c r="Z268" s="246"/>
      <c r="AA268" s="246"/>
      <c r="AB268" s="246"/>
      <c r="AC268" s="246"/>
      <c r="AD268" s="246"/>
      <c r="AE268" s="246"/>
      <c r="AF268" s="246"/>
      <c r="AG268" s="246"/>
      <c r="AH268" s="246"/>
      <c r="AI268" s="246"/>
      <c r="AJ268" s="246"/>
      <c r="AK268" s="246"/>
      <c r="AL268" s="246"/>
      <c r="AM268" s="246"/>
      <c r="AN268" s="246"/>
      <c r="AO268" s="246"/>
      <c r="AP268" s="246"/>
      <c r="AQ268" s="246"/>
      <c r="AR268" s="246"/>
      <c r="AS268" s="246"/>
      <c r="AT268" s="246"/>
      <c r="AU268" s="260"/>
    </row>
    <row r="269" spans="1:47" ht="60" customHeight="1" x14ac:dyDescent="0.35">
      <c r="A269" s="256" t="s">
        <v>3882</v>
      </c>
      <c r="B269" s="234" t="s">
        <v>4014</v>
      </c>
      <c r="C269" s="235" t="s">
        <v>4024</v>
      </c>
      <c r="D269" s="238" t="s">
        <v>4025</v>
      </c>
      <c r="E269" s="239" t="s">
        <v>3512</v>
      </c>
      <c r="F269" s="242" t="s">
        <v>4017</v>
      </c>
      <c r="G269" s="245" t="str">
        <f>IF(COUNTIF(H269:AU269,"&lt;&gt;")=0,"",SUMPRODUCT(((Recommendations[ImplStatus]="Implemented")+(Recommendations[ImplStatus]="Compensated"))*ISNUMBER(MATCH(Recommendations[Id],H269:AU269,0)))/COUNTIF(H269:AU269,"&lt;&gt;"))</f>
        <v/>
      </c>
      <c r="H269" s="246"/>
      <c r="I269" s="246"/>
      <c r="J269" s="246"/>
      <c r="K269" s="246"/>
      <c r="L269" s="246"/>
      <c r="M269" s="246"/>
      <c r="N269" s="246"/>
      <c r="O269" s="246"/>
      <c r="P269" s="246"/>
      <c r="Q269" s="246"/>
      <c r="R269" s="246"/>
      <c r="S269" s="246"/>
      <c r="T269" s="246"/>
      <c r="U269" s="246"/>
      <c r="V269" s="246"/>
      <c r="W269" s="246"/>
      <c r="X269" s="246"/>
      <c r="Y269" s="246"/>
      <c r="Z269" s="246"/>
      <c r="AA269" s="246"/>
      <c r="AB269" s="246"/>
      <c r="AC269" s="246"/>
      <c r="AD269" s="246"/>
      <c r="AE269" s="246"/>
      <c r="AF269" s="246"/>
      <c r="AG269" s="246"/>
      <c r="AH269" s="246"/>
      <c r="AI269" s="246"/>
      <c r="AJ269" s="246"/>
      <c r="AK269" s="246"/>
      <c r="AL269" s="246"/>
      <c r="AM269" s="246"/>
      <c r="AN269" s="246"/>
      <c r="AO269" s="246"/>
      <c r="AP269" s="246"/>
      <c r="AQ269" s="246"/>
      <c r="AR269" s="246"/>
      <c r="AS269" s="246"/>
      <c r="AT269" s="246"/>
      <c r="AU269" s="260"/>
    </row>
    <row r="270" spans="1:47" ht="60" customHeight="1" x14ac:dyDescent="0.35">
      <c r="A270" s="256" t="s">
        <v>3882</v>
      </c>
      <c r="B270" s="234" t="s">
        <v>4014</v>
      </c>
      <c r="C270" s="235" t="s">
        <v>4026</v>
      </c>
      <c r="D270" s="238" t="s">
        <v>4027</v>
      </c>
      <c r="E270" s="239" t="s">
        <v>3512</v>
      </c>
      <c r="F270" s="242" t="s">
        <v>4017</v>
      </c>
      <c r="G270" s="245" t="str">
        <f>IF(COUNTIF(H270:AU270,"&lt;&gt;")=0,"",SUMPRODUCT(((Recommendations[ImplStatus]="Implemented")+(Recommendations[ImplStatus]="Compensated"))*ISNUMBER(MATCH(Recommendations[Id],H270:AU270,0)))/COUNTIF(H270:AU270,"&lt;&gt;"))</f>
        <v/>
      </c>
      <c r="H270" s="246"/>
      <c r="I270" s="246"/>
      <c r="J270" s="246"/>
      <c r="K270" s="246"/>
      <c r="L270" s="246"/>
      <c r="M270" s="246"/>
      <c r="N270" s="246"/>
      <c r="O270" s="246"/>
      <c r="P270" s="246"/>
      <c r="Q270" s="246"/>
      <c r="R270" s="246"/>
      <c r="S270" s="246"/>
      <c r="T270" s="246"/>
      <c r="U270" s="246"/>
      <c r="V270" s="246"/>
      <c r="W270" s="246"/>
      <c r="X270" s="246"/>
      <c r="Y270" s="246"/>
      <c r="Z270" s="246"/>
      <c r="AA270" s="246"/>
      <c r="AB270" s="246"/>
      <c r="AC270" s="246"/>
      <c r="AD270" s="246"/>
      <c r="AE270" s="246"/>
      <c r="AF270" s="246"/>
      <c r="AG270" s="246"/>
      <c r="AH270" s="246"/>
      <c r="AI270" s="246"/>
      <c r="AJ270" s="246"/>
      <c r="AK270" s="246"/>
      <c r="AL270" s="246"/>
      <c r="AM270" s="246"/>
      <c r="AN270" s="246"/>
      <c r="AO270" s="246"/>
      <c r="AP270" s="246"/>
      <c r="AQ270" s="246"/>
      <c r="AR270" s="246"/>
      <c r="AS270" s="246"/>
      <c r="AT270" s="246"/>
      <c r="AU270" s="260"/>
    </row>
    <row r="271" spans="1:47" ht="60" customHeight="1" x14ac:dyDescent="0.35">
      <c r="A271" s="256" t="s">
        <v>3882</v>
      </c>
      <c r="B271" s="234" t="s">
        <v>4014</v>
      </c>
      <c r="C271" s="235" t="s">
        <v>4028</v>
      </c>
      <c r="D271" s="238" t="s">
        <v>4029</v>
      </c>
      <c r="E271" s="239" t="s">
        <v>3512</v>
      </c>
      <c r="F271" s="242" t="s">
        <v>4017</v>
      </c>
      <c r="G271" s="245" t="str">
        <f>IF(COUNTIF(H271:AU271,"&lt;&gt;")=0,"",SUMPRODUCT(((Recommendations[ImplStatus]="Implemented")+(Recommendations[ImplStatus]="Compensated"))*ISNUMBER(MATCH(Recommendations[Id],H271:AU271,0)))/COUNTIF(H271:AU271,"&lt;&gt;"))</f>
        <v/>
      </c>
      <c r="H271" s="246"/>
      <c r="I271" s="246"/>
      <c r="J271" s="246"/>
      <c r="K271" s="246"/>
      <c r="L271" s="246"/>
      <c r="M271" s="246"/>
      <c r="N271" s="246"/>
      <c r="O271" s="246"/>
      <c r="P271" s="246"/>
      <c r="Q271" s="246"/>
      <c r="R271" s="246"/>
      <c r="S271" s="246"/>
      <c r="T271" s="246"/>
      <c r="U271" s="246"/>
      <c r="V271" s="246"/>
      <c r="W271" s="246"/>
      <c r="X271" s="246"/>
      <c r="Y271" s="246"/>
      <c r="Z271" s="246"/>
      <c r="AA271" s="246"/>
      <c r="AB271" s="246"/>
      <c r="AC271" s="246"/>
      <c r="AD271" s="246"/>
      <c r="AE271" s="246"/>
      <c r="AF271" s="246"/>
      <c r="AG271" s="246"/>
      <c r="AH271" s="246"/>
      <c r="AI271" s="246"/>
      <c r="AJ271" s="246"/>
      <c r="AK271" s="246"/>
      <c r="AL271" s="246"/>
      <c r="AM271" s="246"/>
      <c r="AN271" s="246"/>
      <c r="AO271" s="246"/>
      <c r="AP271" s="246"/>
      <c r="AQ271" s="246"/>
      <c r="AR271" s="246"/>
      <c r="AS271" s="246"/>
      <c r="AT271" s="246"/>
      <c r="AU271" s="260"/>
    </row>
    <row r="272" spans="1:47" ht="60" customHeight="1" x14ac:dyDescent="0.35">
      <c r="A272" s="256" t="s">
        <v>3882</v>
      </c>
      <c r="B272" s="234" t="s">
        <v>4014</v>
      </c>
      <c r="C272" s="235" t="s">
        <v>4030</v>
      </c>
      <c r="D272" s="238" t="s">
        <v>4031</v>
      </c>
      <c r="E272" s="239" t="s">
        <v>3512</v>
      </c>
      <c r="F272" s="242" t="s">
        <v>4017</v>
      </c>
      <c r="G272" s="245" t="str">
        <f>IF(COUNTIF(H272:AU272,"&lt;&gt;")=0,"",SUMPRODUCT(((Recommendations[ImplStatus]="Implemented")+(Recommendations[ImplStatus]="Compensated"))*ISNUMBER(MATCH(Recommendations[Id],H272:AU272,0)))/COUNTIF(H272:AU272,"&lt;&gt;"))</f>
        <v/>
      </c>
      <c r="H272" s="246"/>
      <c r="I272" s="246"/>
      <c r="J272" s="246"/>
      <c r="K272" s="246"/>
      <c r="L272" s="246"/>
      <c r="M272" s="246"/>
      <c r="N272" s="246"/>
      <c r="O272" s="246"/>
      <c r="P272" s="246"/>
      <c r="Q272" s="246"/>
      <c r="R272" s="246"/>
      <c r="S272" s="246"/>
      <c r="T272" s="246"/>
      <c r="U272" s="246"/>
      <c r="V272" s="246"/>
      <c r="W272" s="246"/>
      <c r="X272" s="246"/>
      <c r="Y272" s="246"/>
      <c r="Z272" s="246"/>
      <c r="AA272" s="246"/>
      <c r="AB272" s="246"/>
      <c r="AC272" s="246"/>
      <c r="AD272" s="246"/>
      <c r="AE272" s="246"/>
      <c r="AF272" s="246"/>
      <c r="AG272" s="246"/>
      <c r="AH272" s="246"/>
      <c r="AI272" s="246"/>
      <c r="AJ272" s="246"/>
      <c r="AK272" s="246"/>
      <c r="AL272" s="246"/>
      <c r="AM272" s="246"/>
      <c r="AN272" s="246"/>
      <c r="AO272" s="246"/>
      <c r="AP272" s="246"/>
      <c r="AQ272" s="246"/>
      <c r="AR272" s="246"/>
      <c r="AS272" s="246"/>
      <c r="AT272" s="246"/>
      <c r="AU272" s="260"/>
    </row>
    <row r="273" spans="1:47" ht="60" customHeight="1" x14ac:dyDescent="0.35">
      <c r="A273" s="256" t="s">
        <v>3882</v>
      </c>
      <c r="B273" s="234" t="s">
        <v>4014</v>
      </c>
      <c r="C273" s="235" t="s">
        <v>4032</v>
      </c>
      <c r="D273" s="238" t="s">
        <v>4033</v>
      </c>
      <c r="E273" s="239" t="s">
        <v>3512</v>
      </c>
      <c r="F273" s="242" t="s">
        <v>4017</v>
      </c>
      <c r="G273" s="245" t="str">
        <f>IF(COUNTIF(H273:AU273,"&lt;&gt;")=0,"",SUMPRODUCT(((Recommendations[ImplStatus]="Implemented")+(Recommendations[ImplStatus]="Compensated"))*ISNUMBER(MATCH(Recommendations[Id],H273:AU273,0)))/COUNTIF(H273:AU273,"&lt;&gt;"))</f>
        <v/>
      </c>
      <c r="H273" s="246"/>
      <c r="I273" s="246"/>
      <c r="J273" s="246"/>
      <c r="K273" s="246"/>
      <c r="L273" s="246"/>
      <c r="M273" s="246"/>
      <c r="N273" s="246"/>
      <c r="O273" s="246"/>
      <c r="P273" s="246"/>
      <c r="Q273" s="246"/>
      <c r="R273" s="246"/>
      <c r="S273" s="246"/>
      <c r="T273" s="246"/>
      <c r="U273" s="246"/>
      <c r="V273" s="246"/>
      <c r="W273" s="246"/>
      <c r="X273" s="246"/>
      <c r="Y273" s="246"/>
      <c r="Z273" s="246"/>
      <c r="AA273" s="246"/>
      <c r="AB273" s="246"/>
      <c r="AC273" s="246"/>
      <c r="AD273" s="246"/>
      <c r="AE273" s="246"/>
      <c r="AF273" s="246"/>
      <c r="AG273" s="246"/>
      <c r="AH273" s="246"/>
      <c r="AI273" s="246"/>
      <c r="AJ273" s="246"/>
      <c r="AK273" s="246"/>
      <c r="AL273" s="246"/>
      <c r="AM273" s="246"/>
      <c r="AN273" s="246"/>
      <c r="AO273" s="246"/>
      <c r="AP273" s="246"/>
      <c r="AQ273" s="246"/>
      <c r="AR273" s="246"/>
      <c r="AS273" s="246"/>
      <c r="AT273" s="246"/>
      <c r="AU273" s="260"/>
    </row>
    <row r="274" spans="1:47" ht="60" customHeight="1" outlineLevel="1" x14ac:dyDescent="0.35">
      <c r="A274" s="254" t="s">
        <v>4034</v>
      </c>
      <c r="B274" s="232"/>
      <c r="C274" s="232"/>
      <c r="D274" s="236"/>
      <c r="E274" s="232"/>
      <c r="F274" s="240"/>
      <c r="G274" s="243" t="str">
        <f>IF(COUNTIF(H274:AU274,"&lt;&gt;")=0,"",SUMPRODUCT(((Recommendations[ImplStatus]="Implemented")+(Recommendations[ImplStatus]="Compensated"))*ISNUMBER(MATCH(Recommendations[Id],H274:AU274,0)))/COUNTIF(H274:AU274,"&lt;&gt;"))</f>
        <v/>
      </c>
      <c r="H274" s="240"/>
      <c r="I274" s="240"/>
      <c r="J274" s="240"/>
      <c r="K274" s="240"/>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58"/>
    </row>
    <row r="275" spans="1:47" ht="60" customHeight="1" outlineLevel="2" x14ac:dyDescent="0.35">
      <c r="A275" s="255" t="s">
        <v>4034</v>
      </c>
      <c r="B275" s="233" t="s">
        <v>4035</v>
      </c>
      <c r="C275" s="233"/>
      <c r="D275" s="237"/>
      <c r="E275" s="233"/>
      <c r="F275" s="241"/>
      <c r="G275" s="244" t="str">
        <f>IF(COUNTIF(H275:AU275,"&lt;&gt;")=0,"",SUMPRODUCT(((Recommendations[ImplStatus]="Implemented")+(Recommendations[ImplStatus]="Compensated"))*ISNUMBER(MATCH(Recommendations[Id],H275:AU275,0)))/COUNTIF(H275:AU275,"&lt;&gt;"))</f>
        <v/>
      </c>
      <c r="H275" s="241"/>
      <c r="I275" s="241"/>
      <c r="J275" s="241"/>
      <c r="K275" s="241"/>
      <c r="L275" s="241"/>
      <c r="M275" s="241"/>
      <c r="N275" s="241"/>
      <c r="O275" s="241"/>
      <c r="P275" s="241"/>
      <c r="Q275" s="241"/>
      <c r="R275" s="241"/>
      <c r="S275" s="241"/>
      <c r="T275" s="241"/>
      <c r="U275" s="241"/>
      <c r="V275" s="241"/>
      <c r="W275" s="241"/>
      <c r="X275" s="241"/>
      <c r="Y275" s="241"/>
      <c r="Z275" s="241"/>
      <c r="AA275" s="241"/>
      <c r="AB275" s="241"/>
      <c r="AC275" s="241"/>
      <c r="AD275" s="241"/>
      <c r="AE275" s="241"/>
      <c r="AF275" s="241"/>
      <c r="AG275" s="241"/>
      <c r="AH275" s="241"/>
      <c r="AI275" s="241"/>
      <c r="AJ275" s="241"/>
      <c r="AK275" s="241"/>
      <c r="AL275" s="241"/>
      <c r="AM275" s="241"/>
      <c r="AN275" s="241"/>
      <c r="AO275" s="241"/>
      <c r="AP275" s="241"/>
      <c r="AQ275" s="241"/>
      <c r="AR275" s="241"/>
      <c r="AS275" s="241"/>
      <c r="AT275" s="241"/>
      <c r="AU275" s="259"/>
    </row>
    <row r="276" spans="1:47" ht="60" customHeight="1" x14ac:dyDescent="0.35">
      <c r="A276" s="256" t="s">
        <v>4034</v>
      </c>
      <c r="B276" s="234" t="s">
        <v>4035</v>
      </c>
      <c r="C276" s="235" t="s">
        <v>4036</v>
      </c>
      <c r="D276" s="238" t="s">
        <v>4037</v>
      </c>
      <c r="E276" s="239" t="s">
        <v>3483</v>
      </c>
      <c r="F276" s="242" t="s">
        <v>4038</v>
      </c>
      <c r="G276" s="245" t="str">
        <f>IF(COUNTIF(H276:AU276,"&lt;&gt;")=0,"",SUMPRODUCT(((Recommendations[ImplStatus]="Implemented")+(Recommendations[ImplStatus]="Compensated"))*ISNUMBER(MATCH(Recommendations[Id],H276:AU276,0)))/COUNTIF(H276:AU276,"&lt;&gt;"))</f>
        <v/>
      </c>
      <c r="H276" s="246"/>
      <c r="I276" s="246"/>
      <c r="J276" s="246"/>
      <c r="K276" s="246"/>
      <c r="L276" s="246"/>
      <c r="M276" s="246"/>
      <c r="N276" s="246"/>
      <c r="O276" s="246"/>
      <c r="P276" s="246"/>
      <c r="Q276" s="246"/>
      <c r="R276" s="246"/>
      <c r="S276" s="246"/>
      <c r="T276" s="246"/>
      <c r="U276" s="246"/>
      <c r="V276" s="246"/>
      <c r="W276" s="246"/>
      <c r="X276" s="246"/>
      <c r="Y276" s="246"/>
      <c r="Z276" s="246"/>
      <c r="AA276" s="246"/>
      <c r="AB276" s="246"/>
      <c r="AC276" s="246"/>
      <c r="AD276" s="246"/>
      <c r="AE276" s="246"/>
      <c r="AF276" s="246"/>
      <c r="AG276" s="246"/>
      <c r="AH276" s="246"/>
      <c r="AI276" s="246"/>
      <c r="AJ276" s="246"/>
      <c r="AK276" s="246"/>
      <c r="AL276" s="246"/>
      <c r="AM276" s="246"/>
      <c r="AN276" s="246"/>
      <c r="AO276" s="246"/>
      <c r="AP276" s="246"/>
      <c r="AQ276" s="246"/>
      <c r="AR276" s="246"/>
      <c r="AS276" s="246"/>
      <c r="AT276" s="246"/>
      <c r="AU276" s="260"/>
    </row>
    <row r="277" spans="1:47" ht="60" customHeight="1" x14ac:dyDescent="0.35">
      <c r="A277" s="256" t="s">
        <v>4034</v>
      </c>
      <c r="B277" s="234" t="s">
        <v>4035</v>
      </c>
      <c r="C277" s="235" t="s">
        <v>4039</v>
      </c>
      <c r="D277" s="238" t="s">
        <v>4040</v>
      </c>
      <c r="E277" s="239" t="s">
        <v>3483</v>
      </c>
      <c r="F277" s="242" t="s">
        <v>4038</v>
      </c>
      <c r="G277" s="245" t="str">
        <f>IF(COUNTIF(H277:AU277,"&lt;&gt;")=0,"",SUMPRODUCT(((Recommendations[ImplStatus]="Implemented")+(Recommendations[ImplStatus]="Compensated"))*ISNUMBER(MATCH(Recommendations[Id],H277:AU277,0)))/COUNTIF(H277:AU277,"&lt;&gt;"))</f>
        <v/>
      </c>
      <c r="H277" s="246"/>
      <c r="I277" s="246"/>
      <c r="J277" s="246"/>
      <c r="K277" s="246"/>
      <c r="L277" s="246"/>
      <c r="M277" s="246"/>
      <c r="N277" s="246"/>
      <c r="O277" s="246"/>
      <c r="P277" s="246"/>
      <c r="Q277" s="246"/>
      <c r="R277" s="246"/>
      <c r="S277" s="246"/>
      <c r="T277" s="246"/>
      <c r="U277" s="246"/>
      <c r="V277" s="246"/>
      <c r="W277" s="246"/>
      <c r="X277" s="246"/>
      <c r="Y277" s="246"/>
      <c r="Z277" s="246"/>
      <c r="AA277" s="246"/>
      <c r="AB277" s="246"/>
      <c r="AC277" s="246"/>
      <c r="AD277" s="246"/>
      <c r="AE277" s="246"/>
      <c r="AF277" s="246"/>
      <c r="AG277" s="246"/>
      <c r="AH277" s="246"/>
      <c r="AI277" s="246"/>
      <c r="AJ277" s="246"/>
      <c r="AK277" s="246"/>
      <c r="AL277" s="246"/>
      <c r="AM277" s="246"/>
      <c r="AN277" s="246"/>
      <c r="AO277" s="246"/>
      <c r="AP277" s="246"/>
      <c r="AQ277" s="246"/>
      <c r="AR277" s="246"/>
      <c r="AS277" s="246"/>
      <c r="AT277" s="246"/>
      <c r="AU277" s="260"/>
    </row>
    <row r="278" spans="1:47" ht="60" customHeight="1" x14ac:dyDescent="0.35">
      <c r="A278" s="256" t="s">
        <v>4034</v>
      </c>
      <c r="B278" s="234" t="s">
        <v>4035</v>
      </c>
      <c r="C278" s="235" t="s">
        <v>4041</v>
      </c>
      <c r="D278" s="238" t="s">
        <v>4042</v>
      </c>
      <c r="E278" s="239" t="s">
        <v>3483</v>
      </c>
      <c r="F278" s="242" t="s">
        <v>4038</v>
      </c>
      <c r="G278" s="245" t="str">
        <f>IF(COUNTIF(H278:AU278,"&lt;&gt;")=0,"",SUMPRODUCT(((Recommendations[ImplStatus]="Implemented")+(Recommendations[ImplStatus]="Compensated"))*ISNUMBER(MATCH(Recommendations[Id],H278:AU278,0)))/COUNTIF(H278:AU278,"&lt;&gt;"))</f>
        <v/>
      </c>
      <c r="H278" s="246"/>
      <c r="I278" s="246"/>
      <c r="J278" s="246"/>
      <c r="K278" s="246"/>
      <c r="L278" s="246"/>
      <c r="M278" s="246"/>
      <c r="N278" s="246"/>
      <c r="O278" s="246"/>
      <c r="P278" s="246"/>
      <c r="Q278" s="246"/>
      <c r="R278" s="246"/>
      <c r="S278" s="246"/>
      <c r="T278" s="246"/>
      <c r="U278" s="246"/>
      <c r="V278" s="246"/>
      <c r="W278" s="246"/>
      <c r="X278" s="246"/>
      <c r="Y278" s="246"/>
      <c r="Z278" s="246"/>
      <c r="AA278" s="246"/>
      <c r="AB278" s="246"/>
      <c r="AC278" s="246"/>
      <c r="AD278" s="246"/>
      <c r="AE278" s="246"/>
      <c r="AF278" s="246"/>
      <c r="AG278" s="246"/>
      <c r="AH278" s="246"/>
      <c r="AI278" s="246"/>
      <c r="AJ278" s="246"/>
      <c r="AK278" s="246"/>
      <c r="AL278" s="246"/>
      <c r="AM278" s="246"/>
      <c r="AN278" s="246"/>
      <c r="AO278" s="246"/>
      <c r="AP278" s="246"/>
      <c r="AQ278" s="246"/>
      <c r="AR278" s="246"/>
      <c r="AS278" s="246"/>
      <c r="AT278" s="246"/>
      <c r="AU278" s="260"/>
    </row>
    <row r="279" spans="1:47" ht="60" customHeight="1" x14ac:dyDescent="0.35">
      <c r="A279" s="256" t="s">
        <v>4034</v>
      </c>
      <c r="B279" s="234" t="s">
        <v>4035</v>
      </c>
      <c r="C279" s="235" t="s">
        <v>4043</v>
      </c>
      <c r="D279" s="238" t="s">
        <v>4044</v>
      </c>
      <c r="E279" s="239" t="s">
        <v>3483</v>
      </c>
      <c r="F279" s="242" t="s">
        <v>4038</v>
      </c>
      <c r="G279" s="245" t="str">
        <f>IF(COUNTIF(H279:AU279,"&lt;&gt;")=0,"",SUMPRODUCT(((Recommendations[ImplStatus]="Implemented")+(Recommendations[ImplStatus]="Compensated"))*ISNUMBER(MATCH(Recommendations[Id],H279:AU279,0)))/COUNTIF(H279:AU279,"&lt;&gt;"))</f>
        <v/>
      </c>
      <c r="H279" s="246"/>
      <c r="I279" s="246"/>
      <c r="J279" s="246"/>
      <c r="K279" s="246"/>
      <c r="L279" s="246"/>
      <c r="M279" s="246"/>
      <c r="N279" s="246"/>
      <c r="O279" s="246"/>
      <c r="P279" s="246"/>
      <c r="Q279" s="246"/>
      <c r="R279" s="246"/>
      <c r="S279" s="246"/>
      <c r="T279" s="246"/>
      <c r="U279" s="246"/>
      <c r="V279" s="246"/>
      <c r="W279" s="246"/>
      <c r="X279" s="246"/>
      <c r="Y279" s="246"/>
      <c r="Z279" s="246"/>
      <c r="AA279" s="246"/>
      <c r="AB279" s="246"/>
      <c r="AC279" s="246"/>
      <c r="AD279" s="246"/>
      <c r="AE279" s="246"/>
      <c r="AF279" s="246"/>
      <c r="AG279" s="246"/>
      <c r="AH279" s="246"/>
      <c r="AI279" s="246"/>
      <c r="AJ279" s="246"/>
      <c r="AK279" s="246"/>
      <c r="AL279" s="246"/>
      <c r="AM279" s="246"/>
      <c r="AN279" s="246"/>
      <c r="AO279" s="246"/>
      <c r="AP279" s="246"/>
      <c r="AQ279" s="246"/>
      <c r="AR279" s="246"/>
      <c r="AS279" s="246"/>
      <c r="AT279" s="246"/>
      <c r="AU279" s="260"/>
    </row>
    <row r="280" spans="1:47" ht="60" customHeight="1" x14ac:dyDescent="0.35">
      <c r="A280" s="256" t="s">
        <v>4034</v>
      </c>
      <c r="B280" s="234" t="s">
        <v>4035</v>
      </c>
      <c r="C280" s="235" t="s">
        <v>4045</v>
      </c>
      <c r="D280" s="238" t="s">
        <v>4046</v>
      </c>
      <c r="E280" s="239" t="s">
        <v>3483</v>
      </c>
      <c r="F280" s="242" t="s">
        <v>4038</v>
      </c>
      <c r="G280" s="245" t="str">
        <f>IF(COUNTIF(H280:AU280,"&lt;&gt;")=0,"",SUMPRODUCT(((Recommendations[ImplStatus]="Implemented")+(Recommendations[ImplStatus]="Compensated"))*ISNUMBER(MATCH(Recommendations[Id],H280:AU280,0)))/COUNTIF(H280:AU280,"&lt;&gt;"))</f>
        <v/>
      </c>
      <c r="H280" s="246"/>
      <c r="I280" s="246"/>
      <c r="J280" s="246"/>
      <c r="K280" s="246"/>
      <c r="L280" s="246"/>
      <c r="M280" s="246"/>
      <c r="N280" s="246"/>
      <c r="O280" s="246"/>
      <c r="P280" s="246"/>
      <c r="Q280" s="246"/>
      <c r="R280" s="246"/>
      <c r="S280" s="246"/>
      <c r="T280" s="246"/>
      <c r="U280" s="246"/>
      <c r="V280" s="246"/>
      <c r="W280" s="246"/>
      <c r="X280" s="246"/>
      <c r="Y280" s="246"/>
      <c r="Z280" s="246"/>
      <c r="AA280" s="246"/>
      <c r="AB280" s="246"/>
      <c r="AC280" s="246"/>
      <c r="AD280" s="246"/>
      <c r="AE280" s="246"/>
      <c r="AF280" s="246"/>
      <c r="AG280" s="246"/>
      <c r="AH280" s="246"/>
      <c r="AI280" s="246"/>
      <c r="AJ280" s="246"/>
      <c r="AK280" s="246"/>
      <c r="AL280" s="246"/>
      <c r="AM280" s="246"/>
      <c r="AN280" s="246"/>
      <c r="AO280" s="246"/>
      <c r="AP280" s="246"/>
      <c r="AQ280" s="246"/>
      <c r="AR280" s="246"/>
      <c r="AS280" s="246"/>
      <c r="AT280" s="246"/>
      <c r="AU280" s="260"/>
    </row>
    <row r="281" spans="1:47" ht="60" customHeight="1" x14ac:dyDescent="0.35">
      <c r="A281" s="256" t="s">
        <v>4034</v>
      </c>
      <c r="B281" s="234" t="s">
        <v>4035</v>
      </c>
      <c r="C281" s="235" t="s">
        <v>4047</v>
      </c>
      <c r="D281" s="238" t="s">
        <v>4048</v>
      </c>
      <c r="E281" s="239" t="s">
        <v>3483</v>
      </c>
      <c r="F281" s="242" t="s">
        <v>4038</v>
      </c>
      <c r="G281" s="245" t="str">
        <f>IF(COUNTIF(H281:AU281,"&lt;&gt;")=0,"",SUMPRODUCT(((Recommendations[ImplStatus]="Implemented")+(Recommendations[ImplStatus]="Compensated"))*ISNUMBER(MATCH(Recommendations[Id],H281:AU281,0)))/COUNTIF(H281:AU281,"&lt;&gt;"))</f>
        <v/>
      </c>
      <c r="H281" s="246"/>
      <c r="I281" s="246"/>
      <c r="J281" s="246"/>
      <c r="K281" s="246"/>
      <c r="L281" s="246"/>
      <c r="M281" s="246"/>
      <c r="N281" s="246"/>
      <c r="O281" s="246"/>
      <c r="P281" s="246"/>
      <c r="Q281" s="246"/>
      <c r="R281" s="246"/>
      <c r="S281" s="246"/>
      <c r="T281" s="246"/>
      <c r="U281" s="246"/>
      <c r="V281" s="246"/>
      <c r="W281" s="246"/>
      <c r="X281" s="246"/>
      <c r="Y281" s="246"/>
      <c r="Z281" s="246"/>
      <c r="AA281" s="246"/>
      <c r="AB281" s="246"/>
      <c r="AC281" s="246"/>
      <c r="AD281" s="246"/>
      <c r="AE281" s="246"/>
      <c r="AF281" s="246"/>
      <c r="AG281" s="246"/>
      <c r="AH281" s="246"/>
      <c r="AI281" s="246"/>
      <c r="AJ281" s="246"/>
      <c r="AK281" s="246"/>
      <c r="AL281" s="246"/>
      <c r="AM281" s="246"/>
      <c r="AN281" s="246"/>
      <c r="AO281" s="246"/>
      <c r="AP281" s="246"/>
      <c r="AQ281" s="246"/>
      <c r="AR281" s="246"/>
      <c r="AS281" s="246"/>
      <c r="AT281" s="246"/>
      <c r="AU281" s="260"/>
    </row>
    <row r="282" spans="1:47" ht="60" customHeight="1" x14ac:dyDescent="0.35">
      <c r="A282" s="256" t="s">
        <v>4034</v>
      </c>
      <c r="B282" s="234" t="s">
        <v>4035</v>
      </c>
      <c r="C282" s="235" t="s">
        <v>4049</v>
      </c>
      <c r="D282" s="238" t="s">
        <v>4050</v>
      </c>
      <c r="E282" s="239" t="s">
        <v>3483</v>
      </c>
      <c r="F282" s="242" t="s">
        <v>4038</v>
      </c>
      <c r="G282" s="245" t="str">
        <f>IF(COUNTIF(H282:AU282,"&lt;&gt;")=0,"",SUMPRODUCT(((Recommendations[ImplStatus]="Implemented")+(Recommendations[ImplStatus]="Compensated"))*ISNUMBER(MATCH(Recommendations[Id],H282:AU282,0)))/COUNTIF(H282:AU282,"&lt;&gt;"))</f>
        <v/>
      </c>
      <c r="H282" s="246"/>
      <c r="I282" s="246"/>
      <c r="J282" s="246"/>
      <c r="K282" s="246"/>
      <c r="L282" s="246"/>
      <c r="M282" s="246"/>
      <c r="N282" s="246"/>
      <c r="O282" s="246"/>
      <c r="P282" s="246"/>
      <c r="Q282" s="246"/>
      <c r="R282" s="246"/>
      <c r="S282" s="246"/>
      <c r="T282" s="246"/>
      <c r="U282" s="246"/>
      <c r="V282" s="246"/>
      <c r="W282" s="246"/>
      <c r="X282" s="246"/>
      <c r="Y282" s="246"/>
      <c r="Z282" s="246"/>
      <c r="AA282" s="246"/>
      <c r="AB282" s="246"/>
      <c r="AC282" s="246"/>
      <c r="AD282" s="246"/>
      <c r="AE282" s="246"/>
      <c r="AF282" s="246"/>
      <c r="AG282" s="246"/>
      <c r="AH282" s="246"/>
      <c r="AI282" s="246"/>
      <c r="AJ282" s="246"/>
      <c r="AK282" s="246"/>
      <c r="AL282" s="246"/>
      <c r="AM282" s="246"/>
      <c r="AN282" s="246"/>
      <c r="AO282" s="246"/>
      <c r="AP282" s="246"/>
      <c r="AQ282" s="246"/>
      <c r="AR282" s="246"/>
      <c r="AS282" s="246"/>
      <c r="AT282" s="246"/>
      <c r="AU282" s="260"/>
    </row>
    <row r="283" spans="1:47" ht="60" customHeight="1" x14ac:dyDescent="0.35">
      <c r="A283" s="256" t="s">
        <v>4034</v>
      </c>
      <c r="B283" s="234" t="s">
        <v>4035</v>
      </c>
      <c r="C283" s="235" t="s">
        <v>4051</v>
      </c>
      <c r="D283" s="238" t="s">
        <v>4052</v>
      </c>
      <c r="E283" s="239" t="s">
        <v>3579</v>
      </c>
      <c r="F283" s="242" t="s">
        <v>4053</v>
      </c>
      <c r="G283" s="245">
        <f>IF(COUNTIF(H283:AU283,"&lt;&gt;")=0,"",SUMPRODUCT(((Recommendations[ImplStatus]="Implemented")+(Recommendations[ImplStatus]="Compensated"))*ISNUMBER(MATCH(Recommendations[Id],H283:AU283,0)))/COUNTIF(H283:AU283,"&lt;&gt;"))</f>
        <v>0</v>
      </c>
      <c r="H283" s="246" t="s">
        <v>28</v>
      </c>
      <c r="I283" s="246"/>
      <c r="J283" s="246"/>
      <c r="K283" s="246"/>
      <c r="L283" s="246"/>
      <c r="M283" s="246"/>
      <c r="N283" s="246"/>
      <c r="O283" s="246"/>
      <c r="P283" s="246"/>
      <c r="Q283" s="246"/>
      <c r="R283" s="246"/>
      <c r="S283" s="246"/>
      <c r="T283" s="246"/>
      <c r="U283" s="246"/>
      <c r="V283" s="246"/>
      <c r="W283" s="246"/>
      <c r="X283" s="246"/>
      <c r="Y283" s="246"/>
      <c r="Z283" s="246"/>
      <c r="AA283" s="246"/>
      <c r="AB283" s="246"/>
      <c r="AC283" s="246"/>
      <c r="AD283" s="246"/>
      <c r="AE283" s="246"/>
      <c r="AF283" s="246"/>
      <c r="AG283" s="246"/>
      <c r="AH283" s="246"/>
      <c r="AI283" s="246"/>
      <c r="AJ283" s="246"/>
      <c r="AK283" s="246"/>
      <c r="AL283" s="246"/>
      <c r="AM283" s="246"/>
      <c r="AN283" s="246"/>
      <c r="AO283" s="246"/>
      <c r="AP283" s="246"/>
      <c r="AQ283" s="246"/>
      <c r="AR283" s="246"/>
      <c r="AS283" s="246"/>
      <c r="AT283" s="246"/>
      <c r="AU283" s="260"/>
    </row>
    <row r="284" spans="1:47" ht="60" customHeight="1" x14ac:dyDescent="0.35">
      <c r="A284" s="256" t="s">
        <v>4034</v>
      </c>
      <c r="B284" s="234" t="s">
        <v>4035</v>
      </c>
      <c r="C284" s="235" t="s">
        <v>4054</v>
      </c>
      <c r="D284" s="238" t="s">
        <v>4055</v>
      </c>
      <c r="E284" s="239" t="s">
        <v>3579</v>
      </c>
      <c r="F284" s="242" t="s">
        <v>4053</v>
      </c>
      <c r="G284" s="245" t="str">
        <f>IF(COUNTIF(H284:AU284,"&lt;&gt;")=0,"",SUMPRODUCT(((Recommendations[ImplStatus]="Implemented")+(Recommendations[ImplStatus]="Compensated"))*ISNUMBER(MATCH(Recommendations[Id],H284:AU284,0)))/COUNTIF(H284:AU284,"&lt;&gt;"))</f>
        <v/>
      </c>
      <c r="H284" s="246"/>
      <c r="I284" s="246"/>
      <c r="J284" s="246"/>
      <c r="K284" s="246"/>
      <c r="L284" s="246"/>
      <c r="M284" s="246"/>
      <c r="N284" s="246"/>
      <c r="O284" s="246"/>
      <c r="P284" s="246"/>
      <c r="Q284" s="246"/>
      <c r="R284" s="246"/>
      <c r="S284" s="246"/>
      <c r="T284" s="246"/>
      <c r="U284" s="246"/>
      <c r="V284" s="246"/>
      <c r="W284" s="246"/>
      <c r="X284" s="246"/>
      <c r="Y284" s="246"/>
      <c r="Z284" s="246"/>
      <c r="AA284" s="246"/>
      <c r="AB284" s="246"/>
      <c r="AC284" s="246"/>
      <c r="AD284" s="246"/>
      <c r="AE284" s="246"/>
      <c r="AF284" s="246"/>
      <c r="AG284" s="246"/>
      <c r="AH284" s="246"/>
      <c r="AI284" s="246"/>
      <c r="AJ284" s="246"/>
      <c r="AK284" s="246"/>
      <c r="AL284" s="246"/>
      <c r="AM284" s="246"/>
      <c r="AN284" s="246"/>
      <c r="AO284" s="246"/>
      <c r="AP284" s="246"/>
      <c r="AQ284" s="246"/>
      <c r="AR284" s="246"/>
      <c r="AS284" s="246"/>
      <c r="AT284" s="246"/>
      <c r="AU284" s="260"/>
    </row>
    <row r="285" spans="1:47" ht="60" customHeight="1" x14ac:dyDescent="0.35">
      <c r="A285" s="256" t="s">
        <v>4034</v>
      </c>
      <c r="B285" s="234" t="s">
        <v>4035</v>
      </c>
      <c r="C285" s="235" t="s">
        <v>4056</v>
      </c>
      <c r="D285" s="238" t="s">
        <v>4057</v>
      </c>
      <c r="E285" s="239" t="s">
        <v>3483</v>
      </c>
      <c r="F285" s="242" t="s">
        <v>4053</v>
      </c>
      <c r="G285" s="245" t="str">
        <f>IF(COUNTIF(H285:AU285,"&lt;&gt;")=0,"",SUMPRODUCT(((Recommendations[ImplStatus]="Implemented")+(Recommendations[ImplStatus]="Compensated"))*ISNUMBER(MATCH(Recommendations[Id],H285:AU285,0)))/COUNTIF(H285:AU285,"&lt;&gt;"))</f>
        <v/>
      </c>
      <c r="H285" s="246"/>
      <c r="I285" s="246"/>
      <c r="J285" s="246"/>
      <c r="K285" s="246"/>
      <c r="L285" s="246"/>
      <c r="M285" s="246"/>
      <c r="N285" s="246"/>
      <c r="O285" s="246"/>
      <c r="P285" s="246"/>
      <c r="Q285" s="246"/>
      <c r="R285" s="246"/>
      <c r="S285" s="246"/>
      <c r="T285" s="246"/>
      <c r="U285" s="246"/>
      <c r="V285" s="246"/>
      <c r="W285" s="246"/>
      <c r="X285" s="246"/>
      <c r="Y285" s="246"/>
      <c r="Z285" s="246"/>
      <c r="AA285" s="246"/>
      <c r="AB285" s="246"/>
      <c r="AC285" s="246"/>
      <c r="AD285" s="246"/>
      <c r="AE285" s="246"/>
      <c r="AF285" s="246"/>
      <c r="AG285" s="246"/>
      <c r="AH285" s="246"/>
      <c r="AI285" s="246"/>
      <c r="AJ285" s="246"/>
      <c r="AK285" s="246"/>
      <c r="AL285" s="246"/>
      <c r="AM285" s="246"/>
      <c r="AN285" s="246"/>
      <c r="AO285" s="246"/>
      <c r="AP285" s="246"/>
      <c r="AQ285" s="246"/>
      <c r="AR285" s="246"/>
      <c r="AS285" s="246"/>
      <c r="AT285" s="246"/>
      <c r="AU285" s="260"/>
    </row>
    <row r="286" spans="1:47" ht="60" customHeight="1" x14ac:dyDescent="0.35">
      <c r="A286" s="256" t="s">
        <v>4034</v>
      </c>
      <c r="B286" s="234" t="s">
        <v>4035</v>
      </c>
      <c r="C286" s="235" t="s">
        <v>4058</v>
      </c>
      <c r="D286" s="238" t="s">
        <v>4059</v>
      </c>
      <c r="E286" s="239" t="s">
        <v>3512</v>
      </c>
      <c r="F286" s="242" t="s">
        <v>4053</v>
      </c>
      <c r="G286" s="245" t="str">
        <f>IF(COUNTIF(H286:AU286,"&lt;&gt;")=0,"",SUMPRODUCT(((Recommendations[ImplStatus]="Implemented")+(Recommendations[ImplStatus]="Compensated"))*ISNUMBER(MATCH(Recommendations[Id],H286:AU286,0)))/COUNTIF(H286:AU286,"&lt;&gt;"))</f>
        <v/>
      </c>
      <c r="H286" s="246"/>
      <c r="I286" s="246"/>
      <c r="J286" s="246"/>
      <c r="K286" s="246"/>
      <c r="L286" s="246"/>
      <c r="M286" s="246"/>
      <c r="N286" s="246"/>
      <c r="O286" s="246"/>
      <c r="P286" s="246"/>
      <c r="Q286" s="246"/>
      <c r="R286" s="246"/>
      <c r="S286" s="246"/>
      <c r="T286" s="246"/>
      <c r="U286" s="246"/>
      <c r="V286" s="246"/>
      <c r="W286" s="246"/>
      <c r="X286" s="246"/>
      <c r="Y286" s="246"/>
      <c r="Z286" s="246"/>
      <c r="AA286" s="246"/>
      <c r="AB286" s="246"/>
      <c r="AC286" s="246"/>
      <c r="AD286" s="246"/>
      <c r="AE286" s="246"/>
      <c r="AF286" s="246"/>
      <c r="AG286" s="246"/>
      <c r="AH286" s="246"/>
      <c r="AI286" s="246"/>
      <c r="AJ286" s="246"/>
      <c r="AK286" s="246"/>
      <c r="AL286" s="246"/>
      <c r="AM286" s="246"/>
      <c r="AN286" s="246"/>
      <c r="AO286" s="246"/>
      <c r="AP286" s="246"/>
      <c r="AQ286" s="246"/>
      <c r="AR286" s="246"/>
      <c r="AS286" s="246"/>
      <c r="AT286" s="246"/>
      <c r="AU286" s="260"/>
    </row>
    <row r="287" spans="1:47" ht="60" customHeight="1" x14ac:dyDescent="0.35">
      <c r="A287" s="256" t="s">
        <v>4034</v>
      </c>
      <c r="B287" s="234" t="s">
        <v>4035</v>
      </c>
      <c r="C287" s="235" t="s">
        <v>4060</v>
      </c>
      <c r="D287" s="238" t="s">
        <v>4061</v>
      </c>
      <c r="E287" s="239" t="s">
        <v>3512</v>
      </c>
      <c r="F287" s="242" t="s">
        <v>4053</v>
      </c>
      <c r="G287" s="245" t="str">
        <f>IF(COUNTIF(H287:AU287,"&lt;&gt;")=0,"",SUMPRODUCT(((Recommendations[ImplStatus]="Implemented")+(Recommendations[ImplStatus]="Compensated"))*ISNUMBER(MATCH(Recommendations[Id],H287:AU287,0)))/COUNTIF(H287:AU287,"&lt;&gt;"))</f>
        <v/>
      </c>
      <c r="H287" s="246"/>
      <c r="I287" s="246"/>
      <c r="J287" s="246"/>
      <c r="K287" s="246"/>
      <c r="L287" s="246"/>
      <c r="M287" s="246"/>
      <c r="N287" s="246"/>
      <c r="O287" s="246"/>
      <c r="P287" s="246"/>
      <c r="Q287" s="246"/>
      <c r="R287" s="246"/>
      <c r="S287" s="246"/>
      <c r="T287" s="246"/>
      <c r="U287" s="246"/>
      <c r="V287" s="246"/>
      <c r="W287" s="246"/>
      <c r="X287" s="246"/>
      <c r="Y287" s="246"/>
      <c r="Z287" s="246"/>
      <c r="AA287" s="246"/>
      <c r="AB287" s="246"/>
      <c r="AC287" s="246"/>
      <c r="AD287" s="246"/>
      <c r="AE287" s="246"/>
      <c r="AF287" s="246"/>
      <c r="AG287" s="246"/>
      <c r="AH287" s="246"/>
      <c r="AI287" s="246"/>
      <c r="AJ287" s="246"/>
      <c r="AK287" s="246"/>
      <c r="AL287" s="246"/>
      <c r="AM287" s="246"/>
      <c r="AN287" s="246"/>
      <c r="AO287" s="246"/>
      <c r="AP287" s="246"/>
      <c r="AQ287" s="246"/>
      <c r="AR287" s="246"/>
      <c r="AS287" s="246"/>
      <c r="AT287" s="246"/>
      <c r="AU287" s="260"/>
    </row>
    <row r="288" spans="1:47" ht="60" customHeight="1" x14ac:dyDescent="0.35">
      <c r="A288" s="256" t="s">
        <v>4034</v>
      </c>
      <c r="B288" s="234" t="s">
        <v>4035</v>
      </c>
      <c r="C288" s="235" t="s">
        <v>4062</v>
      </c>
      <c r="D288" s="238" t="s">
        <v>4063</v>
      </c>
      <c r="E288" s="239" t="s">
        <v>3512</v>
      </c>
      <c r="F288" s="242" t="s">
        <v>4053</v>
      </c>
      <c r="G288" s="245" t="str">
        <f>IF(COUNTIF(H288:AU288,"&lt;&gt;")=0,"",SUMPRODUCT(((Recommendations[ImplStatus]="Implemented")+(Recommendations[ImplStatus]="Compensated"))*ISNUMBER(MATCH(Recommendations[Id],H288:AU288,0)))/COUNTIF(H288:AU288,"&lt;&gt;"))</f>
        <v/>
      </c>
      <c r="H288" s="246"/>
      <c r="I288" s="246"/>
      <c r="J288" s="246"/>
      <c r="K288" s="246"/>
      <c r="L288" s="246"/>
      <c r="M288" s="246"/>
      <c r="N288" s="246"/>
      <c r="O288" s="246"/>
      <c r="P288" s="246"/>
      <c r="Q288" s="246"/>
      <c r="R288" s="246"/>
      <c r="S288" s="246"/>
      <c r="T288" s="246"/>
      <c r="U288" s="246"/>
      <c r="V288" s="246"/>
      <c r="W288" s="246"/>
      <c r="X288" s="246"/>
      <c r="Y288" s="246"/>
      <c r="Z288" s="246"/>
      <c r="AA288" s="246"/>
      <c r="AB288" s="246"/>
      <c r="AC288" s="246"/>
      <c r="AD288" s="246"/>
      <c r="AE288" s="246"/>
      <c r="AF288" s="246"/>
      <c r="AG288" s="246"/>
      <c r="AH288" s="246"/>
      <c r="AI288" s="246"/>
      <c r="AJ288" s="246"/>
      <c r="AK288" s="246"/>
      <c r="AL288" s="246"/>
      <c r="AM288" s="246"/>
      <c r="AN288" s="246"/>
      <c r="AO288" s="246"/>
      <c r="AP288" s="246"/>
      <c r="AQ288" s="246"/>
      <c r="AR288" s="246"/>
      <c r="AS288" s="246"/>
      <c r="AT288" s="246"/>
      <c r="AU288" s="260"/>
    </row>
    <row r="289" spans="1:47" ht="60" customHeight="1" x14ac:dyDescent="0.35">
      <c r="A289" s="256" t="s">
        <v>4034</v>
      </c>
      <c r="B289" s="234" t="s">
        <v>4035</v>
      </c>
      <c r="C289" s="235" t="s">
        <v>4064</v>
      </c>
      <c r="D289" s="238" t="s">
        <v>4065</v>
      </c>
      <c r="E289" s="239" t="s">
        <v>3512</v>
      </c>
      <c r="F289" s="242" t="s">
        <v>4053</v>
      </c>
      <c r="G289" s="245" t="str">
        <f>IF(COUNTIF(H289:AU289,"&lt;&gt;")=0,"",SUMPRODUCT(((Recommendations[ImplStatus]="Implemented")+(Recommendations[ImplStatus]="Compensated"))*ISNUMBER(MATCH(Recommendations[Id],H289:AU289,0)))/COUNTIF(H289:AU289,"&lt;&gt;"))</f>
        <v/>
      </c>
      <c r="H289" s="246"/>
      <c r="I289" s="246"/>
      <c r="J289" s="246"/>
      <c r="K289" s="246"/>
      <c r="L289" s="246"/>
      <c r="M289" s="246"/>
      <c r="N289" s="246"/>
      <c r="O289" s="246"/>
      <c r="P289" s="246"/>
      <c r="Q289" s="246"/>
      <c r="R289" s="246"/>
      <c r="S289" s="246"/>
      <c r="T289" s="246"/>
      <c r="U289" s="246"/>
      <c r="V289" s="246"/>
      <c r="W289" s="246"/>
      <c r="X289" s="246"/>
      <c r="Y289" s="246"/>
      <c r="Z289" s="246"/>
      <c r="AA289" s="246"/>
      <c r="AB289" s="246"/>
      <c r="AC289" s="246"/>
      <c r="AD289" s="246"/>
      <c r="AE289" s="246"/>
      <c r="AF289" s="246"/>
      <c r="AG289" s="246"/>
      <c r="AH289" s="246"/>
      <c r="AI289" s="246"/>
      <c r="AJ289" s="246"/>
      <c r="AK289" s="246"/>
      <c r="AL289" s="246"/>
      <c r="AM289" s="246"/>
      <c r="AN289" s="246"/>
      <c r="AO289" s="246"/>
      <c r="AP289" s="246"/>
      <c r="AQ289" s="246"/>
      <c r="AR289" s="246"/>
      <c r="AS289" s="246"/>
      <c r="AT289" s="246"/>
      <c r="AU289" s="260"/>
    </row>
    <row r="290" spans="1:47" ht="60" customHeight="1" x14ac:dyDescent="0.35">
      <c r="A290" s="256" t="s">
        <v>4034</v>
      </c>
      <c r="B290" s="234" t="s">
        <v>4035</v>
      </c>
      <c r="C290" s="235" t="s">
        <v>4066</v>
      </c>
      <c r="D290" s="238" t="s">
        <v>4067</v>
      </c>
      <c r="E290" s="239" t="s">
        <v>3483</v>
      </c>
      <c r="F290" s="242" t="s">
        <v>4053</v>
      </c>
      <c r="G290" s="245" t="str">
        <f>IF(COUNTIF(H290:AU290,"&lt;&gt;")=0,"",SUMPRODUCT(((Recommendations[ImplStatus]="Implemented")+(Recommendations[ImplStatus]="Compensated"))*ISNUMBER(MATCH(Recommendations[Id],H290:AU290,0)))/COUNTIF(H290:AU290,"&lt;&gt;"))</f>
        <v/>
      </c>
      <c r="H290" s="246"/>
      <c r="I290" s="246"/>
      <c r="J290" s="246"/>
      <c r="K290" s="246"/>
      <c r="L290" s="246"/>
      <c r="M290" s="246"/>
      <c r="N290" s="246"/>
      <c r="O290" s="246"/>
      <c r="P290" s="246"/>
      <c r="Q290" s="246"/>
      <c r="R290" s="246"/>
      <c r="S290" s="246"/>
      <c r="T290" s="246"/>
      <c r="U290" s="246"/>
      <c r="V290" s="246"/>
      <c r="W290" s="246"/>
      <c r="X290" s="246"/>
      <c r="Y290" s="246"/>
      <c r="Z290" s="246"/>
      <c r="AA290" s="246"/>
      <c r="AB290" s="246"/>
      <c r="AC290" s="246"/>
      <c r="AD290" s="246"/>
      <c r="AE290" s="246"/>
      <c r="AF290" s="246"/>
      <c r="AG290" s="246"/>
      <c r="AH290" s="246"/>
      <c r="AI290" s="246"/>
      <c r="AJ290" s="246"/>
      <c r="AK290" s="246"/>
      <c r="AL290" s="246"/>
      <c r="AM290" s="246"/>
      <c r="AN290" s="246"/>
      <c r="AO290" s="246"/>
      <c r="AP290" s="246"/>
      <c r="AQ290" s="246"/>
      <c r="AR290" s="246"/>
      <c r="AS290" s="246"/>
      <c r="AT290" s="246"/>
      <c r="AU290" s="260"/>
    </row>
    <row r="291" spans="1:47" ht="60" customHeight="1" x14ac:dyDescent="0.35">
      <c r="A291" s="256" t="s">
        <v>4034</v>
      </c>
      <c r="B291" s="234" t="s">
        <v>4035</v>
      </c>
      <c r="C291" s="235" t="s">
        <v>4068</v>
      </c>
      <c r="D291" s="238" t="s">
        <v>4069</v>
      </c>
      <c r="E291" s="239" t="s">
        <v>3512</v>
      </c>
      <c r="F291" s="242" t="s">
        <v>4070</v>
      </c>
      <c r="G291" s="245">
        <f>IF(COUNTIF(H291:AU291,"&lt;&gt;")=0,"",SUMPRODUCT(((Recommendations[ImplStatus]="Implemented")+(Recommendations[ImplStatus]="Compensated"))*ISNUMBER(MATCH(Recommendations[Id],H291:AU291,0)))/COUNTIF(H291:AU291,"&lt;&gt;"))</f>
        <v>0</v>
      </c>
      <c r="H291" s="246" t="s">
        <v>28</v>
      </c>
      <c r="I291" s="246"/>
      <c r="J291" s="246"/>
      <c r="K291" s="246"/>
      <c r="L291" s="246"/>
      <c r="M291" s="246"/>
      <c r="N291" s="246"/>
      <c r="O291" s="246"/>
      <c r="P291" s="246"/>
      <c r="Q291" s="246"/>
      <c r="R291" s="246"/>
      <c r="S291" s="246"/>
      <c r="T291" s="246"/>
      <c r="U291" s="246"/>
      <c r="V291" s="246"/>
      <c r="W291" s="246"/>
      <c r="X291" s="246"/>
      <c r="Y291" s="246"/>
      <c r="Z291" s="246"/>
      <c r="AA291" s="246"/>
      <c r="AB291" s="246"/>
      <c r="AC291" s="246"/>
      <c r="AD291" s="246"/>
      <c r="AE291" s="246"/>
      <c r="AF291" s="246"/>
      <c r="AG291" s="246"/>
      <c r="AH291" s="246"/>
      <c r="AI291" s="246"/>
      <c r="AJ291" s="246"/>
      <c r="AK291" s="246"/>
      <c r="AL291" s="246"/>
      <c r="AM291" s="246"/>
      <c r="AN291" s="246"/>
      <c r="AO291" s="246"/>
      <c r="AP291" s="246"/>
      <c r="AQ291" s="246"/>
      <c r="AR291" s="246"/>
      <c r="AS291" s="246"/>
      <c r="AT291" s="246"/>
      <c r="AU291" s="260"/>
    </row>
    <row r="292" spans="1:47" ht="60" customHeight="1" x14ac:dyDescent="0.35">
      <c r="A292" s="256" t="s">
        <v>4034</v>
      </c>
      <c r="B292" s="234" t="s">
        <v>4035</v>
      </c>
      <c r="C292" s="235" t="s">
        <v>4071</v>
      </c>
      <c r="D292" s="238" t="s">
        <v>4072</v>
      </c>
      <c r="E292" s="239" t="s">
        <v>3512</v>
      </c>
      <c r="F292" s="242" t="s">
        <v>4070</v>
      </c>
      <c r="G292" s="245" t="str">
        <f>IF(COUNTIF(H292:AU292,"&lt;&gt;")=0,"",SUMPRODUCT(((Recommendations[ImplStatus]="Implemented")+(Recommendations[ImplStatus]="Compensated"))*ISNUMBER(MATCH(Recommendations[Id],H292:AU292,0)))/COUNTIF(H292:AU292,"&lt;&gt;"))</f>
        <v/>
      </c>
      <c r="H292" s="246"/>
      <c r="I292" s="246"/>
      <c r="J292" s="246"/>
      <c r="K292" s="246"/>
      <c r="L292" s="246"/>
      <c r="M292" s="246"/>
      <c r="N292" s="246"/>
      <c r="O292" s="246"/>
      <c r="P292" s="246"/>
      <c r="Q292" s="246"/>
      <c r="R292" s="246"/>
      <c r="S292" s="246"/>
      <c r="T292" s="246"/>
      <c r="U292" s="246"/>
      <c r="V292" s="246"/>
      <c r="W292" s="246"/>
      <c r="X292" s="246"/>
      <c r="Y292" s="246"/>
      <c r="Z292" s="246"/>
      <c r="AA292" s="246"/>
      <c r="AB292" s="246"/>
      <c r="AC292" s="246"/>
      <c r="AD292" s="246"/>
      <c r="AE292" s="246"/>
      <c r="AF292" s="246"/>
      <c r="AG292" s="246"/>
      <c r="AH292" s="246"/>
      <c r="AI292" s="246"/>
      <c r="AJ292" s="246"/>
      <c r="AK292" s="246"/>
      <c r="AL292" s="246"/>
      <c r="AM292" s="246"/>
      <c r="AN292" s="246"/>
      <c r="AO292" s="246"/>
      <c r="AP292" s="246"/>
      <c r="AQ292" s="246"/>
      <c r="AR292" s="246"/>
      <c r="AS292" s="246"/>
      <c r="AT292" s="246"/>
      <c r="AU292" s="260"/>
    </row>
    <row r="293" spans="1:47" ht="60" customHeight="1" x14ac:dyDescent="0.35">
      <c r="A293" s="256" t="s">
        <v>4034</v>
      </c>
      <c r="B293" s="234" t="s">
        <v>4035</v>
      </c>
      <c r="C293" s="235" t="s">
        <v>4073</v>
      </c>
      <c r="D293" s="238" t="s">
        <v>4074</v>
      </c>
      <c r="E293" s="239" t="s">
        <v>3762</v>
      </c>
      <c r="F293" s="242" t="s">
        <v>4053</v>
      </c>
      <c r="G293" s="245" t="str">
        <f>IF(COUNTIF(H293:AU293,"&lt;&gt;")=0,"",SUMPRODUCT(((Recommendations[ImplStatus]="Implemented")+(Recommendations[ImplStatus]="Compensated"))*ISNUMBER(MATCH(Recommendations[Id],H293:AU293,0)))/COUNTIF(H293:AU293,"&lt;&gt;"))</f>
        <v/>
      </c>
      <c r="H293" s="246"/>
      <c r="I293" s="246"/>
      <c r="J293" s="246"/>
      <c r="K293" s="246"/>
      <c r="L293" s="246"/>
      <c r="M293" s="246"/>
      <c r="N293" s="246"/>
      <c r="O293" s="246"/>
      <c r="P293" s="246"/>
      <c r="Q293" s="246"/>
      <c r="R293" s="246"/>
      <c r="S293" s="246"/>
      <c r="T293" s="246"/>
      <c r="U293" s="246"/>
      <c r="V293" s="246"/>
      <c r="W293" s="246"/>
      <c r="X293" s="246"/>
      <c r="Y293" s="246"/>
      <c r="Z293" s="246"/>
      <c r="AA293" s="246"/>
      <c r="AB293" s="246"/>
      <c r="AC293" s="246"/>
      <c r="AD293" s="246"/>
      <c r="AE293" s="246"/>
      <c r="AF293" s="246"/>
      <c r="AG293" s="246"/>
      <c r="AH293" s="246"/>
      <c r="AI293" s="246"/>
      <c r="AJ293" s="246"/>
      <c r="AK293" s="246"/>
      <c r="AL293" s="246"/>
      <c r="AM293" s="246"/>
      <c r="AN293" s="246"/>
      <c r="AO293" s="246"/>
      <c r="AP293" s="246"/>
      <c r="AQ293" s="246"/>
      <c r="AR293" s="246"/>
      <c r="AS293" s="246"/>
      <c r="AT293" s="246"/>
      <c r="AU293" s="260"/>
    </row>
    <row r="294" spans="1:47" ht="60" customHeight="1" x14ac:dyDescent="0.35">
      <c r="A294" s="256" t="s">
        <v>4034</v>
      </c>
      <c r="B294" s="234" t="s">
        <v>4035</v>
      </c>
      <c r="C294" s="235" t="s">
        <v>4075</v>
      </c>
      <c r="D294" s="238" t="s">
        <v>4076</v>
      </c>
      <c r="E294" s="239" t="s">
        <v>3762</v>
      </c>
      <c r="F294" s="242" t="s">
        <v>4053</v>
      </c>
      <c r="G294" s="245" t="str">
        <f>IF(COUNTIF(H294:AU294,"&lt;&gt;")=0,"",SUMPRODUCT(((Recommendations[ImplStatus]="Implemented")+(Recommendations[ImplStatus]="Compensated"))*ISNUMBER(MATCH(Recommendations[Id],H294:AU294,0)))/COUNTIF(H294:AU294,"&lt;&gt;"))</f>
        <v/>
      </c>
      <c r="H294" s="246"/>
      <c r="I294" s="246"/>
      <c r="J294" s="246"/>
      <c r="K294" s="246"/>
      <c r="L294" s="246"/>
      <c r="M294" s="246"/>
      <c r="N294" s="246"/>
      <c r="O294" s="246"/>
      <c r="P294" s="246"/>
      <c r="Q294" s="246"/>
      <c r="R294" s="246"/>
      <c r="S294" s="246"/>
      <c r="T294" s="246"/>
      <c r="U294" s="246"/>
      <c r="V294" s="246"/>
      <c r="W294" s="246"/>
      <c r="X294" s="246"/>
      <c r="Y294" s="246"/>
      <c r="Z294" s="246"/>
      <c r="AA294" s="246"/>
      <c r="AB294" s="246"/>
      <c r="AC294" s="246"/>
      <c r="AD294" s="246"/>
      <c r="AE294" s="246"/>
      <c r="AF294" s="246"/>
      <c r="AG294" s="246"/>
      <c r="AH294" s="246"/>
      <c r="AI294" s="246"/>
      <c r="AJ294" s="246"/>
      <c r="AK294" s="246"/>
      <c r="AL294" s="246"/>
      <c r="AM294" s="246"/>
      <c r="AN294" s="246"/>
      <c r="AO294" s="246"/>
      <c r="AP294" s="246"/>
      <c r="AQ294" s="246"/>
      <c r="AR294" s="246"/>
      <c r="AS294" s="246"/>
      <c r="AT294" s="246"/>
      <c r="AU294" s="260"/>
    </row>
    <row r="295" spans="1:47" ht="60" customHeight="1" x14ac:dyDescent="0.35">
      <c r="A295" s="256" t="s">
        <v>4034</v>
      </c>
      <c r="B295" s="234" t="s">
        <v>4035</v>
      </c>
      <c r="C295" s="235" t="s">
        <v>4077</v>
      </c>
      <c r="D295" s="238" t="s">
        <v>4078</v>
      </c>
      <c r="E295" s="239" t="s">
        <v>3579</v>
      </c>
      <c r="F295" s="242" t="s">
        <v>4053</v>
      </c>
      <c r="G295" s="245" t="str">
        <f>IF(COUNTIF(H295:AU295,"&lt;&gt;")=0,"",SUMPRODUCT(((Recommendations[ImplStatus]="Implemented")+(Recommendations[ImplStatus]="Compensated"))*ISNUMBER(MATCH(Recommendations[Id],H295:AU295,0)))/COUNTIF(H295:AU295,"&lt;&gt;"))</f>
        <v/>
      </c>
      <c r="H295" s="246"/>
      <c r="I295" s="246"/>
      <c r="J295" s="246"/>
      <c r="K295" s="246"/>
      <c r="L295" s="246"/>
      <c r="M295" s="246"/>
      <c r="N295" s="246"/>
      <c r="O295" s="246"/>
      <c r="P295" s="246"/>
      <c r="Q295" s="246"/>
      <c r="R295" s="246"/>
      <c r="S295" s="246"/>
      <c r="T295" s="246"/>
      <c r="U295" s="246"/>
      <c r="V295" s="246"/>
      <c r="W295" s="246"/>
      <c r="X295" s="246"/>
      <c r="Y295" s="246"/>
      <c r="Z295" s="246"/>
      <c r="AA295" s="246"/>
      <c r="AB295" s="246"/>
      <c r="AC295" s="246"/>
      <c r="AD295" s="246"/>
      <c r="AE295" s="246"/>
      <c r="AF295" s="246"/>
      <c r="AG295" s="246"/>
      <c r="AH295" s="246"/>
      <c r="AI295" s="246"/>
      <c r="AJ295" s="246"/>
      <c r="AK295" s="246"/>
      <c r="AL295" s="246"/>
      <c r="AM295" s="246"/>
      <c r="AN295" s="246"/>
      <c r="AO295" s="246"/>
      <c r="AP295" s="246"/>
      <c r="AQ295" s="246"/>
      <c r="AR295" s="246"/>
      <c r="AS295" s="246"/>
      <c r="AT295" s="246"/>
      <c r="AU295" s="260"/>
    </row>
    <row r="296" spans="1:47" ht="60" customHeight="1" x14ac:dyDescent="0.35">
      <c r="A296" s="256" t="s">
        <v>4034</v>
      </c>
      <c r="B296" s="234" t="s">
        <v>4035</v>
      </c>
      <c r="C296" s="235" t="s">
        <v>4079</v>
      </c>
      <c r="D296" s="238" t="s">
        <v>4080</v>
      </c>
      <c r="E296" s="239" t="s">
        <v>3579</v>
      </c>
      <c r="F296" s="242" t="s">
        <v>4053</v>
      </c>
      <c r="G296" s="245" t="str">
        <f>IF(COUNTIF(H296:AU296,"&lt;&gt;")=0,"",SUMPRODUCT(((Recommendations[ImplStatus]="Implemented")+(Recommendations[ImplStatus]="Compensated"))*ISNUMBER(MATCH(Recommendations[Id],H296:AU296,0)))/COUNTIF(H296:AU296,"&lt;&gt;"))</f>
        <v/>
      </c>
      <c r="H296" s="246"/>
      <c r="I296" s="246"/>
      <c r="J296" s="246"/>
      <c r="K296" s="246"/>
      <c r="L296" s="246"/>
      <c r="M296" s="246"/>
      <c r="N296" s="246"/>
      <c r="O296" s="246"/>
      <c r="P296" s="246"/>
      <c r="Q296" s="246"/>
      <c r="R296" s="246"/>
      <c r="S296" s="246"/>
      <c r="T296" s="246"/>
      <c r="U296" s="246"/>
      <c r="V296" s="246"/>
      <c r="W296" s="246"/>
      <c r="X296" s="246"/>
      <c r="Y296" s="246"/>
      <c r="Z296" s="246"/>
      <c r="AA296" s="246"/>
      <c r="AB296" s="246"/>
      <c r="AC296" s="246"/>
      <c r="AD296" s="246"/>
      <c r="AE296" s="246"/>
      <c r="AF296" s="246"/>
      <c r="AG296" s="246"/>
      <c r="AH296" s="246"/>
      <c r="AI296" s="246"/>
      <c r="AJ296" s="246"/>
      <c r="AK296" s="246"/>
      <c r="AL296" s="246"/>
      <c r="AM296" s="246"/>
      <c r="AN296" s="246"/>
      <c r="AO296" s="246"/>
      <c r="AP296" s="246"/>
      <c r="AQ296" s="246"/>
      <c r="AR296" s="246"/>
      <c r="AS296" s="246"/>
      <c r="AT296" s="246"/>
      <c r="AU296" s="260"/>
    </row>
    <row r="297" spans="1:47" ht="60" customHeight="1" x14ac:dyDescent="0.35">
      <c r="A297" s="256" t="s">
        <v>4034</v>
      </c>
      <c r="B297" s="234" t="s">
        <v>4035</v>
      </c>
      <c r="C297" s="235" t="s">
        <v>4081</v>
      </c>
      <c r="D297" s="238" t="s">
        <v>4082</v>
      </c>
      <c r="E297" s="239" t="s">
        <v>3483</v>
      </c>
      <c r="F297" s="242" t="s">
        <v>4053</v>
      </c>
      <c r="G297" s="245" t="str">
        <f>IF(COUNTIF(H297:AU297,"&lt;&gt;")=0,"",SUMPRODUCT(((Recommendations[ImplStatus]="Implemented")+(Recommendations[ImplStatus]="Compensated"))*ISNUMBER(MATCH(Recommendations[Id],H297:AU297,0)))/COUNTIF(H297:AU297,"&lt;&gt;"))</f>
        <v/>
      </c>
      <c r="H297" s="246"/>
      <c r="I297" s="246"/>
      <c r="J297" s="246"/>
      <c r="K297" s="246"/>
      <c r="L297" s="246"/>
      <c r="M297" s="246"/>
      <c r="N297" s="246"/>
      <c r="O297" s="246"/>
      <c r="P297" s="246"/>
      <c r="Q297" s="246"/>
      <c r="R297" s="246"/>
      <c r="S297" s="246"/>
      <c r="T297" s="246"/>
      <c r="U297" s="246"/>
      <c r="V297" s="246"/>
      <c r="W297" s="246"/>
      <c r="X297" s="246"/>
      <c r="Y297" s="246"/>
      <c r="Z297" s="246"/>
      <c r="AA297" s="246"/>
      <c r="AB297" s="246"/>
      <c r="AC297" s="246"/>
      <c r="AD297" s="246"/>
      <c r="AE297" s="246"/>
      <c r="AF297" s="246"/>
      <c r="AG297" s="246"/>
      <c r="AH297" s="246"/>
      <c r="AI297" s="246"/>
      <c r="AJ297" s="246"/>
      <c r="AK297" s="246"/>
      <c r="AL297" s="246"/>
      <c r="AM297" s="246"/>
      <c r="AN297" s="246"/>
      <c r="AO297" s="246"/>
      <c r="AP297" s="246"/>
      <c r="AQ297" s="246"/>
      <c r="AR297" s="246"/>
      <c r="AS297" s="246"/>
      <c r="AT297" s="246"/>
      <c r="AU297" s="260"/>
    </row>
    <row r="298" spans="1:47" ht="60" customHeight="1" x14ac:dyDescent="0.35">
      <c r="A298" s="256" t="s">
        <v>4034</v>
      </c>
      <c r="B298" s="234" t="s">
        <v>4035</v>
      </c>
      <c r="C298" s="235" t="s">
        <v>4083</v>
      </c>
      <c r="D298" s="238" t="s">
        <v>4084</v>
      </c>
      <c r="E298" s="239" t="s">
        <v>3579</v>
      </c>
      <c r="F298" s="242" t="s">
        <v>4053</v>
      </c>
      <c r="G298" s="245" t="str">
        <f>IF(COUNTIF(H298:AU298,"&lt;&gt;")=0,"",SUMPRODUCT(((Recommendations[ImplStatus]="Implemented")+(Recommendations[ImplStatus]="Compensated"))*ISNUMBER(MATCH(Recommendations[Id],H298:AU298,0)))/COUNTIF(H298:AU298,"&lt;&gt;"))</f>
        <v/>
      </c>
      <c r="H298" s="246"/>
      <c r="I298" s="246"/>
      <c r="J298" s="246"/>
      <c r="K298" s="246"/>
      <c r="L298" s="246"/>
      <c r="M298" s="246"/>
      <c r="N298" s="246"/>
      <c r="O298" s="246"/>
      <c r="P298" s="246"/>
      <c r="Q298" s="246"/>
      <c r="R298" s="246"/>
      <c r="S298" s="246"/>
      <c r="T298" s="246"/>
      <c r="U298" s="246"/>
      <c r="V298" s="246"/>
      <c r="W298" s="246"/>
      <c r="X298" s="246"/>
      <c r="Y298" s="246"/>
      <c r="Z298" s="246"/>
      <c r="AA298" s="246"/>
      <c r="AB298" s="246"/>
      <c r="AC298" s="246"/>
      <c r="AD298" s="246"/>
      <c r="AE298" s="246"/>
      <c r="AF298" s="246"/>
      <c r="AG298" s="246"/>
      <c r="AH298" s="246"/>
      <c r="AI298" s="246"/>
      <c r="AJ298" s="246"/>
      <c r="AK298" s="246"/>
      <c r="AL298" s="246"/>
      <c r="AM298" s="246"/>
      <c r="AN298" s="246"/>
      <c r="AO298" s="246"/>
      <c r="AP298" s="246"/>
      <c r="AQ298" s="246"/>
      <c r="AR298" s="246"/>
      <c r="AS298" s="246"/>
      <c r="AT298" s="246"/>
      <c r="AU298" s="260"/>
    </row>
    <row r="299" spans="1:47" ht="60" customHeight="1" x14ac:dyDescent="0.35">
      <c r="A299" s="256" t="s">
        <v>4034</v>
      </c>
      <c r="B299" s="234" t="s">
        <v>4035</v>
      </c>
      <c r="C299" s="235" t="s">
        <v>4085</v>
      </c>
      <c r="D299" s="238" t="s">
        <v>4086</v>
      </c>
      <c r="E299" s="239" t="s">
        <v>3512</v>
      </c>
      <c r="F299" s="242" t="s">
        <v>4053</v>
      </c>
      <c r="G299" s="245" t="str">
        <f>IF(COUNTIF(H299:AU299,"&lt;&gt;")=0,"",SUMPRODUCT(((Recommendations[ImplStatus]="Implemented")+(Recommendations[ImplStatus]="Compensated"))*ISNUMBER(MATCH(Recommendations[Id],H299:AU299,0)))/COUNTIF(H299:AU299,"&lt;&gt;"))</f>
        <v/>
      </c>
      <c r="H299" s="246"/>
      <c r="I299" s="246"/>
      <c r="J299" s="246"/>
      <c r="K299" s="246"/>
      <c r="L299" s="246"/>
      <c r="M299" s="246"/>
      <c r="N299" s="246"/>
      <c r="O299" s="246"/>
      <c r="P299" s="246"/>
      <c r="Q299" s="246"/>
      <c r="R299" s="246"/>
      <c r="S299" s="246"/>
      <c r="T299" s="246"/>
      <c r="U299" s="246"/>
      <c r="V299" s="246"/>
      <c r="W299" s="246"/>
      <c r="X299" s="246"/>
      <c r="Y299" s="246"/>
      <c r="Z299" s="246"/>
      <c r="AA299" s="246"/>
      <c r="AB299" s="246"/>
      <c r="AC299" s="246"/>
      <c r="AD299" s="246"/>
      <c r="AE299" s="246"/>
      <c r="AF299" s="246"/>
      <c r="AG299" s="246"/>
      <c r="AH299" s="246"/>
      <c r="AI299" s="246"/>
      <c r="AJ299" s="246"/>
      <c r="AK299" s="246"/>
      <c r="AL299" s="246"/>
      <c r="AM299" s="246"/>
      <c r="AN299" s="246"/>
      <c r="AO299" s="246"/>
      <c r="AP299" s="246"/>
      <c r="AQ299" s="246"/>
      <c r="AR299" s="246"/>
      <c r="AS299" s="246"/>
      <c r="AT299" s="246"/>
      <c r="AU299" s="260"/>
    </row>
    <row r="300" spans="1:47" ht="60" customHeight="1" x14ac:dyDescent="0.35">
      <c r="A300" s="256" t="s">
        <v>4034</v>
      </c>
      <c r="B300" s="234" t="s">
        <v>4035</v>
      </c>
      <c r="C300" s="235" t="s">
        <v>4087</v>
      </c>
      <c r="D300" s="238" t="s">
        <v>4088</v>
      </c>
      <c r="E300" s="239" t="s">
        <v>3579</v>
      </c>
      <c r="F300" s="242" t="s">
        <v>4053</v>
      </c>
      <c r="G300" s="245" t="str">
        <f>IF(COUNTIF(H300:AU300,"&lt;&gt;")=0,"",SUMPRODUCT(((Recommendations[ImplStatus]="Implemented")+(Recommendations[ImplStatus]="Compensated"))*ISNUMBER(MATCH(Recommendations[Id],H300:AU300,0)))/COUNTIF(H300:AU300,"&lt;&gt;"))</f>
        <v/>
      </c>
      <c r="H300" s="246"/>
      <c r="I300" s="246"/>
      <c r="J300" s="246"/>
      <c r="K300" s="246"/>
      <c r="L300" s="246"/>
      <c r="M300" s="246"/>
      <c r="N300" s="246"/>
      <c r="O300" s="246"/>
      <c r="P300" s="246"/>
      <c r="Q300" s="246"/>
      <c r="R300" s="246"/>
      <c r="S300" s="246"/>
      <c r="T300" s="246"/>
      <c r="U300" s="246"/>
      <c r="V300" s="246"/>
      <c r="W300" s="246"/>
      <c r="X300" s="246"/>
      <c r="Y300" s="246"/>
      <c r="Z300" s="246"/>
      <c r="AA300" s="246"/>
      <c r="AB300" s="246"/>
      <c r="AC300" s="246"/>
      <c r="AD300" s="246"/>
      <c r="AE300" s="246"/>
      <c r="AF300" s="246"/>
      <c r="AG300" s="246"/>
      <c r="AH300" s="246"/>
      <c r="AI300" s="246"/>
      <c r="AJ300" s="246"/>
      <c r="AK300" s="246"/>
      <c r="AL300" s="246"/>
      <c r="AM300" s="246"/>
      <c r="AN300" s="246"/>
      <c r="AO300" s="246"/>
      <c r="AP300" s="246"/>
      <c r="AQ300" s="246"/>
      <c r="AR300" s="246"/>
      <c r="AS300" s="246"/>
      <c r="AT300" s="246"/>
      <c r="AU300" s="260"/>
    </row>
    <row r="301" spans="1:47" ht="60" customHeight="1" x14ac:dyDescent="0.35">
      <c r="A301" s="256" t="s">
        <v>4034</v>
      </c>
      <c r="B301" s="234" t="s">
        <v>4035</v>
      </c>
      <c r="C301" s="235" t="s">
        <v>4089</v>
      </c>
      <c r="D301" s="238" t="s">
        <v>4090</v>
      </c>
      <c r="E301" s="239" t="s">
        <v>3627</v>
      </c>
      <c r="F301" s="242" t="s">
        <v>4053</v>
      </c>
      <c r="G301" s="245" t="str">
        <f>IF(COUNTIF(H301:AU301,"&lt;&gt;")=0,"",SUMPRODUCT(((Recommendations[ImplStatus]="Implemented")+(Recommendations[ImplStatus]="Compensated"))*ISNUMBER(MATCH(Recommendations[Id],H301:AU301,0)))/COUNTIF(H301:AU301,"&lt;&gt;"))</f>
        <v/>
      </c>
      <c r="H301" s="246"/>
      <c r="I301" s="246"/>
      <c r="J301" s="246"/>
      <c r="K301" s="246"/>
      <c r="L301" s="246"/>
      <c r="M301" s="246"/>
      <c r="N301" s="246"/>
      <c r="O301" s="246"/>
      <c r="P301" s="246"/>
      <c r="Q301" s="246"/>
      <c r="R301" s="246"/>
      <c r="S301" s="246"/>
      <c r="T301" s="246"/>
      <c r="U301" s="246"/>
      <c r="V301" s="246"/>
      <c r="W301" s="246"/>
      <c r="X301" s="246"/>
      <c r="Y301" s="246"/>
      <c r="Z301" s="246"/>
      <c r="AA301" s="246"/>
      <c r="AB301" s="246"/>
      <c r="AC301" s="246"/>
      <c r="AD301" s="246"/>
      <c r="AE301" s="246"/>
      <c r="AF301" s="246"/>
      <c r="AG301" s="246"/>
      <c r="AH301" s="246"/>
      <c r="AI301" s="246"/>
      <c r="AJ301" s="246"/>
      <c r="AK301" s="246"/>
      <c r="AL301" s="246"/>
      <c r="AM301" s="246"/>
      <c r="AN301" s="246"/>
      <c r="AO301" s="246"/>
      <c r="AP301" s="246"/>
      <c r="AQ301" s="246"/>
      <c r="AR301" s="246"/>
      <c r="AS301" s="246"/>
      <c r="AT301" s="246"/>
      <c r="AU301" s="260"/>
    </row>
    <row r="302" spans="1:47" ht="60" customHeight="1" x14ac:dyDescent="0.35">
      <c r="A302" s="256" t="s">
        <v>4034</v>
      </c>
      <c r="B302" s="234" t="s">
        <v>4035</v>
      </c>
      <c r="C302" s="235" t="s">
        <v>4091</v>
      </c>
      <c r="D302" s="238" t="s">
        <v>4092</v>
      </c>
      <c r="E302" s="239" t="s">
        <v>3627</v>
      </c>
      <c r="F302" s="242" t="s">
        <v>4053</v>
      </c>
      <c r="G302" s="245" t="str">
        <f>IF(COUNTIF(H302:AU302,"&lt;&gt;")=0,"",SUMPRODUCT(((Recommendations[ImplStatus]="Implemented")+(Recommendations[ImplStatus]="Compensated"))*ISNUMBER(MATCH(Recommendations[Id],H302:AU302,0)))/COUNTIF(H302:AU302,"&lt;&gt;"))</f>
        <v/>
      </c>
      <c r="H302" s="246"/>
      <c r="I302" s="246"/>
      <c r="J302" s="246"/>
      <c r="K302" s="246"/>
      <c r="L302" s="246"/>
      <c r="M302" s="246"/>
      <c r="N302" s="246"/>
      <c r="O302" s="246"/>
      <c r="P302" s="246"/>
      <c r="Q302" s="246"/>
      <c r="R302" s="246"/>
      <c r="S302" s="246"/>
      <c r="T302" s="246"/>
      <c r="U302" s="246"/>
      <c r="V302" s="246"/>
      <c r="W302" s="246"/>
      <c r="X302" s="246"/>
      <c r="Y302" s="246"/>
      <c r="Z302" s="246"/>
      <c r="AA302" s="246"/>
      <c r="AB302" s="246"/>
      <c r="AC302" s="246"/>
      <c r="AD302" s="246"/>
      <c r="AE302" s="246"/>
      <c r="AF302" s="246"/>
      <c r="AG302" s="246"/>
      <c r="AH302" s="246"/>
      <c r="AI302" s="246"/>
      <c r="AJ302" s="246"/>
      <c r="AK302" s="246"/>
      <c r="AL302" s="246"/>
      <c r="AM302" s="246"/>
      <c r="AN302" s="246"/>
      <c r="AO302" s="246"/>
      <c r="AP302" s="246"/>
      <c r="AQ302" s="246"/>
      <c r="AR302" s="246"/>
      <c r="AS302" s="246"/>
      <c r="AT302" s="246"/>
      <c r="AU302" s="260"/>
    </row>
    <row r="303" spans="1:47" ht="60" customHeight="1" outlineLevel="2" x14ac:dyDescent="0.35">
      <c r="A303" s="255" t="s">
        <v>4034</v>
      </c>
      <c r="B303" s="233" t="s">
        <v>1528</v>
      </c>
      <c r="C303" s="233"/>
      <c r="D303" s="237"/>
      <c r="E303" s="233"/>
      <c r="F303" s="241"/>
      <c r="G303" s="244" t="str">
        <f>IF(COUNTIF(H303:AU303,"&lt;&gt;")=0,"",SUMPRODUCT(((Recommendations[ImplStatus]="Implemented")+(Recommendations[ImplStatus]="Compensated"))*ISNUMBER(MATCH(Recommendations[Id],H303:AU303,0)))/COUNTIF(H303:AU303,"&lt;&gt;"))</f>
        <v/>
      </c>
      <c r="H303" s="241"/>
      <c r="I303" s="241"/>
      <c r="J303" s="241"/>
      <c r="K303" s="241"/>
      <c r="L303" s="241"/>
      <c r="M303" s="241"/>
      <c r="N303" s="241"/>
      <c r="O303" s="241"/>
      <c r="P303" s="241"/>
      <c r="Q303" s="241"/>
      <c r="R303" s="241"/>
      <c r="S303" s="241"/>
      <c r="T303" s="241"/>
      <c r="U303" s="241"/>
      <c r="V303" s="241"/>
      <c r="W303" s="241"/>
      <c r="X303" s="241"/>
      <c r="Y303" s="241"/>
      <c r="Z303" s="241"/>
      <c r="AA303" s="241"/>
      <c r="AB303" s="241"/>
      <c r="AC303" s="241"/>
      <c r="AD303" s="241"/>
      <c r="AE303" s="241"/>
      <c r="AF303" s="241"/>
      <c r="AG303" s="241"/>
      <c r="AH303" s="241"/>
      <c r="AI303" s="241"/>
      <c r="AJ303" s="241"/>
      <c r="AK303" s="241"/>
      <c r="AL303" s="241"/>
      <c r="AM303" s="241"/>
      <c r="AN303" s="241"/>
      <c r="AO303" s="241"/>
      <c r="AP303" s="241"/>
      <c r="AQ303" s="241"/>
      <c r="AR303" s="241"/>
      <c r="AS303" s="241"/>
      <c r="AT303" s="241"/>
      <c r="AU303" s="259"/>
    </row>
    <row r="304" spans="1:47" ht="60" customHeight="1" x14ac:dyDescent="0.35">
      <c r="A304" s="256" t="s">
        <v>4034</v>
      </c>
      <c r="B304" s="234" t="s">
        <v>1528</v>
      </c>
      <c r="C304" s="235" t="s">
        <v>4093</v>
      </c>
      <c r="D304" s="238" t="s">
        <v>4094</v>
      </c>
      <c r="E304" s="239" t="s">
        <v>3483</v>
      </c>
      <c r="F304" s="242" t="s">
        <v>4095</v>
      </c>
      <c r="G304" s="245" t="str">
        <f>IF(COUNTIF(H304:AU304,"&lt;&gt;")=0,"",SUMPRODUCT(((Recommendations[ImplStatus]="Implemented")+(Recommendations[ImplStatus]="Compensated"))*ISNUMBER(MATCH(Recommendations[Id],H304:AU304,0)))/COUNTIF(H304:AU304,"&lt;&gt;"))</f>
        <v/>
      </c>
      <c r="H304" s="246"/>
      <c r="I304" s="246"/>
      <c r="J304" s="246"/>
      <c r="K304" s="246"/>
      <c r="L304" s="246"/>
      <c r="M304" s="246"/>
      <c r="N304" s="246"/>
      <c r="O304" s="246"/>
      <c r="P304" s="246"/>
      <c r="Q304" s="246"/>
      <c r="R304" s="246"/>
      <c r="S304" s="246"/>
      <c r="T304" s="246"/>
      <c r="U304" s="246"/>
      <c r="V304" s="246"/>
      <c r="W304" s="246"/>
      <c r="X304" s="246"/>
      <c r="Y304" s="246"/>
      <c r="Z304" s="246"/>
      <c r="AA304" s="246"/>
      <c r="AB304" s="246"/>
      <c r="AC304" s="246"/>
      <c r="AD304" s="246"/>
      <c r="AE304" s="246"/>
      <c r="AF304" s="246"/>
      <c r="AG304" s="246"/>
      <c r="AH304" s="246"/>
      <c r="AI304" s="246"/>
      <c r="AJ304" s="246"/>
      <c r="AK304" s="246"/>
      <c r="AL304" s="246"/>
      <c r="AM304" s="246"/>
      <c r="AN304" s="246"/>
      <c r="AO304" s="246"/>
      <c r="AP304" s="246"/>
      <c r="AQ304" s="246"/>
      <c r="AR304" s="246"/>
      <c r="AS304" s="246"/>
      <c r="AT304" s="246"/>
      <c r="AU304" s="260"/>
    </row>
    <row r="305" spans="1:47" ht="60" customHeight="1" x14ac:dyDescent="0.35">
      <c r="A305" s="256" t="s">
        <v>4034</v>
      </c>
      <c r="B305" s="234" t="s">
        <v>1528</v>
      </c>
      <c r="C305" s="235" t="s">
        <v>4096</v>
      </c>
      <c r="D305" s="238" t="s">
        <v>4097</v>
      </c>
      <c r="E305" s="239" t="s">
        <v>3483</v>
      </c>
      <c r="F305" s="242" t="s">
        <v>4095</v>
      </c>
      <c r="G305" s="245" t="str">
        <f>IF(COUNTIF(H305:AU305,"&lt;&gt;")=0,"",SUMPRODUCT(((Recommendations[ImplStatus]="Implemented")+(Recommendations[ImplStatus]="Compensated"))*ISNUMBER(MATCH(Recommendations[Id],H305:AU305,0)))/COUNTIF(H305:AU305,"&lt;&gt;"))</f>
        <v/>
      </c>
      <c r="H305" s="246"/>
      <c r="I305" s="246"/>
      <c r="J305" s="246"/>
      <c r="K305" s="246"/>
      <c r="L305" s="246"/>
      <c r="M305" s="246"/>
      <c r="N305" s="246"/>
      <c r="O305" s="246"/>
      <c r="P305" s="246"/>
      <c r="Q305" s="246"/>
      <c r="R305" s="246"/>
      <c r="S305" s="246"/>
      <c r="T305" s="246"/>
      <c r="U305" s="246"/>
      <c r="V305" s="246"/>
      <c r="W305" s="246"/>
      <c r="X305" s="246"/>
      <c r="Y305" s="246"/>
      <c r="Z305" s="246"/>
      <c r="AA305" s="246"/>
      <c r="AB305" s="246"/>
      <c r="AC305" s="246"/>
      <c r="AD305" s="246"/>
      <c r="AE305" s="246"/>
      <c r="AF305" s="246"/>
      <c r="AG305" s="246"/>
      <c r="AH305" s="246"/>
      <c r="AI305" s="246"/>
      <c r="AJ305" s="246"/>
      <c r="AK305" s="246"/>
      <c r="AL305" s="246"/>
      <c r="AM305" s="246"/>
      <c r="AN305" s="246"/>
      <c r="AO305" s="246"/>
      <c r="AP305" s="246"/>
      <c r="AQ305" s="246"/>
      <c r="AR305" s="246"/>
      <c r="AS305" s="246"/>
      <c r="AT305" s="246"/>
      <c r="AU305" s="260"/>
    </row>
    <row r="306" spans="1:47" ht="60" customHeight="1" x14ac:dyDescent="0.35">
      <c r="A306" s="256" t="s">
        <v>4034</v>
      </c>
      <c r="B306" s="234" t="s">
        <v>1528</v>
      </c>
      <c r="C306" s="235" t="s">
        <v>4098</v>
      </c>
      <c r="D306" s="238" t="s">
        <v>4099</v>
      </c>
      <c r="E306" s="239" t="s">
        <v>3483</v>
      </c>
      <c r="F306" s="242" t="s">
        <v>4095</v>
      </c>
      <c r="G306" s="245" t="str">
        <f>IF(COUNTIF(H306:AU306,"&lt;&gt;")=0,"",SUMPRODUCT(((Recommendations[ImplStatus]="Implemented")+(Recommendations[ImplStatus]="Compensated"))*ISNUMBER(MATCH(Recommendations[Id],H306:AU306,0)))/COUNTIF(H306:AU306,"&lt;&gt;"))</f>
        <v/>
      </c>
      <c r="H306" s="246"/>
      <c r="I306" s="246"/>
      <c r="J306" s="246"/>
      <c r="K306" s="246"/>
      <c r="L306" s="246"/>
      <c r="M306" s="246"/>
      <c r="N306" s="246"/>
      <c r="O306" s="246"/>
      <c r="P306" s="246"/>
      <c r="Q306" s="246"/>
      <c r="R306" s="246"/>
      <c r="S306" s="246"/>
      <c r="T306" s="246"/>
      <c r="U306" s="246"/>
      <c r="V306" s="246"/>
      <c r="W306" s="246"/>
      <c r="X306" s="246"/>
      <c r="Y306" s="246"/>
      <c r="Z306" s="246"/>
      <c r="AA306" s="246"/>
      <c r="AB306" s="246"/>
      <c r="AC306" s="246"/>
      <c r="AD306" s="246"/>
      <c r="AE306" s="246"/>
      <c r="AF306" s="246"/>
      <c r="AG306" s="246"/>
      <c r="AH306" s="246"/>
      <c r="AI306" s="246"/>
      <c r="AJ306" s="246"/>
      <c r="AK306" s="246"/>
      <c r="AL306" s="246"/>
      <c r="AM306" s="246"/>
      <c r="AN306" s="246"/>
      <c r="AO306" s="246"/>
      <c r="AP306" s="246"/>
      <c r="AQ306" s="246"/>
      <c r="AR306" s="246"/>
      <c r="AS306" s="246"/>
      <c r="AT306" s="246"/>
      <c r="AU306" s="260"/>
    </row>
    <row r="307" spans="1:47" ht="60" customHeight="1" x14ac:dyDescent="0.35">
      <c r="A307" s="256" t="s">
        <v>4034</v>
      </c>
      <c r="B307" s="234" t="s">
        <v>1528</v>
      </c>
      <c r="C307" s="235" t="s">
        <v>4100</v>
      </c>
      <c r="D307" s="238" t="s">
        <v>4101</v>
      </c>
      <c r="E307" s="239" t="s">
        <v>3483</v>
      </c>
      <c r="F307" s="242" t="s">
        <v>4095</v>
      </c>
      <c r="G307" s="245" t="str">
        <f>IF(COUNTIF(H307:AU307,"&lt;&gt;")=0,"",SUMPRODUCT(((Recommendations[ImplStatus]="Implemented")+(Recommendations[ImplStatus]="Compensated"))*ISNUMBER(MATCH(Recommendations[Id],H307:AU307,0)))/COUNTIF(H307:AU307,"&lt;&gt;"))</f>
        <v/>
      </c>
      <c r="H307" s="246"/>
      <c r="I307" s="246"/>
      <c r="J307" s="246"/>
      <c r="K307" s="246"/>
      <c r="L307" s="246"/>
      <c r="M307" s="246"/>
      <c r="N307" s="246"/>
      <c r="O307" s="246"/>
      <c r="P307" s="246"/>
      <c r="Q307" s="246"/>
      <c r="R307" s="246"/>
      <c r="S307" s="246"/>
      <c r="T307" s="246"/>
      <c r="U307" s="246"/>
      <c r="V307" s="246"/>
      <c r="W307" s="246"/>
      <c r="X307" s="246"/>
      <c r="Y307" s="246"/>
      <c r="Z307" s="246"/>
      <c r="AA307" s="246"/>
      <c r="AB307" s="246"/>
      <c r="AC307" s="246"/>
      <c r="AD307" s="246"/>
      <c r="AE307" s="246"/>
      <c r="AF307" s="246"/>
      <c r="AG307" s="246"/>
      <c r="AH307" s="246"/>
      <c r="AI307" s="246"/>
      <c r="AJ307" s="246"/>
      <c r="AK307" s="246"/>
      <c r="AL307" s="246"/>
      <c r="AM307" s="246"/>
      <c r="AN307" s="246"/>
      <c r="AO307" s="246"/>
      <c r="AP307" s="246"/>
      <c r="AQ307" s="246"/>
      <c r="AR307" s="246"/>
      <c r="AS307" s="246"/>
      <c r="AT307" s="246"/>
      <c r="AU307" s="260"/>
    </row>
    <row r="308" spans="1:47" ht="60" customHeight="1" x14ac:dyDescent="0.35">
      <c r="A308" s="256" t="s">
        <v>4034</v>
      </c>
      <c r="B308" s="234" t="s">
        <v>1528</v>
      </c>
      <c r="C308" s="235" t="s">
        <v>4102</v>
      </c>
      <c r="D308" s="238" t="s">
        <v>4103</v>
      </c>
      <c r="E308" s="239" t="s">
        <v>3579</v>
      </c>
      <c r="F308" s="242" t="s">
        <v>4095</v>
      </c>
      <c r="G308" s="245" t="str">
        <f>IF(COUNTIF(H308:AU308,"&lt;&gt;")=0,"",SUMPRODUCT(((Recommendations[ImplStatus]="Implemented")+(Recommendations[ImplStatus]="Compensated"))*ISNUMBER(MATCH(Recommendations[Id],H308:AU308,0)))/COUNTIF(H308:AU308,"&lt;&gt;"))</f>
        <v/>
      </c>
      <c r="H308" s="246"/>
      <c r="I308" s="246"/>
      <c r="J308" s="246"/>
      <c r="K308" s="246"/>
      <c r="L308" s="246"/>
      <c r="M308" s="246"/>
      <c r="N308" s="246"/>
      <c r="O308" s="246"/>
      <c r="P308" s="246"/>
      <c r="Q308" s="246"/>
      <c r="R308" s="246"/>
      <c r="S308" s="246"/>
      <c r="T308" s="246"/>
      <c r="U308" s="246"/>
      <c r="V308" s="246"/>
      <c r="W308" s="246"/>
      <c r="X308" s="246"/>
      <c r="Y308" s="246"/>
      <c r="Z308" s="246"/>
      <c r="AA308" s="246"/>
      <c r="AB308" s="246"/>
      <c r="AC308" s="246"/>
      <c r="AD308" s="246"/>
      <c r="AE308" s="246"/>
      <c r="AF308" s="246"/>
      <c r="AG308" s="246"/>
      <c r="AH308" s="246"/>
      <c r="AI308" s="246"/>
      <c r="AJ308" s="246"/>
      <c r="AK308" s="246"/>
      <c r="AL308" s="246"/>
      <c r="AM308" s="246"/>
      <c r="AN308" s="246"/>
      <c r="AO308" s="246"/>
      <c r="AP308" s="246"/>
      <c r="AQ308" s="246"/>
      <c r="AR308" s="246"/>
      <c r="AS308" s="246"/>
      <c r="AT308" s="246"/>
      <c r="AU308" s="260"/>
    </row>
    <row r="309" spans="1:47" ht="60" customHeight="1" x14ac:dyDescent="0.35">
      <c r="A309" s="256" t="s">
        <v>4034</v>
      </c>
      <c r="B309" s="234" t="s">
        <v>1528</v>
      </c>
      <c r="C309" s="235" t="s">
        <v>4104</v>
      </c>
      <c r="D309" s="238" t="s">
        <v>4105</v>
      </c>
      <c r="E309" s="239" t="s">
        <v>3579</v>
      </c>
      <c r="F309" s="242" t="s">
        <v>4095</v>
      </c>
      <c r="G309" s="245">
        <f>IF(COUNTIF(H309:AU309,"&lt;&gt;")=0,"",SUMPRODUCT(((Recommendations[ImplStatus]="Implemented")+(Recommendations[ImplStatus]="Compensated"))*ISNUMBER(MATCH(Recommendations[Id],H309:AU309,0)))/COUNTIF(H309:AU309,"&lt;&gt;"))</f>
        <v>0</v>
      </c>
      <c r="H309" s="246" t="s">
        <v>192</v>
      </c>
      <c r="I309" s="246"/>
      <c r="J309" s="246"/>
      <c r="K309" s="246"/>
      <c r="L309" s="246"/>
      <c r="M309" s="246"/>
      <c r="N309" s="246"/>
      <c r="O309" s="246"/>
      <c r="P309" s="246"/>
      <c r="Q309" s="246"/>
      <c r="R309" s="246"/>
      <c r="S309" s="246"/>
      <c r="T309" s="246"/>
      <c r="U309" s="246"/>
      <c r="V309" s="246"/>
      <c r="W309" s="246"/>
      <c r="X309" s="246"/>
      <c r="Y309" s="246"/>
      <c r="Z309" s="246"/>
      <c r="AA309" s="246"/>
      <c r="AB309" s="246"/>
      <c r="AC309" s="246"/>
      <c r="AD309" s="246"/>
      <c r="AE309" s="246"/>
      <c r="AF309" s="246"/>
      <c r="AG309" s="246"/>
      <c r="AH309" s="246"/>
      <c r="AI309" s="246"/>
      <c r="AJ309" s="246"/>
      <c r="AK309" s="246"/>
      <c r="AL309" s="246"/>
      <c r="AM309" s="246"/>
      <c r="AN309" s="246"/>
      <c r="AO309" s="246"/>
      <c r="AP309" s="246"/>
      <c r="AQ309" s="246"/>
      <c r="AR309" s="246"/>
      <c r="AS309" s="246"/>
      <c r="AT309" s="246"/>
      <c r="AU309" s="260"/>
    </row>
    <row r="310" spans="1:47" ht="60" customHeight="1" x14ac:dyDescent="0.35">
      <c r="A310" s="256" t="s">
        <v>4034</v>
      </c>
      <c r="B310" s="234" t="s">
        <v>1528</v>
      </c>
      <c r="C310" s="235" t="s">
        <v>4106</v>
      </c>
      <c r="D310" s="238" t="s">
        <v>4107</v>
      </c>
      <c r="E310" s="239" t="s">
        <v>3579</v>
      </c>
      <c r="F310" s="242" t="s">
        <v>4095</v>
      </c>
      <c r="G310" s="245" t="str">
        <f>IF(COUNTIF(H310:AU310,"&lt;&gt;")=0,"",SUMPRODUCT(((Recommendations[ImplStatus]="Implemented")+(Recommendations[ImplStatus]="Compensated"))*ISNUMBER(MATCH(Recommendations[Id],H310:AU310,0)))/COUNTIF(H310:AU310,"&lt;&gt;"))</f>
        <v/>
      </c>
      <c r="H310" s="246"/>
      <c r="I310" s="246"/>
      <c r="J310" s="246"/>
      <c r="K310" s="246"/>
      <c r="L310" s="246"/>
      <c r="M310" s="246"/>
      <c r="N310" s="246"/>
      <c r="O310" s="246"/>
      <c r="P310" s="246"/>
      <c r="Q310" s="246"/>
      <c r="R310" s="246"/>
      <c r="S310" s="246"/>
      <c r="T310" s="246"/>
      <c r="U310" s="246"/>
      <c r="V310" s="246"/>
      <c r="W310" s="246"/>
      <c r="X310" s="246"/>
      <c r="Y310" s="246"/>
      <c r="Z310" s="246"/>
      <c r="AA310" s="246"/>
      <c r="AB310" s="246"/>
      <c r="AC310" s="246"/>
      <c r="AD310" s="246"/>
      <c r="AE310" s="246"/>
      <c r="AF310" s="246"/>
      <c r="AG310" s="246"/>
      <c r="AH310" s="246"/>
      <c r="AI310" s="246"/>
      <c r="AJ310" s="246"/>
      <c r="AK310" s="246"/>
      <c r="AL310" s="246"/>
      <c r="AM310" s="246"/>
      <c r="AN310" s="246"/>
      <c r="AO310" s="246"/>
      <c r="AP310" s="246"/>
      <c r="AQ310" s="246"/>
      <c r="AR310" s="246"/>
      <c r="AS310" s="246"/>
      <c r="AT310" s="246"/>
      <c r="AU310" s="260"/>
    </row>
    <row r="311" spans="1:47" ht="60" customHeight="1" x14ac:dyDescent="0.35">
      <c r="A311" s="256" t="s">
        <v>4034</v>
      </c>
      <c r="B311" s="234" t="s">
        <v>1528</v>
      </c>
      <c r="C311" s="235" t="s">
        <v>4108</v>
      </c>
      <c r="D311" s="238" t="s">
        <v>4109</v>
      </c>
      <c r="E311" s="239" t="s">
        <v>3579</v>
      </c>
      <c r="F311" s="242" t="s">
        <v>4095</v>
      </c>
      <c r="G311" s="245" t="str">
        <f>IF(COUNTIF(H311:AU311,"&lt;&gt;")=0,"",SUMPRODUCT(((Recommendations[ImplStatus]="Implemented")+(Recommendations[ImplStatus]="Compensated"))*ISNUMBER(MATCH(Recommendations[Id],H311:AU311,0)))/COUNTIF(H311:AU311,"&lt;&gt;"))</f>
        <v/>
      </c>
      <c r="H311" s="246"/>
      <c r="I311" s="246"/>
      <c r="J311" s="246"/>
      <c r="K311" s="246"/>
      <c r="L311" s="246"/>
      <c r="M311" s="246"/>
      <c r="N311" s="246"/>
      <c r="O311" s="246"/>
      <c r="P311" s="246"/>
      <c r="Q311" s="246"/>
      <c r="R311" s="246"/>
      <c r="S311" s="246"/>
      <c r="T311" s="246"/>
      <c r="U311" s="246"/>
      <c r="V311" s="246"/>
      <c r="W311" s="246"/>
      <c r="X311" s="246"/>
      <c r="Y311" s="246"/>
      <c r="Z311" s="246"/>
      <c r="AA311" s="246"/>
      <c r="AB311" s="246"/>
      <c r="AC311" s="246"/>
      <c r="AD311" s="246"/>
      <c r="AE311" s="246"/>
      <c r="AF311" s="246"/>
      <c r="AG311" s="246"/>
      <c r="AH311" s="246"/>
      <c r="AI311" s="246"/>
      <c r="AJ311" s="246"/>
      <c r="AK311" s="246"/>
      <c r="AL311" s="246"/>
      <c r="AM311" s="246"/>
      <c r="AN311" s="246"/>
      <c r="AO311" s="246"/>
      <c r="AP311" s="246"/>
      <c r="AQ311" s="246"/>
      <c r="AR311" s="246"/>
      <c r="AS311" s="246"/>
      <c r="AT311" s="246"/>
      <c r="AU311" s="260"/>
    </row>
    <row r="312" spans="1:47" ht="60" customHeight="1" x14ac:dyDescent="0.35">
      <c r="A312" s="256" t="s">
        <v>4034</v>
      </c>
      <c r="B312" s="234" t="s">
        <v>1528</v>
      </c>
      <c r="C312" s="235" t="s">
        <v>4110</v>
      </c>
      <c r="D312" s="238" t="s">
        <v>4111</v>
      </c>
      <c r="E312" s="239" t="s">
        <v>3579</v>
      </c>
      <c r="F312" s="242" t="s">
        <v>4095</v>
      </c>
      <c r="G312" s="245">
        <f>IF(COUNTIF(H312:AU312,"&lt;&gt;")=0,"",SUMPRODUCT(((Recommendations[ImplStatus]="Implemented")+(Recommendations[ImplStatus]="Compensated"))*ISNUMBER(MATCH(Recommendations[Id],H312:AU312,0)))/COUNTIF(H312:AU312,"&lt;&gt;"))</f>
        <v>0</v>
      </c>
      <c r="H312" s="246" t="s">
        <v>33</v>
      </c>
      <c r="I312" s="246"/>
      <c r="J312" s="246"/>
      <c r="K312" s="246"/>
      <c r="L312" s="246"/>
      <c r="M312" s="246"/>
      <c r="N312" s="246"/>
      <c r="O312" s="246"/>
      <c r="P312" s="246"/>
      <c r="Q312" s="246"/>
      <c r="R312" s="246"/>
      <c r="S312" s="246"/>
      <c r="T312" s="246"/>
      <c r="U312" s="246"/>
      <c r="V312" s="246"/>
      <c r="W312" s="246"/>
      <c r="X312" s="246"/>
      <c r="Y312" s="246"/>
      <c r="Z312" s="246"/>
      <c r="AA312" s="246"/>
      <c r="AB312" s="246"/>
      <c r="AC312" s="246"/>
      <c r="AD312" s="246"/>
      <c r="AE312" s="246"/>
      <c r="AF312" s="246"/>
      <c r="AG312" s="246"/>
      <c r="AH312" s="246"/>
      <c r="AI312" s="246"/>
      <c r="AJ312" s="246"/>
      <c r="AK312" s="246"/>
      <c r="AL312" s="246"/>
      <c r="AM312" s="246"/>
      <c r="AN312" s="246"/>
      <c r="AO312" s="246"/>
      <c r="AP312" s="246"/>
      <c r="AQ312" s="246"/>
      <c r="AR312" s="246"/>
      <c r="AS312" s="246"/>
      <c r="AT312" s="246"/>
      <c r="AU312" s="260"/>
    </row>
    <row r="313" spans="1:47" ht="60" customHeight="1" x14ac:dyDescent="0.35">
      <c r="A313" s="256" t="s">
        <v>4034</v>
      </c>
      <c r="B313" s="234" t="s">
        <v>1528</v>
      </c>
      <c r="C313" s="235" t="s">
        <v>4112</v>
      </c>
      <c r="D313" s="238" t="s">
        <v>4113</v>
      </c>
      <c r="E313" s="239" t="s">
        <v>3512</v>
      </c>
      <c r="F313" s="242" t="s">
        <v>4095</v>
      </c>
      <c r="G313" s="245" t="str">
        <f>IF(COUNTIF(H313:AU313,"&lt;&gt;")=0,"",SUMPRODUCT(((Recommendations[ImplStatus]="Implemented")+(Recommendations[ImplStatus]="Compensated"))*ISNUMBER(MATCH(Recommendations[Id],H313:AU313,0)))/COUNTIF(H313:AU313,"&lt;&gt;"))</f>
        <v/>
      </c>
      <c r="H313" s="246"/>
      <c r="I313" s="246"/>
      <c r="J313" s="246"/>
      <c r="K313" s="246"/>
      <c r="L313" s="246"/>
      <c r="M313" s="246"/>
      <c r="N313" s="246"/>
      <c r="O313" s="246"/>
      <c r="P313" s="246"/>
      <c r="Q313" s="246"/>
      <c r="R313" s="246"/>
      <c r="S313" s="246"/>
      <c r="T313" s="246"/>
      <c r="U313" s="246"/>
      <c r="V313" s="246"/>
      <c r="W313" s="246"/>
      <c r="X313" s="246"/>
      <c r="Y313" s="246"/>
      <c r="Z313" s="246"/>
      <c r="AA313" s="246"/>
      <c r="AB313" s="246"/>
      <c r="AC313" s="246"/>
      <c r="AD313" s="246"/>
      <c r="AE313" s="246"/>
      <c r="AF313" s="246"/>
      <c r="AG313" s="246"/>
      <c r="AH313" s="246"/>
      <c r="AI313" s="246"/>
      <c r="AJ313" s="246"/>
      <c r="AK313" s="246"/>
      <c r="AL313" s="246"/>
      <c r="AM313" s="246"/>
      <c r="AN313" s="246"/>
      <c r="AO313" s="246"/>
      <c r="AP313" s="246"/>
      <c r="AQ313" s="246"/>
      <c r="AR313" s="246"/>
      <c r="AS313" s="246"/>
      <c r="AT313" s="246"/>
      <c r="AU313" s="260"/>
    </row>
    <row r="314" spans="1:47" ht="60" customHeight="1" x14ac:dyDescent="0.35">
      <c r="A314" s="256" t="s">
        <v>4034</v>
      </c>
      <c r="B314" s="234" t="s">
        <v>1528</v>
      </c>
      <c r="C314" s="235" t="s">
        <v>4114</v>
      </c>
      <c r="D314" s="238" t="s">
        <v>4115</v>
      </c>
      <c r="E314" s="239" t="s">
        <v>3512</v>
      </c>
      <c r="F314" s="242" t="s">
        <v>4095</v>
      </c>
      <c r="G314" s="245" t="str">
        <f>IF(COUNTIF(H314:AU314,"&lt;&gt;")=0,"",SUMPRODUCT(((Recommendations[ImplStatus]="Implemented")+(Recommendations[ImplStatus]="Compensated"))*ISNUMBER(MATCH(Recommendations[Id],H314:AU314,0)))/COUNTIF(H314:AU314,"&lt;&gt;"))</f>
        <v/>
      </c>
      <c r="H314" s="246"/>
      <c r="I314" s="246"/>
      <c r="J314" s="246"/>
      <c r="K314" s="246"/>
      <c r="L314" s="246"/>
      <c r="M314" s="246"/>
      <c r="N314" s="246"/>
      <c r="O314" s="246"/>
      <c r="P314" s="246"/>
      <c r="Q314" s="246"/>
      <c r="R314" s="246"/>
      <c r="S314" s="246"/>
      <c r="T314" s="246"/>
      <c r="U314" s="246"/>
      <c r="V314" s="246"/>
      <c r="W314" s="246"/>
      <c r="X314" s="246"/>
      <c r="Y314" s="246"/>
      <c r="Z314" s="246"/>
      <c r="AA314" s="246"/>
      <c r="AB314" s="246"/>
      <c r="AC314" s="246"/>
      <c r="AD314" s="246"/>
      <c r="AE314" s="246"/>
      <c r="AF314" s="246"/>
      <c r="AG314" s="246"/>
      <c r="AH314" s="246"/>
      <c r="AI314" s="246"/>
      <c r="AJ314" s="246"/>
      <c r="AK314" s="246"/>
      <c r="AL314" s="246"/>
      <c r="AM314" s="246"/>
      <c r="AN314" s="246"/>
      <c r="AO314" s="246"/>
      <c r="AP314" s="246"/>
      <c r="AQ314" s="246"/>
      <c r="AR314" s="246"/>
      <c r="AS314" s="246"/>
      <c r="AT314" s="246"/>
      <c r="AU314" s="260"/>
    </row>
    <row r="315" spans="1:47" ht="60" customHeight="1" x14ac:dyDescent="0.35">
      <c r="A315" s="256" t="s">
        <v>4034</v>
      </c>
      <c r="B315" s="234" t="s">
        <v>1528</v>
      </c>
      <c r="C315" s="235" t="s">
        <v>4116</v>
      </c>
      <c r="D315" s="238" t="s">
        <v>4117</v>
      </c>
      <c r="E315" s="239" t="s">
        <v>3512</v>
      </c>
      <c r="F315" s="242" t="s">
        <v>4095</v>
      </c>
      <c r="G315" s="245" t="str">
        <f>IF(COUNTIF(H315:AU315,"&lt;&gt;")=0,"",SUMPRODUCT(((Recommendations[ImplStatus]="Implemented")+(Recommendations[ImplStatus]="Compensated"))*ISNUMBER(MATCH(Recommendations[Id],H315:AU315,0)))/COUNTIF(H315:AU315,"&lt;&gt;"))</f>
        <v/>
      </c>
      <c r="H315" s="246"/>
      <c r="I315" s="246"/>
      <c r="J315" s="246"/>
      <c r="K315" s="246"/>
      <c r="L315" s="246"/>
      <c r="M315" s="246"/>
      <c r="N315" s="246"/>
      <c r="O315" s="246"/>
      <c r="P315" s="246"/>
      <c r="Q315" s="246"/>
      <c r="R315" s="246"/>
      <c r="S315" s="246"/>
      <c r="T315" s="246"/>
      <c r="U315" s="246"/>
      <c r="V315" s="246"/>
      <c r="W315" s="246"/>
      <c r="X315" s="246"/>
      <c r="Y315" s="246"/>
      <c r="Z315" s="246"/>
      <c r="AA315" s="246"/>
      <c r="AB315" s="246"/>
      <c r="AC315" s="246"/>
      <c r="AD315" s="246"/>
      <c r="AE315" s="246"/>
      <c r="AF315" s="246"/>
      <c r="AG315" s="246"/>
      <c r="AH315" s="246"/>
      <c r="AI315" s="246"/>
      <c r="AJ315" s="246"/>
      <c r="AK315" s="246"/>
      <c r="AL315" s="246"/>
      <c r="AM315" s="246"/>
      <c r="AN315" s="246"/>
      <c r="AO315" s="246"/>
      <c r="AP315" s="246"/>
      <c r="AQ315" s="246"/>
      <c r="AR315" s="246"/>
      <c r="AS315" s="246"/>
      <c r="AT315" s="246"/>
      <c r="AU315" s="260"/>
    </row>
    <row r="316" spans="1:47" ht="60" customHeight="1" x14ac:dyDescent="0.35">
      <c r="A316" s="256" t="s">
        <v>4034</v>
      </c>
      <c r="B316" s="234" t="s">
        <v>1528</v>
      </c>
      <c r="C316" s="235" t="s">
        <v>4118</v>
      </c>
      <c r="D316" s="238" t="s">
        <v>4119</v>
      </c>
      <c r="E316" s="239" t="s">
        <v>3512</v>
      </c>
      <c r="F316" s="242" t="s">
        <v>4095</v>
      </c>
      <c r="G316" s="245" t="str">
        <f>IF(COUNTIF(H316:AU316,"&lt;&gt;")=0,"",SUMPRODUCT(((Recommendations[ImplStatus]="Implemented")+(Recommendations[ImplStatus]="Compensated"))*ISNUMBER(MATCH(Recommendations[Id],H316:AU316,0)))/COUNTIF(H316:AU316,"&lt;&gt;"))</f>
        <v/>
      </c>
      <c r="H316" s="246"/>
      <c r="I316" s="246"/>
      <c r="J316" s="246"/>
      <c r="K316" s="246"/>
      <c r="L316" s="246"/>
      <c r="M316" s="246"/>
      <c r="N316" s="246"/>
      <c r="O316" s="246"/>
      <c r="P316" s="246"/>
      <c r="Q316" s="246"/>
      <c r="R316" s="246"/>
      <c r="S316" s="246"/>
      <c r="T316" s="246"/>
      <c r="U316" s="246"/>
      <c r="V316" s="246"/>
      <c r="W316" s="246"/>
      <c r="X316" s="246"/>
      <c r="Y316" s="246"/>
      <c r="Z316" s="246"/>
      <c r="AA316" s="246"/>
      <c r="AB316" s="246"/>
      <c r="AC316" s="246"/>
      <c r="AD316" s="246"/>
      <c r="AE316" s="246"/>
      <c r="AF316" s="246"/>
      <c r="AG316" s="246"/>
      <c r="AH316" s="246"/>
      <c r="AI316" s="246"/>
      <c r="AJ316" s="246"/>
      <c r="AK316" s="246"/>
      <c r="AL316" s="246"/>
      <c r="AM316" s="246"/>
      <c r="AN316" s="246"/>
      <c r="AO316" s="246"/>
      <c r="AP316" s="246"/>
      <c r="AQ316" s="246"/>
      <c r="AR316" s="246"/>
      <c r="AS316" s="246"/>
      <c r="AT316" s="246"/>
      <c r="AU316" s="260"/>
    </row>
    <row r="317" spans="1:47" ht="60" customHeight="1" x14ac:dyDescent="0.35">
      <c r="A317" s="256" t="s">
        <v>4034</v>
      </c>
      <c r="B317" s="234" t="s">
        <v>1528</v>
      </c>
      <c r="C317" s="235" t="s">
        <v>4120</v>
      </c>
      <c r="D317" s="238" t="s">
        <v>4121</v>
      </c>
      <c r="E317" s="239" t="s">
        <v>3579</v>
      </c>
      <c r="F317" s="242" t="s">
        <v>4053</v>
      </c>
      <c r="G317" s="245">
        <f>IF(COUNTIF(H317:AU317,"&lt;&gt;")=0,"",SUMPRODUCT(((Recommendations[ImplStatus]="Implemented")+(Recommendations[ImplStatus]="Compensated"))*ISNUMBER(MATCH(Recommendations[Id],H317:AU317,0)))/COUNTIF(H317:AU317,"&lt;&gt;"))</f>
        <v>0</v>
      </c>
      <c r="H317" s="246" t="s">
        <v>197</v>
      </c>
      <c r="I317" s="246"/>
      <c r="J317" s="246"/>
      <c r="K317" s="246"/>
      <c r="L317" s="246"/>
      <c r="M317" s="246"/>
      <c r="N317" s="246"/>
      <c r="O317" s="246"/>
      <c r="P317" s="246"/>
      <c r="Q317" s="246"/>
      <c r="R317" s="246"/>
      <c r="S317" s="246"/>
      <c r="T317" s="246"/>
      <c r="U317" s="246"/>
      <c r="V317" s="246"/>
      <c r="W317" s="246"/>
      <c r="X317" s="246"/>
      <c r="Y317" s="246"/>
      <c r="Z317" s="246"/>
      <c r="AA317" s="246"/>
      <c r="AB317" s="246"/>
      <c r="AC317" s="246"/>
      <c r="AD317" s="246"/>
      <c r="AE317" s="246"/>
      <c r="AF317" s="246"/>
      <c r="AG317" s="246"/>
      <c r="AH317" s="246"/>
      <c r="AI317" s="246"/>
      <c r="AJ317" s="246"/>
      <c r="AK317" s="246"/>
      <c r="AL317" s="246"/>
      <c r="AM317" s="246"/>
      <c r="AN317" s="246"/>
      <c r="AO317" s="246"/>
      <c r="AP317" s="246"/>
      <c r="AQ317" s="246"/>
      <c r="AR317" s="246"/>
      <c r="AS317" s="246"/>
      <c r="AT317" s="246"/>
      <c r="AU317" s="260"/>
    </row>
    <row r="318" spans="1:47" ht="60" customHeight="1" x14ac:dyDescent="0.35">
      <c r="A318" s="256" t="s">
        <v>4034</v>
      </c>
      <c r="B318" s="234" t="s">
        <v>1528</v>
      </c>
      <c r="C318" s="235" t="s">
        <v>4122</v>
      </c>
      <c r="D318" s="238" t="s">
        <v>4123</v>
      </c>
      <c r="E318" s="239" t="s">
        <v>3627</v>
      </c>
      <c r="F318" s="242" t="s">
        <v>4053</v>
      </c>
      <c r="G318" s="245" t="str">
        <f>IF(COUNTIF(H318:AU318,"&lt;&gt;")=0,"",SUMPRODUCT(((Recommendations[ImplStatus]="Implemented")+(Recommendations[ImplStatus]="Compensated"))*ISNUMBER(MATCH(Recommendations[Id],H318:AU318,0)))/COUNTIF(H318:AU318,"&lt;&gt;"))</f>
        <v/>
      </c>
      <c r="H318" s="246"/>
      <c r="I318" s="246"/>
      <c r="J318" s="246"/>
      <c r="K318" s="246"/>
      <c r="L318" s="246"/>
      <c r="M318" s="246"/>
      <c r="N318" s="246"/>
      <c r="O318" s="246"/>
      <c r="P318" s="246"/>
      <c r="Q318" s="246"/>
      <c r="R318" s="246"/>
      <c r="S318" s="246"/>
      <c r="T318" s="246"/>
      <c r="U318" s="246"/>
      <c r="V318" s="246"/>
      <c r="W318" s="246"/>
      <c r="X318" s="246"/>
      <c r="Y318" s="246"/>
      <c r="Z318" s="246"/>
      <c r="AA318" s="246"/>
      <c r="AB318" s="246"/>
      <c r="AC318" s="246"/>
      <c r="AD318" s="246"/>
      <c r="AE318" s="246"/>
      <c r="AF318" s="246"/>
      <c r="AG318" s="246"/>
      <c r="AH318" s="246"/>
      <c r="AI318" s="246"/>
      <c r="AJ318" s="246"/>
      <c r="AK318" s="246"/>
      <c r="AL318" s="246"/>
      <c r="AM318" s="246"/>
      <c r="AN318" s="246"/>
      <c r="AO318" s="246"/>
      <c r="AP318" s="246"/>
      <c r="AQ318" s="246"/>
      <c r="AR318" s="246"/>
      <c r="AS318" s="246"/>
      <c r="AT318" s="246"/>
      <c r="AU318" s="260"/>
    </row>
    <row r="319" spans="1:47" ht="60" customHeight="1" x14ac:dyDescent="0.35">
      <c r="A319" s="256" t="s">
        <v>4034</v>
      </c>
      <c r="B319" s="234" t="s">
        <v>1528</v>
      </c>
      <c r="C319" s="235" t="s">
        <v>4124</v>
      </c>
      <c r="D319" s="238" t="s">
        <v>4125</v>
      </c>
      <c r="E319" s="239" t="s">
        <v>3627</v>
      </c>
      <c r="F319" s="242" t="s">
        <v>4053</v>
      </c>
      <c r="G319" s="245">
        <f>IF(COUNTIF(H319:AU319,"&lt;&gt;")=0,"",SUMPRODUCT(((Recommendations[ImplStatus]="Implemented")+(Recommendations[ImplStatus]="Compensated"))*ISNUMBER(MATCH(Recommendations[Id],H319:AU319,0)))/COUNTIF(H319:AU319,"&lt;&gt;"))</f>
        <v>0</v>
      </c>
      <c r="H319" s="246" t="s">
        <v>385</v>
      </c>
      <c r="I319" s="246"/>
      <c r="J319" s="246"/>
      <c r="K319" s="246"/>
      <c r="L319" s="246"/>
      <c r="M319" s="246"/>
      <c r="N319" s="246"/>
      <c r="O319" s="246"/>
      <c r="P319" s="246"/>
      <c r="Q319" s="246"/>
      <c r="R319" s="246"/>
      <c r="S319" s="246"/>
      <c r="T319" s="246"/>
      <c r="U319" s="246"/>
      <c r="V319" s="246"/>
      <c r="W319" s="246"/>
      <c r="X319" s="246"/>
      <c r="Y319" s="246"/>
      <c r="Z319" s="246"/>
      <c r="AA319" s="246"/>
      <c r="AB319" s="246"/>
      <c r="AC319" s="246"/>
      <c r="AD319" s="246"/>
      <c r="AE319" s="246"/>
      <c r="AF319" s="246"/>
      <c r="AG319" s="246"/>
      <c r="AH319" s="246"/>
      <c r="AI319" s="246"/>
      <c r="AJ319" s="246"/>
      <c r="AK319" s="246"/>
      <c r="AL319" s="246"/>
      <c r="AM319" s="246"/>
      <c r="AN319" s="246"/>
      <c r="AO319" s="246"/>
      <c r="AP319" s="246"/>
      <c r="AQ319" s="246"/>
      <c r="AR319" s="246"/>
      <c r="AS319" s="246"/>
      <c r="AT319" s="246"/>
      <c r="AU319" s="260"/>
    </row>
    <row r="320" spans="1:47" ht="60" customHeight="1" outlineLevel="2" x14ac:dyDescent="0.35">
      <c r="A320" s="255" t="s">
        <v>4034</v>
      </c>
      <c r="B320" s="233" t="s">
        <v>4126</v>
      </c>
      <c r="C320" s="233"/>
      <c r="D320" s="237"/>
      <c r="E320" s="233"/>
      <c r="F320" s="241"/>
      <c r="G320" s="244" t="str">
        <f>IF(COUNTIF(H320:AU320,"&lt;&gt;")=0,"",SUMPRODUCT(((Recommendations[ImplStatus]="Implemented")+(Recommendations[ImplStatus]="Compensated"))*ISNUMBER(MATCH(Recommendations[Id],H320:AU320,0)))/COUNTIF(H320:AU320,"&lt;&gt;"))</f>
        <v/>
      </c>
      <c r="H320" s="241"/>
      <c r="I320" s="241"/>
      <c r="J320" s="241"/>
      <c r="K320" s="241"/>
      <c r="L320" s="241"/>
      <c r="M320" s="241"/>
      <c r="N320" s="241"/>
      <c r="O320" s="241"/>
      <c r="P320" s="241"/>
      <c r="Q320" s="241"/>
      <c r="R320" s="241"/>
      <c r="S320" s="241"/>
      <c r="T320" s="241"/>
      <c r="U320" s="241"/>
      <c r="V320" s="241"/>
      <c r="W320" s="241"/>
      <c r="X320" s="241"/>
      <c r="Y320" s="241"/>
      <c r="Z320" s="241"/>
      <c r="AA320" s="241"/>
      <c r="AB320" s="241"/>
      <c r="AC320" s="241"/>
      <c r="AD320" s="241"/>
      <c r="AE320" s="241"/>
      <c r="AF320" s="241"/>
      <c r="AG320" s="241"/>
      <c r="AH320" s="241"/>
      <c r="AI320" s="241"/>
      <c r="AJ320" s="241"/>
      <c r="AK320" s="241"/>
      <c r="AL320" s="241"/>
      <c r="AM320" s="241"/>
      <c r="AN320" s="241"/>
      <c r="AO320" s="241"/>
      <c r="AP320" s="241"/>
      <c r="AQ320" s="241"/>
      <c r="AR320" s="241"/>
      <c r="AS320" s="241"/>
      <c r="AT320" s="241"/>
      <c r="AU320" s="259"/>
    </row>
    <row r="321" spans="1:47" ht="60" customHeight="1" x14ac:dyDescent="0.35">
      <c r="A321" s="256" t="s">
        <v>4034</v>
      </c>
      <c r="B321" s="234" t="s">
        <v>4126</v>
      </c>
      <c r="C321" s="235" t="s">
        <v>4127</v>
      </c>
      <c r="D321" s="238" t="s">
        <v>4128</v>
      </c>
      <c r="E321" s="239" t="s">
        <v>3512</v>
      </c>
      <c r="F321" s="242" t="s">
        <v>4129</v>
      </c>
      <c r="G321" s="245" t="str">
        <f>IF(COUNTIF(H321:AU321,"&lt;&gt;")=0,"",SUMPRODUCT(((Recommendations[ImplStatus]="Implemented")+(Recommendations[ImplStatus]="Compensated"))*ISNUMBER(MATCH(Recommendations[Id],H321:AU321,0)))/COUNTIF(H321:AU321,"&lt;&gt;"))</f>
        <v/>
      </c>
      <c r="H321" s="246"/>
      <c r="I321" s="246"/>
      <c r="J321" s="246"/>
      <c r="K321" s="246"/>
      <c r="L321" s="246"/>
      <c r="M321" s="246"/>
      <c r="N321" s="246"/>
      <c r="O321" s="246"/>
      <c r="P321" s="246"/>
      <c r="Q321" s="246"/>
      <c r="R321" s="246"/>
      <c r="S321" s="246"/>
      <c r="T321" s="246"/>
      <c r="U321" s="246"/>
      <c r="V321" s="246"/>
      <c r="W321" s="246"/>
      <c r="X321" s="246"/>
      <c r="Y321" s="246"/>
      <c r="Z321" s="246"/>
      <c r="AA321" s="246"/>
      <c r="AB321" s="246"/>
      <c r="AC321" s="246"/>
      <c r="AD321" s="246"/>
      <c r="AE321" s="246"/>
      <c r="AF321" s="246"/>
      <c r="AG321" s="246"/>
      <c r="AH321" s="246"/>
      <c r="AI321" s="246"/>
      <c r="AJ321" s="246"/>
      <c r="AK321" s="246"/>
      <c r="AL321" s="246"/>
      <c r="AM321" s="246"/>
      <c r="AN321" s="246"/>
      <c r="AO321" s="246"/>
      <c r="AP321" s="246"/>
      <c r="AQ321" s="246"/>
      <c r="AR321" s="246"/>
      <c r="AS321" s="246"/>
      <c r="AT321" s="246"/>
      <c r="AU321" s="260"/>
    </row>
    <row r="322" spans="1:47" ht="60" customHeight="1" x14ac:dyDescent="0.35">
      <c r="A322" s="256" t="s">
        <v>4034</v>
      </c>
      <c r="B322" s="234" t="s">
        <v>4126</v>
      </c>
      <c r="C322" s="235" t="s">
        <v>4130</v>
      </c>
      <c r="D322" s="238" t="s">
        <v>4131</v>
      </c>
      <c r="E322" s="239" t="s">
        <v>3512</v>
      </c>
      <c r="F322" s="242" t="s">
        <v>4129</v>
      </c>
      <c r="G322" s="245" t="str">
        <f>IF(COUNTIF(H322:AU322,"&lt;&gt;")=0,"",SUMPRODUCT(((Recommendations[ImplStatus]="Implemented")+(Recommendations[ImplStatus]="Compensated"))*ISNUMBER(MATCH(Recommendations[Id],H322:AU322,0)))/COUNTIF(H322:AU322,"&lt;&gt;"))</f>
        <v/>
      </c>
      <c r="H322" s="246"/>
      <c r="I322" s="246"/>
      <c r="J322" s="246"/>
      <c r="K322" s="246"/>
      <c r="L322" s="246"/>
      <c r="M322" s="246"/>
      <c r="N322" s="246"/>
      <c r="O322" s="246"/>
      <c r="P322" s="246"/>
      <c r="Q322" s="246"/>
      <c r="R322" s="246"/>
      <c r="S322" s="246"/>
      <c r="T322" s="246"/>
      <c r="U322" s="246"/>
      <c r="V322" s="246"/>
      <c r="W322" s="246"/>
      <c r="X322" s="246"/>
      <c r="Y322" s="246"/>
      <c r="Z322" s="246"/>
      <c r="AA322" s="246"/>
      <c r="AB322" s="246"/>
      <c r="AC322" s="246"/>
      <c r="AD322" s="246"/>
      <c r="AE322" s="246"/>
      <c r="AF322" s="246"/>
      <c r="AG322" s="246"/>
      <c r="AH322" s="246"/>
      <c r="AI322" s="246"/>
      <c r="AJ322" s="246"/>
      <c r="AK322" s="246"/>
      <c r="AL322" s="246"/>
      <c r="AM322" s="246"/>
      <c r="AN322" s="246"/>
      <c r="AO322" s="246"/>
      <c r="AP322" s="246"/>
      <c r="AQ322" s="246"/>
      <c r="AR322" s="246"/>
      <c r="AS322" s="246"/>
      <c r="AT322" s="246"/>
      <c r="AU322" s="260"/>
    </row>
    <row r="323" spans="1:47" ht="60" customHeight="1" x14ac:dyDescent="0.35">
      <c r="A323" s="256" t="s">
        <v>4034</v>
      </c>
      <c r="B323" s="234" t="s">
        <v>4126</v>
      </c>
      <c r="C323" s="235" t="s">
        <v>4132</v>
      </c>
      <c r="D323" s="238" t="s">
        <v>4133</v>
      </c>
      <c r="E323" s="239" t="s">
        <v>3512</v>
      </c>
      <c r="F323" s="242" t="s">
        <v>4129</v>
      </c>
      <c r="G323" s="245" t="str">
        <f>IF(COUNTIF(H323:AU323,"&lt;&gt;")=0,"",SUMPRODUCT(((Recommendations[ImplStatus]="Implemented")+(Recommendations[ImplStatus]="Compensated"))*ISNUMBER(MATCH(Recommendations[Id],H323:AU323,0)))/COUNTIF(H323:AU323,"&lt;&gt;"))</f>
        <v/>
      </c>
      <c r="H323" s="246"/>
      <c r="I323" s="246"/>
      <c r="J323" s="246"/>
      <c r="K323" s="246"/>
      <c r="L323" s="246"/>
      <c r="M323" s="246"/>
      <c r="N323" s="246"/>
      <c r="O323" s="246"/>
      <c r="P323" s="246"/>
      <c r="Q323" s="246"/>
      <c r="R323" s="246"/>
      <c r="S323" s="246"/>
      <c r="T323" s="246"/>
      <c r="U323" s="246"/>
      <c r="V323" s="246"/>
      <c r="W323" s="246"/>
      <c r="X323" s="246"/>
      <c r="Y323" s="246"/>
      <c r="Z323" s="246"/>
      <c r="AA323" s="246"/>
      <c r="AB323" s="246"/>
      <c r="AC323" s="246"/>
      <c r="AD323" s="246"/>
      <c r="AE323" s="246"/>
      <c r="AF323" s="246"/>
      <c r="AG323" s="246"/>
      <c r="AH323" s="246"/>
      <c r="AI323" s="246"/>
      <c r="AJ323" s="246"/>
      <c r="AK323" s="246"/>
      <c r="AL323" s="246"/>
      <c r="AM323" s="246"/>
      <c r="AN323" s="246"/>
      <c r="AO323" s="246"/>
      <c r="AP323" s="246"/>
      <c r="AQ323" s="246"/>
      <c r="AR323" s="246"/>
      <c r="AS323" s="246"/>
      <c r="AT323" s="246"/>
      <c r="AU323" s="260"/>
    </row>
    <row r="324" spans="1:47" ht="60" customHeight="1" x14ac:dyDescent="0.35">
      <c r="A324" s="256" t="s">
        <v>4034</v>
      </c>
      <c r="B324" s="234" t="s">
        <v>4126</v>
      </c>
      <c r="C324" s="235" t="s">
        <v>4134</v>
      </c>
      <c r="D324" s="238" t="s">
        <v>4135</v>
      </c>
      <c r="E324" s="239" t="s">
        <v>3512</v>
      </c>
      <c r="F324" s="242" t="s">
        <v>4129</v>
      </c>
      <c r="G324" s="245" t="str">
        <f>IF(COUNTIF(H324:AU324,"&lt;&gt;")=0,"",SUMPRODUCT(((Recommendations[ImplStatus]="Implemented")+(Recommendations[ImplStatus]="Compensated"))*ISNUMBER(MATCH(Recommendations[Id],H324:AU324,0)))/COUNTIF(H324:AU324,"&lt;&gt;"))</f>
        <v/>
      </c>
      <c r="H324" s="246"/>
      <c r="I324" s="246"/>
      <c r="J324" s="246"/>
      <c r="K324" s="246"/>
      <c r="L324" s="246"/>
      <c r="M324" s="246"/>
      <c r="N324" s="246"/>
      <c r="O324" s="246"/>
      <c r="P324" s="246"/>
      <c r="Q324" s="246"/>
      <c r="R324" s="246"/>
      <c r="S324" s="246"/>
      <c r="T324" s="246"/>
      <c r="U324" s="246"/>
      <c r="V324" s="246"/>
      <c r="W324" s="246"/>
      <c r="X324" s="246"/>
      <c r="Y324" s="246"/>
      <c r="Z324" s="246"/>
      <c r="AA324" s="246"/>
      <c r="AB324" s="246"/>
      <c r="AC324" s="246"/>
      <c r="AD324" s="246"/>
      <c r="AE324" s="246"/>
      <c r="AF324" s="246"/>
      <c r="AG324" s="246"/>
      <c r="AH324" s="246"/>
      <c r="AI324" s="246"/>
      <c r="AJ324" s="246"/>
      <c r="AK324" s="246"/>
      <c r="AL324" s="246"/>
      <c r="AM324" s="246"/>
      <c r="AN324" s="246"/>
      <c r="AO324" s="246"/>
      <c r="AP324" s="246"/>
      <c r="AQ324" s="246"/>
      <c r="AR324" s="246"/>
      <c r="AS324" s="246"/>
      <c r="AT324" s="246"/>
      <c r="AU324" s="260"/>
    </row>
    <row r="325" spans="1:47" ht="60" customHeight="1" x14ac:dyDescent="0.35">
      <c r="A325" s="256" t="s">
        <v>4034</v>
      </c>
      <c r="B325" s="234" t="s">
        <v>4126</v>
      </c>
      <c r="C325" s="235" t="s">
        <v>4136</v>
      </c>
      <c r="D325" s="238" t="s">
        <v>4137</v>
      </c>
      <c r="E325" s="239" t="s">
        <v>3512</v>
      </c>
      <c r="F325" s="242" t="s">
        <v>4129</v>
      </c>
      <c r="G325" s="245" t="str">
        <f>IF(COUNTIF(H325:AU325,"&lt;&gt;")=0,"",SUMPRODUCT(((Recommendations[ImplStatus]="Implemented")+(Recommendations[ImplStatus]="Compensated"))*ISNUMBER(MATCH(Recommendations[Id],H325:AU325,0)))/COUNTIF(H325:AU325,"&lt;&gt;"))</f>
        <v/>
      </c>
      <c r="H325" s="246"/>
      <c r="I325" s="246"/>
      <c r="J325" s="246"/>
      <c r="K325" s="246"/>
      <c r="L325" s="246"/>
      <c r="M325" s="246"/>
      <c r="N325" s="246"/>
      <c r="O325" s="246"/>
      <c r="P325" s="246"/>
      <c r="Q325" s="246"/>
      <c r="R325" s="246"/>
      <c r="S325" s="246"/>
      <c r="T325" s="246"/>
      <c r="U325" s="246"/>
      <c r="V325" s="246"/>
      <c r="W325" s="246"/>
      <c r="X325" s="246"/>
      <c r="Y325" s="246"/>
      <c r="Z325" s="246"/>
      <c r="AA325" s="246"/>
      <c r="AB325" s="246"/>
      <c r="AC325" s="246"/>
      <c r="AD325" s="246"/>
      <c r="AE325" s="246"/>
      <c r="AF325" s="246"/>
      <c r="AG325" s="246"/>
      <c r="AH325" s="246"/>
      <c r="AI325" s="246"/>
      <c r="AJ325" s="246"/>
      <c r="AK325" s="246"/>
      <c r="AL325" s="246"/>
      <c r="AM325" s="246"/>
      <c r="AN325" s="246"/>
      <c r="AO325" s="246"/>
      <c r="AP325" s="246"/>
      <c r="AQ325" s="246"/>
      <c r="AR325" s="246"/>
      <c r="AS325" s="246"/>
      <c r="AT325" s="246"/>
      <c r="AU325" s="260"/>
    </row>
    <row r="326" spans="1:47" ht="60" customHeight="1" x14ac:dyDescent="0.35">
      <c r="A326" s="256" t="s">
        <v>4034</v>
      </c>
      <c r="B326" s="234" t="s">
        <v>4126</v>
      </c>
      <c r="C326" s="235" t="s">
        <v>4138</v>
      </c>
      <c r="D326" s="238" t="s">
        <v>4139</v>
      </c>
      <c r="E326" s="239" t="s">
        <v>3512</v>
      </c>
      <c r="F326" s="242" t="s">
        <v>4129</v>
      </c>
      <c r="G326" s="245" t="str">
        <f>IF(COUNTIF(H326:AU326,"&lt;&gt;")=0,"",SUMPRODUCT(((Recommendations[ImplStatus]="Implemented")+(Recommendations[ImplStatus]="Compensated"))*ISNUMBER(MATCH(Recommendations[Id],H326:AU326,0)))/COUNTIF(H326:AU326,"&lt;&gt;"))</f>
        <v/>
      </c>
      <c r="H326" s="246"/>
      <c r="I326" s="246"/>
      <c r="J326" s="246"/>
      <c r="K326" s="246"/>
      <c r="L326" s="246"/>
      <c r="M326" s="246"/>
      <c r="N326" s="246"/>
      <c r="O326" s="246"/>
      <c r="P326" s="246"/>
      <c r="Q326" s="246"/>
      <c r="R326" s="246"/>
      <c r="S326" s="246"/>
      <c r="T326" s="246"/>
      <c r="U326" s="246"/>
      <c r="V326" s="246"/>
      <c r="W326" s="246"/>
      <c r="X326" s="246"/>
      <c r="Y326" s="246"/>
      <c r="Z326" s="246"/>
      <c r="AA326" s="246"/>
      <c r="AB326" s="246"/>
      <c r="AC326" s="246"/>
      <c r="AD326" s="246"/>
      <c r="AE326" s="246"/>
      <c r="AF326" s="246"/>
      <c r="AG326" s="246"/>
      <c r="AH326" s="246"/>
      <c r="AI326" s="246"/>
      <c r="AJ326" s="246"/>
      <c r="AK326" s="246"/>
      <c r="AL326" s="246"/>
      <c r="AM326" s="246"/>
      <c r="AN326" s="246"/>
      <c r="AO326" s="246"/>
      <c r="AP326" s="246"/>
      <c r="AQ326" s="246"/>
      <c r="AR326" s="246"/>
      <c r="AS326" s="246"/>
      <c r="AT326" s="246"/>
      <c r="AU326" s="260"/>
    </row>
    <row r="327" spans="1:47" ht="60" customHeight="1" x14ac:dyDescent="0.35">
      <c r="A327" s="256" t="s">
        <v>4034</v>
      </c>
      <c r="B327" s="234" t="s">
        <v>4126</v>
      </c>
      <c r="C327" s="235" t="s">
        <v>4140</v>
      </c>
      <c r="D327" s="238" t="s">
        <v>4141</v>
      </c>
      <c r="E327" s="239" t="s">
        <v>3512</v>
      </c>
      <c r="F327" s="242" t="s">
        <v>4129</v>
      </c>
      <c r="G327" s="245" t="str">
        <f>IF(COUNTIF(H327:AU327,"&lt;&gt;")=0,"",SUMPRODUCT(((Recommendations[ImplStatus]="Implemented")+(Recommendations[ImplStatus]="Compensated"))*ISNUMBER(MATCH(Recommendations[Id],H327:AU327,0)))/COUNTIF(H327:AU327,"&lt;&gt;"))</f>
        <v/>
      </c>
      <c r="H327" s="246"/>
      <c r="I327" s="246"/>
      <c r="J327" s="246"/>
      <c r="K327" s="246"/>
      <c r="L327" s="246"/>
      <c r="M327" s="246"/>
      <c r="N327" s="246"/>
      <c r="O327" s="246"/>
      <c r="P327" s="246"/>
      <c r="Q327" s="246"/>
      <c r="R327" s="246"/>
      <c r="S327" s="246"/>
      <c r="T327" s="246"/>
      <c r="U327" s="246"/>
      <c r="V327" s="246"/>
      <c r="W327" s="246"/>
      <c r="X327" s="246"/>
      <c r="Y327" s="246"/>
      <c r="Z327" s="246"/>
      <c r="AA327" s="246"/>
      <c r="AB327" s="246"/>
      <c r="AC327" s="246"/>
      <c r="AD327" s="246"/>
      <c r="AE327" s="246"/>
      <c r="AF327" s="246"/>
      <c r="AG327" s="246"/>
      <c r="AH327" s="246"/>
      <c r="AI327" s="246"/>
      <c r="AJ327" s="246"/>
      <c r="AK327" s="246"/>
      <c r="AL327" s="246"/>
      <c r="AM327" s="246"/>
      <c r="AN327" s="246"/>
      <c r="AO327" s="246"/>
      <c r="AP327" s="246"/>
      <c r="AQ327" s="246"/>
      <c r="AR327" s="246"/>
      <c r="AS327" s="246"/>
      <c r="AT327" s="246"/>
      <c r="AU327" s="260"/>
    </row>
    <row r="328" spans="1:47" ht="60" customHeight="1" x14ac:dyDescent="0.35">
      <c r="A328" s="256" t="s">
        <v>4034</v>
      </c>
      <c r="B328" s="234" t="s">
        <v>4126</v>
      </c>
      <c r="C328" s="235" t="s">
        <v>4142</v>
      </c>
      <c r="D328" s="238" t="s">
        <v>4143</v>
      </c>
      <c r="E328" s="239" t="s">
        <v>3512</v>
      </c>
      <c r="F328" s="242" t="s">
        <v>4129</v>
      </c>
      <c r="G328" s="245" t="str">
        <f>IF(COUNTIF(H328:AU328,"&lt;&gt;")=0,"",SUMPRODUCT(((Recommendations[ImplStatus]="Implemented")+(Recommendations[ImplStatus]="Compensated"))*ISNUMBER(MATCH(Recommendations[Id],H328:AU328,0)))/COUNTIF(H328:AU328,"&lt;&gt;"))</f>
        <v/>
      </c>
      <c r="H328" s="246"/>
      <c r="I328" s="246"/>
      <c r="J328" s="246"/>
      <c r="K328" s="246"/>
      <c r="L328" s="246"/>
      <c r="M328" s="246"/>
      <c r="N328" s="246"/>
      <c r="O328" s="246"/>
      <c r="P328" s="246"/>
      <c r="Q328" s="246"/>
      <c r="R328" s="246"/>
      <c r="S328" s="246"/>
      <c r="T328" s="246"/>
      <c r="U328" s="246"/>
      <c r="V328" s="246"/>
      <c r="W328" s="246"/>
      <c r="X328" s="246"/>
      <c r="Y328" s="246"/>
      <c r="Z328" s="246"/>
      <c r="AA328" s="246"/>
      <c r="AB328" s="246"/>
      <c r="AC328" s="246"/>
      <c r="AD328" s="246"/>
      <c r="AE328" s="246"/>
      <c r="AF328" s="246"/>
      <c r="AG328" s="246"/>
      <c r="AH328" s="246"/>
      <c r="AI328" s="246"/>
      <c r="AJ328" s="246"/>
      <c r="AK328" s="246"/>
      <c r="AL328" s="246"/>
      <c r="AM328" s="246"/>
      <c r="AN328" s="246"/>
      <c r="AO328" s="246"/>
      <c r="AP328" s="246"/>
      <c r="AQ328" s="246"/>
      <c r="AR328" s="246"/>
      <c r="AS328" s="246"/>
      <c r="AT328" s="246"/>
      <c r="AU328" s="260"/>
    </row>
    <row r="329" spans="1:47" ht="60" customHeight="1" x14ac:dyDescent="0.35">
      <c r="A329" s="256" t="s">
        <v>4034</v>
      </c>
      <c r="B329" s="234" t="s">
        <v>4126</v>
      </c>
      <c r="C329" s="235" t="s">
        <v>4144</v>
      </c>
      <c r="D329" s="238" t="s">
        <v>4145</v>
      </c>
      <c r="E329" s="239" t="s">
        <v>3512</v>
      </c>
      <c r="F329" s="242" t="s">
        <v>4129</v>
      </c>
      <c r="G329" s="245" t="str">
        <f>IF(COUNTIF(H329:AU329,"&lt;&gt;")=0,"",SUMPRODUCT(((Recommendations[ImplStatus]="Implemented")+(Recommendations[ImplStatus]="Compensated"))*ISNUMBER(MATCH(Recommendations[Id],H329:AU329,0)))/COUNTIF(H329:AU329,"&lt;&gt;"))</f>
        <v/>
      </c>
      <c r="H329" s="246"/>
      <c r="I329" s="246"/>
      <c r="J329" s="246"/>
      <c r="K329" s="246"/>
      <c r="L329" s="246"/>
      <c r="M329" s="246"/>
      <c r="N329" s="246"/>
      <c r="O329" s="246"/>
      <c r="P329" s="246"/>
      <c r="Q329" s="246"/>
      <c r="R329" s="246"/>
      <c r="S329" s="246"/>
      <c r="T329" s="246"/>
      <c r="U329" s="246"/>
      <c r="V329" s="246"/>
      <c r="W329" s="246"/>
      <c r="X329" s="246"/>
      <c r="Y329" s="246"/>
      <c r="Z329" s="246"/>
      <c r="AA329" s="246"/>
      <c r="AB329" s="246"/>
      <c r="AC329" s="246"/>
      <c r="AD329" s="246"/>
      <c r="AE329" s="246"/>
      <c r="AF329" s="246"/>
      <c r="AG329" s="246"/>
      <c r="AH329" s="246"/>
      <c r="AI329" s="246"/>
      <c r="AJ329" s="246"/>
      <c r="AK329" s="246"/>
      <c r="AL329" s="246"/>
      <c r="AM329" s="246"/>
      <c r="AN329" s="246"/>
      <c r="AO329" s="246"/>
      <c r="AP329" s="246"/>
      <c r="AQ329" s="246"/>
      <c r="AR329" s="246"/>
      <c r="AS329" s="246"/>
      <c r="AT329" s="246"/>
      <c r="AU329" s="260"/>
    </row>
    <row r="330" spans="1:47" ht="60" customHeight="1" x14ac:dyDescent="0.35">
      <c r="A330" s="256" t="s">
        <v>4034</v>
      </c>
      <c r="B330" s="234" t="s">
        <v>4126</v>
      </c>
      <c r="C330" s="235" t="s">
        <v>4146</v>
      </c>
      <c r="D330" s="238" t="s">
        <v>4147</v>
      </c>
      <c r="E330" s="239" t="s">
        <v>3512</v>
      </c>
      <c r="F330" s="242" t="s">
        <v>4129</v>
      </c>
      <c r="G330" s="245" t="str">
        <f>IF(COUNTIF(H330:AU330,"&lt;&gt;")=0,"",SUMPRODUCT(((Recommendations[ImplStatus]="Implemented")+(Recommendations[ImplStatus]="Compensated"))*ISNUMBER(MATCH(Recommendations[Id],H330:AU330,0)))/COUNTIF(H330:AU330,"&lt;&gt;"))</f>
        <v/>
      </c>
      <c r="H330" s="246"/>
      <c r="I330" s="246"/>
      <c r="J330" s="246"/>
      <c r="K330" s="246"/>
      <c r="L330" s="246"/>
      <c r="M330" s="246"/>
      <c r="N330" s="246"/>
      <c r="O330" s="246"/>
      <c r="P330" s="246"/>
      <c r="Q330" s="246"/>
      <c r="R330" s="246"/>
      <c r="S330" s="246"/>
      <c r="T330" s="246"/>
      <c r="U330" s="246"/>
      <c r="V330" s="246"/>
      <c r="W330" s="246"/>
      <c r="X330" s="246"/>
      <c r="Y330" s="246"/>
      <c r="Z330" s="246"/>
      <c r="AA330" s="246"/>
      <c r="AB330" s="246"/>
      <c r="AC330" s="246"/>
      <c r="AD330" s="246"/>
      <c r="AE330" s="246"/>
      <c r="AF330" s="246"/>
      <c r="AG330" s="246"/>
      <c r="AH330" s="246"/>
      <c r="AI330" s="246"/>
      <c r="AJ330" s="246"/>
      <c r="AK330" s="246"/>
      <c r="AL330" s="246"/>
      <c r="AM330" s="246"/>
      <c r="AN330" s="246"/>
      <c r="AO330" s="246"/>
      <c r="AP330" s="246"/>
      <c r="AQ330" s="246"/>
      <c r="AR330" s="246"/>
      <c r="AS330" s="246"/>
      <c r="AT330" s="246"/>
      <c r="AU330" s="260"/>
    </row>
    <row r="331" spans="1:47" ht="60" customHeight="1" x14ac:dyDescent="0.35">
      <c r="A331" s="256" t="s">
        <v>4034</v>
      </c>
      <c r="B331" s="234" t="s">
        <v>4126</v>
      </c>
      <c r="C331" s="235" t="s">
        <v>4148</v>
      </c>
      <c r="D331" s="238" t="s">
        <v>4149</v>
      </c>
      <c r="E331" s="239" t="s">
        <v>3512</v>
      </c>
      <c r="F331" s="242" t="s">
        <v>4129</v>
      </c>
      <c r="G331" s="245" t="str">
        <f>IF(COUNTIF(H331:AU331,"&lt;&gt;")=0,"",SUMPRODUCT(((Recommendations[ImplStatus]="Implemented")+(Recommendations[ImplStatus]="Compensated"))*ISNUMBER(MATCH(Recommendations[Id],H331:AU331,0)))/COUNTIF(H331:AU331,"&lt;&gt;"))</f>
        <v/>
      </c>
      <c r="H331" s="246"/>
      <c r="I331" s="246"/>
      <c r="J331" s="246"/>
      <c r="K331" s="246"/>
      <c r="L331" s="246"/>
      <c r="M331" s="246"/>
      <c r="N331" s="246"/>
      <c r="O331" s="246"/>
      <c r="P331" s="246"/>
      <c r="Q331" s="246"/>
      <c r="R331" s="246"/>
      <c r="S331" s="246"/>
      <c r="T331" s="246"/>
      <c r="U331" s="246"/>
      <c r="V331" s="246"/>
      <c r="W331" s="246"/>
      <c r="X331" s="246"/>
      <c r="Y331" s="246"/>
      <c r="Z331" s="246"/>
      <c r="AA331" s="246"/>
      <c r="AB331" s="246"/>
      <c r="AC331" s="246"/>
      <c r="AD331" s="246"/>
      <c r="AE331" s="246"/>
      <c r="AF331" s="246"/>
      <c r="AG331" s="246"/>
      <c r="AH331" s="246"/>
      <c r="AI331" s="246"/>
      <c r="AJ331" s="246"/>
      <c r="AK331" s="246"/>
      <c r="AL331" s="246"/>
      <c r="AM331" s="246"/>
      <c r="AN331" s="246"/>
      <c r="AO331" s="246"/>
      <c r="AP331" s="246"/>
      <c r="AQ331" s="246"/>
      <c r="AR331" s="246"/>
      <c r="AS331" s="246"/>
      <c r="AT331" s="246"/>
      <c r="AU331" s="260"/>
    </row>
    <row r="332" spans="1:47" ht="60" customHeight="1" x14ac:dyDescent="0.35">
      <c r="A332" s="256" t="s">
        <v>4034</v>
      </c>
      <c r="B332" s="234" t="s">
        <v>4126</v>
      </c>
      <c r="C332" s="235" t="s">
        <v>4150</v>
      </c>
      <c r="D332" s="238" t="s">
        <v>4151</v>
      </c>
      <c r="E332" s="239" t="s">
        <v>3512</v>
      </c>
      <c r="F332" s="242" t="s">
        <v>4129</v>
      </c>
      <c r="G332" s="245" t="str">
        <f>IF(COUNTIF(H332:AU332,"&lt;&gt;")=0,"",SUMPRODUCT(((Recommendations[ImplStatus]="Implemented")+(Recommendations[ImplStatus]="Compensated"))*ISNUMBER(MATCH(Recommendations[Id],H332:AU332,0)))/COUNTIF(H332:AU332,"&lt;&gt;"))</f>
        <v/>
      </c>
      <c r="H332" s="246"/>
      <c r="I332" s="246"/>
      <c r="J332" s="246"/>
      <c r="K332" s="246"/>
      <c r="L332" s="246"/>
      <c r="M332" s="246"/>
      <c r="N332" s="246"/>
      <c r="O332" s="246"/>
      <c r="P332" s="246"/>
      <c r="Q332" s="246"/>
      <c r="R332" s="246"/>
      <c r="S332" s="246"/>
      <c r="T332" s="246"/>
      <c r="U332" s="246"/>
      <c r="V332" s="246"/>
      <c r="W332" s="246"/>
      <c r="X332" s="246"/>
      <c r="Y332" s="246"/>
      <c r="Z332" s="246"/>
      <c r="AA332" s="246"/>
      <c r="AB332" s="246"/>
      <c r="AC332" s="246"/>
      <c r="AD332" s="246"/>
      <c r="AE332" s="246"/>
      <c r="AF332" s="246"/>
      <c r="AG332" s="246"/>
      <c r="AH332" s="246"/>
      <c r="AI332" s="246"/>
      <c r="AJ332" s="246"/>
      <c r="AK332" s="246"/>
      <c r="AL332" s="246"/>
      <c r="AM332" s="246"/>
      <c r="AN332" s="246"/>
      <c r="AO332" s="246"/>
      <c r="AP332" s="246"/>
      <c r="AQ332" s="246"/>
      <c r="AR332" s="246"/>
      <c r="AS332" s="246"/>
      <c r="AT332" s="246"/>
      <c r="AU332" s="260"/>
    </row>
    <row r="333" spans="1:47" ht="60" customHeight="1" x14ac:dyDescent="0.35">
      <c r="A333" s="256" t="s">
        <v>4034</v>
      </c>
      <c r="B333" s="234" t="s">
        <v>4126</v>
      </c>
      <c r="C333" s="235" t="s">
        <v>4152</v>
      </c>
      <c r="D333" s="238" t="s">
        <v>4153</v>
      </c>
      <c r="E333" s="239" t="s">
        <v>3512</v>
      </c>
      <c r="F333" s="242" t="s">
        <v>4129</v>
      </c>
      <c r="G333" s="245" t="str">
        <f>IF(COUNTIF(H333:AU333,"&lt;&gt;")=0,"",SUMPRODUCT(((Recommendations[ImplStatus]="Implemented")+(Recommendations[ImplStatus]="Compensated"))*ISNUMBER(MATCH(Recommendations[Id],H333:AU333,0)))/COUNTIF(H333:AU333,"&lt;&gt;"))</f>
        <v/>
      </c>
      <c r="H333" s="246"/>
      <c r="I333" s="246"/>
      <c r="J333" s="246"/>
      <c r="K333" s="246"/>
      <c r="L333" s="246"/>
      <c r="M333" s="246"/>
      <c r="N333" s="246"/>
      <c r="O333" s="246"/>
      <c r="P333" s="246"/>
      <c r="Q333" s="246"/>
      <c r="R333" s="246"/>
      <c r="S333" s="246"/>
      <c r="T333" s="246"/>
      <c r="U333" s="246"/>
      <c r="V333" s="246"/>
      <c r="W333" s="246"/>
      <c r="X333" s="246"/>
      <c r="Y333" s="246"/>
      <c r="Z333" s="246"/>
      <c r="AA333" s="246"/>
      <c r="AB333" s="246"/>
      <c r="AC333" s="246"/>
      <c r="AD333" s="246"/>
      <c r="AE333" s="246"/>
      <c r="AF333" s="246"/>
      <c r="AG333" s="246"/>
      <c r="AH333" s="246"/>
      <c r="AI333" s="246"/>
      <c r="AJ333" s="246"/>
      <c r="AK333" s="246"/>
      <c r="AL333" s="246"/>
      <c r="AM333" s="246"/>
      <c r="AN333" s="246"/>
      <c r="AO333" s="246"/>
      <c r="AP333" s="246"/>
      <c r="AQ333" s="246"/>
      <c r="AR333" s="246"/>
      <c r="AS333" s="246"/>
      <c r="AT333" s="246"/>
      <c r="AU333" s="260"/>
    </row>
    <row r="334" spans="1:47" ht="60" customHeight="1" x14ac:dyDescent="0.35">
      <c r="A334" s="256" t="s">
        <v>4034</v>
      </c>
      <c r="B334" s="234" t="s">
        <v>4126</v>
      </c>
      <c r="C334" s="235" t="s">
        <v>4154</v>
      </c>
      <c r="D334" s="238" t="s">
        <v>4155</v>
      </c>
      <c r="E334" s="239" t="s">
        <v>3512</v>
      </c>
      <c r="F334" s="242" t="s">
        <v>4129</v>
      </c>
      <c r="G334" s="245" t="str">
        <f>IF(COUNTIF(H334:AU334,"&lt;&gt;")=0,"",SUMPRODUCT(((Recommendations[ImplStatus]="Implemented")+(Recommendations[ImplStatus]="Compensated"))*ISNUMBER(MATCH(Recommendations[Id],H334:AU334,0)))/COUNTIF(H334:AU334,"&lt;&gt;"))</f>
        <v/>
      </c>
      <c r="H334" s="246"/>
      <c r="I334" s="246"/>
      <c r="J334" s="246"/>
      <c r="K334" s="246"/>
      <c r="L334" s="246"/>
      <c r="M334" s="246"/>
      <c r="N334" s="246"/>
      <c r="O334" s="246"/>
      <c r="P334" s="246"/>
      <c r="Q334" s="246"/>
      <c r="R334" s="246"/>
      <c r="S334" s="246"/>
      <c r="T334" s="246"/>
      <c r="U334" s="246"/>
      <c r="V334" s="246"/>
      <c r="W334" s="246"/>
      <c r="X334" s="246"/>
      <c r="Y334" s="246"/>
      <c r="Z334" s="246"/>
      <c r="AA334" s="246"/>
      <c r="AB334" s="246"/>
      <c r="AC334" s="246"/>
      <c r="AD334" s="246"/>
      <c r="AE334" s="246"/>
      <c r="AF334" s="246"/>
      <c r="AG334" s="246"/>
      <c r="AH334" s="246"/>
      <c r="AI334" s="246"/>
      <c r="AJ334" s="246"/>
      <c r="AK334" s="246"/>
      <c r="AL334" s="246"/>
      <c r="AM334" s="246"/>
      <c r="AN334" s="246"/>
      <c r="AO334" s="246"/>
      <c r="AP334" s="246"/>
      <c r="AQ334" s="246"/>
      <c r="AR334" s="246"/>
      <c r="AS334" s="246"/>
      <c r="AT334" s="246"/>
      <c r="AU334" s="260"/>
    </row>
    <row r="335" spans="1:47" ht="60" customHeight="1" x14ac:dyDescent="0.35">
      <c r="A335" s="256" t="s">
        <v>4034</v>
      </c>
      <c r="B335" s="234" t="s">
        <v>4126</v>
      </c>
      <c r="C335" s="235" t="s">
        <v>4156</v>
      </c>
      <c r="D335" s="238" t="s">
        <v>4157</v>
      </c>
      <c r="E335" s="239" t="s">
        <v>3512</v>
      </c>
      <c r="F335" s="242" t="s">
        <v>4129</v>
      </c>
      <c r="G335" s="245" t="str">
        <f>IF(COUNTIF(H335:AU335,"&lt;&gt;")=0,"",SUMPRODUCT(((Recommendations[ImplStatus]="Implemented")+(Recommendations[ImplStatus]="Compensated"))*ISNUMBER(MATCH(Recommendations[Id],H335:AU335,0)))/COUNTIF(H335:AU335,"&lt;&gt;"))</f>
        <v/>
      </c>
      <c r="H335" s="246"/>
      <c r="I335" s="246"/>
      <c r="J335" s="246"/>
      <c r="K335" s="246"/>
      <c r="L335" s="246"/>
      <c r="M335" s="246"/>
      <c r="N335" s="246"/>
      <c r="O335" s="246"/>
      <c r="P335" s="246"/>
      <c r="Q335" s="246"/>
      <c r="R335" s="246"/>
      <c r="S335" s="246"/>
      <c r="T335" s="246"/>
      <c r="U335" s="246"/>
      <c r="V335" s="246"/>
      <c r="W335" s="246"/>
      <c r="X335" s="246"/>
      <c r="Y335" s="246"/>
      <c r="Z335" s="246"/>
      <c r="AA335" s="246"/>
      <c r="AB335" s="246"/>
      <c r="AC335" s="246"/>
      <c r="AD335" s="246"/>
      <c r="AE335" s="246"/>
      <c r="AF335" s="246"/>
      <c r="AG335" s="246"/>
      <c r="AH335" s="246"/>
      <c r="AI335" s="246"/>
      <c r="AJ335" s="246"/>
      <c r="AK335" s="246"/>
      <c r="AL335" s="246"/>
      <c r="AM335" s="246"/>
      <c r="AN335" s="246"/>
      <c r="AO335" s="246"/>
      <c r="AP335" s="246"/>
      <c r="AQ335" s="246"/>
      <c r="AR335" s="246"/>
      <c r="AS335" s="246"/>
      <c r="AT335" s="246"/>
      <c r="AU335" s="260"/>
    </row>
    <row r="336" spans="1:47" ht="60" customHeight="1" x14ac:dyDescent="0.35">
      <c r="A336" s="256" t="s">
        <v>4034</v>
      </c>
      <c r="B336" s="234" t="s">
        <v>4126</v>
      </c>
      <c r="C336" s="235" t="s">
        <v>4158</v>
      </c>
      <c r="D336" s="238" t="s">
        <v>4159</v>
      </c>
      <c r="E336" s="239" t="s">
        <v>3627</v>
      </c>
      <c r="F336" s="242" t="s">
        <v>4129</v>
      </c>
      <c r="G336" s="245" t="str">
        <f>IF(COUNTIF(H336:AU336,"&lt;&gt;")=0,"",SUMPRODUCT(((Recommendations[ImplStatus]="Implemented")+(Recommendations[ImplStatus]="Compensated"))*ISNUMBER(MATCH(Recommendations[Id],H336:AU336,0)))/COUNTIF(H336:AU336,"&lt;&gt;"))</f>
        <v/>
      </c>
      <c r="H336" s="246"/>
      <c r="I336" s="246"/>
      <c r="J336" s="246"/>
      <c r="K336" s="246"/>
      <c r="L336" s="246"/>
      <c r="M336" s="246"/>
      <c r="N336" s="246"/>
      <c r="O336" s="246"/>
      <c r="P336" s="246"/>
      <c r="Q336" s="246"/>
      <c r="R336" s="246"/>
      <c r="S336" s="246"/>
      <c r="T336" s="246"/>
      <c r="U336" s="246"/>
      <c r="V336" s="246"/>
      <c r="W336" s="246"/>
      <c r="X336" s="246"/>
      <c r="Y336" s="246"/>
      <c r="Z336" s="246"/>
      <c r="AA336" s="246"/>
      <c r="AB336" s="246"/>
      <c r="AC336" s="246"/>
      <c r="AD336" s="246"/>
      <c r="AE336" s="246"/>
      <c r="AF336" s="246"/>
      <c r="AG336" s="246"/>
      <c r="AH336" s="246"/>
      <c r="AI336" s="246"/>
      <c r="AJ336" s="246"/>
      <c r="AK336" s="246"/>
      <c r="AL336" s="246"/>
      <c r="AM336" s="246"/>
      <c r="AN336" s="246"/>
      <c r="AO336" s="246"/>
      <c r="AP336" s="246"/>
      <c r="AQ336" s="246"/>
      <c r="AR336" s="246"/>
      <c r="AS336" s="246"/>
      <c r="AT336" s="246"/>
      <c r="AU336" s="260"/>
    </row>
    <row r="337" spans="1:47" ht="60" customHeight="1" x14ac:dyDescent="0.35">
      <c r="A337" s="256" t="s">
        <v>4034</v>
      </c>
      <c r="B337" s="234" t="s">
        <v>4126</v>
      </c>
      <c r="C337" s="235" t="s">
        <v>4160</v>
      </c>
      <c r="D337" s="238" t="s">
        <v>4161</v>
      </c>
      <c r="E337" s="239" t="s">
        <v>3627</v>
      </c>
      <c r="F337" s="242" t="s">
        <v>4129</v>
      </c>
      <c r="G337" s="245" t="str">
        <f>IF(COUNTIF(H337:AU337,"&lt;&gt;")=0,"",SUMPRODUCT(((Recommendations[ImplStatus]="Implemented")+(Recommendations[ImplStatus]="Compensated"))*ISNUMBER(MATCH(Recommendations[Id],H337:AU337,0)))/COUNTIF(H337:AU337,"&lt;&gt;"))</f>
        <v/>
      </c>
      <c r="H337" s="246"/>
      <c r="I337" s="246"/>
      <c r="J337" s="246"/>
      <c r="K337" s="246"/>
      <c r="L337" s="246"/>
      <c r="M337" s="246"/>
      <c r="N337" s="246"/>
      <c r="O337" s="246"/>
      <c r="P337" s="246"/>
      <c r="Q337" s="246"/>
      <c r="R337" s="246"/>
      <c r="S337" s="246"/>
      <c r="T337" s="246"/>
      <c r="U337" s="246"/>
      <c r="V337" s="246"/>
      <c r="W337" s="246"/>
      <c r="X337" s="246"/>
      <c r="Y337" s="246"/>
      <c r="Z337" s="246"/>
      <c r="AA337" s="246"/>
      <c r="AB337" s="246"/>
      <c r="AC337" s="246"/>
      <c r="AD337" s="246"/>
      <c r="AE337" s="246"/>
      <c r="AF337" s="246"/>
      <c r="AG337" s="246"/>
      <c r="AH337" s="246"/>
      <c r="AI337" s="246"/>
      <c r="AJ337" s="246"/>
      <c r="AK337" s="246"/>
      <c r="AL337" s="246"/>
      <c r="AM337" s="246"/>
      <c r="AN337" s="246"/>
      <c r="AO337" s="246"/>
      <c r="AP337" s="246"/>
      <c r="AQ337" s="246"/>
      <c r="AR337" s="246"/>
      <c r="AS337" s="246"/>
      <c r="AT337" s="246"/>
      <c r="AU337" s="260"/>
    </row>
    <row r="338" spans="1:47" ht="60" customHeight="1" x14ac:dyDescent="0.35">
      <c r="A338" s="256" t="s">
        <v>4034</v>
      </c>
      <c r="B338" s="234" t="s">
        <v>4126</v>
      </c>
      <c r="C338" s="235" t="s">
        <v>4162</v>
      </c>
      <c r="D338" s="238" t="s">
        <v>4163</v>
      </c>
      <c r="E338" s="239" t="s">
        <v>3512</v>
      </c>
      <c r="F338" s="242" t="s">
        <v>4129</v>
      </c>
      <c r="G338" s="245" t="str">
        <f>IF(COUNTIF(H338:AU338,"&lt;&gt;")=0,"",SUMPRODUCT(((Recommendations[ImplStatus]="Implemented")+(Recommendations[ImplStatus]="Compensated"))*ISNUMBER(MATCH(Recommendations[Id],H338:AU338,0)))/COUNTIF(H338:AU338,"&lt;&gt;"))</f>
        <v/>
      </c>
      <c r="H338" s="246"/>
      <c r="I338" s="246"/>
      <c r="J338" s="246"/>
      <c r="K338" s="246"/>
      <c r="L338" s="246"/>
      <c r="M338" s="246"/>
      <c r="N338" s="246"/>
      <c r="O338" s="246"/>
      <c r="P338" s="246"/>
      <c r="Q338" s="246"/>
      <c r="R338" s="246"/>
      <c r="S338" s="246"/>
      <c r="T338" s="246"/>
      <c r="U338" s="246"/>
      <c r="V338" s="246"/>
      <c r="W338" s="246"/>
      <c r="X338" s="246"/>
      <c r="Y338" s="246"/>
      <c r="Z338" s="246"/>
      <c r="AA338" s="246"/>
      <c r="AB338" s="246"/>
      <c r="AC338" s="246"/>
      <c r="AD338" s="246"/>
      <c r="AE338" s="246"/>
      <c r="AF338" s="246"/>
      <c r="AG338" s="246"/>
      <c r="AH338" s="246"/>
      <c r="AI338" s="246"/>
      <c r="AJ338" s="246"/>
      <c r="AK338" s="246"/>
      <c r="AL338" s="246"/>
      <c r="AM338" s="246"/>
      <c r="AN338" s="246"/>
      <c r="AO338" s="246"/>
      <c r="AP338" s="246"/>
      <c r="AQ338" s="246"/>
      <c r="AR338" s="246"/>
      <c r="AS338" s="246"/>
      <c r="AT338" s="246"/>
      <c r="AU338" s="260"/>
    </row>
    <row r="339" spans="1:47" ht="60" customHeight="1" x14ac:dyDescent="0.35">
      <c r="A339" s="256" t="s">
        <v>4034</v>
      </c>
      <c r="B339" s="234" t="s">
        <v>4126</v>
      </c>
      <c r="C339" s="235" t="s">
        <v>4164</v>
      </c>
      <c r="D339" s="238" t="s">
        <v>4165</v>
      </c>
      <c r="E339" s="239" t="s">
        <v>3512</v>
      </c>
      <c r="F339" s="242" t="s">
        <v>4129</v>
      </c>
      <c r="G339" s="245" t="str">
        <f>IF(COUNTIF(H339:AU339,"&lt;&gt;")=0,"",SUMPRODUCT(((Recommendations[ImplStatus]="Implemented")+(Recommendations[ImplStatus]="Compensated"))*ISNUMBER(MATCH(Recommendations[Id],H339:AU339,0)))/COUNTIF(H339:AU339,"&lt;&gt;"))</f>
        <v/>
      </c>
      <c r="H339" s="246"/>
      <c r="I339" s="246"/>
      <c r="J339" s="246"/>
      <c r="K339" s="246"/>
      <c r="L339" s="246"/>
      <c r="M339" s="246"/>
      <c r="N339" s="246"/>
      <c r="O339" s="246"/>
      <c r="P339" s="246"/>
      <c r="Q339" s="246"/>
      <c r="R339" s="246"/>
      <c r="S339" s="246"/>
      <c r="T339" s="246"/>
      <c r="U339" s="246"/>
      <c r="V339" s="246"/>
      <c r="W339" s="246"/>
      <c r="X339" s="246"/>
      <c r="Y339" s="246"/>
      <c r="Z339" s="246"/>
      <c r="AA339" s="246"/>
      <c r="AB339" s="246"/>
      <c r="AC339" s="246"/>
      <c r="AD339" s="246"/>
      <c r="AE339" s="246"/>
      <c r="AF339" s="246"/>
      <c r="AG339" s="246"/>
      <c r="AH339" s="246"/>
      <c r="AI339" s="246"/>
      <c r="AJ339" s="246"/>
      <c r="AK339" s="246"/>
      <c r="AL339" s="246"/>
      <c r="AM339" s="246"/>
      <c r="AN339" s="246"/>
      <c r="AO339" s="246"/>
      <c r="AP339" s="246"/>
      <c r="AQ339" s="246"/>
      <c r="AR339" s="246"/>
      <c r="AS339" s="246"/>
      <c r="AT339" s="246"/>
      <c r="AU339" s="260"/>
    </row>
    <row r="340" spans="1:47" ht="60" customHeight="1" outlineLevel="2" x14ac:dyDescent="0.35">
      <c r="A340" s="255" t="s">
        <v>4034</v>
      </c>
      <c r="B340" s="233" t="s">
        <v>4166</v>
      </c>
      <c r="C340" s="233"/>
      <c r="D340" s="237"/>
      <c r="E340" s="233"/>
      <c r="F340" s="241"/>
      <c r="G340" s="244" t="str">
        <f>IF(COUNTIF(H340:AU340,"&lt;&gt;")=0,"",SUMPRODUCT(((Recommendations[ImplStatus]="Implemented")+(Recommendations[ImplStatus]="Compensated"))*ISNUMBER(MATCH(Recommendations[Id],H340:AU340,0)))/COUNTIF(H340:AU340,"&lt;&gt;"))</f>
        <v/>
      </c>
      <c r="H340" s="241"/>
      <c r="I340" s="241"/>
      <c r="J340" s="241"/>
      <c r="K340" s="241"/>
      <c r="L340" s="241"/>
      <c r="M340" s="241"/>
      <c r="N340" s="241"/>
      <c r="O340" s="241"/>
      <c r="P340" s="241"/>
      <c r="Q340" s="241"/>
      <c r="R340" s="241"/>
      <c r="S340" s="241"/>
      <c r="T340" s="241"/>
      <c r="U340" s="241"/>
      <c r="V340" s="241"/>
      <c r="W340" s="241"/>
      <c r="X340" s="241"/>
      <c r="Y340" s="241"/>
      <c r="Z340" s="241"/>
      <c r="AA340" s="241"/>
      <c r="AB340" s="241"/>
      <c r="AC340" s="241"/>
      <c r="AD340" s="241"/>
      <c r="AE340" s="241"/>
      <c r="AF340" s="241"/>
      <c r="AG340" s="241"/>
      <c r="AH340" s="241"/>
      <c r="AI340" s="241"/>
      <c r="AJ340" s="241"/>
      <c r="AK340" s="241"/>
      <c r="AL340" s="241"/>
      <c r="AM340" s="241"/>
      <c r="AN340" s="241"/>
      <c r="AO340" s="241"/>
      <c r="AP340" s="241"/>
      <c r="AQ340" s="241"/>
      <c r="AR340" s="241"/>
      <c r="AS340" s="241"/>
      <c r="AT340" s="241"/>
      <c r="AU340" s="259"/>
    </row>
    <row r="341" spans="1:47" ht="60" customHeight="1" x14ac:dyDescent="0.35">
      <c r="A341" s="256" t="s">
        <v>4034</v>
      </c>
      <c r="B341" s="234" t="s">
        <v>4166</v>
      </c>
      <c r="C341" s="235" t="s">
        <v>4167</v>
      </c>
      <c r="D341" s="238" t="s">
        <v>4168</v>
      </c>
      <c r="E341" s="239" t="s">
        <v>3483</v>
      </c>
      <c r="F341" s="242" t="s">
        <v>4053</v>
      </c>
      <c r="G341" s="245" t="str">
        <f>IF(COUNTIF(H341:AU341,"&lt;&gt;")=0,"",SUMPRODUCT(((Recommendations[ImplStatus]="Implemented")+(Recommendations[ImplStatus]="Compensated"))*ISNUMBER(MATCH(Recommendations[Id],H341:AU341,0)))/COUNTIF(H341:AU341,"&lt;&gt;"))</f>
        <v/>
      </c>
      <c r="H341" s="246"/>
      <c r="I341" s="246"/>
      <c r="J341" s="246"/>
      <c r="K341" s="246"/>
      <c r="L341" s="246"/>
      <c r="M341" s="246"/>
      <c r="N341" s="246"/>
      <c r="O341" s="246"/>
      <c r="P341" s="246"/>
      <c r="Q341" s="246"/>
      <c r="R341" s="246"/>
      <c r="S341" s="246"/>
      <c r="T341" s="246"/>
      <c r="U341" s="246"/>
      <c r="V341" s="246"/>
      <c r="W341" s="246"/>
      <c r="X341" s="246"/>
      <c r="Y341" s="246"/>
      <c r="Z341" s="246"/>
      <c r="AA341" s="246"/>
      <c r="AB341" s="246"/>
      <c r="AC341" s="246"/>
      <c r="AD341" s="246"/>
      <c r="AE341" s="246"/>
      <c r="AF341" s="246"/>
      <c r="AG341" s="246"/>
      <c r="AH341" s="246"/>
      <c r="AI341" s="246"/>
      <c r="AJ341" s="246"/>
      <c r="AK341" s="246"/>
      <c r="AL341" s="246"/>
      <c r="AM341" s="246"/>
      <c r="AN341" s="246"/>
      <c r="AO341" s="246"/>
      <c r="AP341" s="246"/>
      <c r="AQ341" s="246"/>
      <c r="AR341" s="246"/>
      <c r="AS341" s="246"/>
      <c r="AT341" s="246"/>
      <c r="AU341" s="260"/>
    </row>
    <row r="342" spans="1:47" ht="60" customHeight="1" x14ac:dyDescent="0.35">
      <c r="A342" s="256" t="s">
        <v>4034</v>
      </c>
      <c r="B342" s="234" t="s">
        <v>4166</v>
      </c>
      <c r="C342" s="235" t="s">
        <v>4169</v>
      </c>
      <c r="D342" s="238" t="s">
        <v>4170</v>
      </c>
      <c r="E342" s="239" t="s">
        <v>3483</v>
      </c>
      <c r="F342" s="242" t="s">
        <v>4053</v>
      </c>
      <c r="G342" s="245" t="str">
        <f>IF(COUNTIF(H342:AU342,"&lt;&gt;")=0,"",SUMPRODUCT(((Recommendations[ImplStatus]="Implemented")+(Recommendations[ImplStatus]="Compensated"))*ISNUMBER(MATCH(Recommendations[Id],H342:AU342,0)))/COUNTIF(H342:AU342,"&lt;&gt;"))</f>
        <v/>
      </c>
      <c r="H342" s="246"/>
      <c r="I342" s="246"/>
      <c r="J342" s="246"/>
      <c r="K342" s="246"/>
      <c r="L342" s="246"/>
      <c r="M342" s="246"/>
      <c r="N342" s="246"/>
      <c r="O342" s="246"/>
      <c r="P342" s="246"/>
      <c r="Q342" s="246"/>
      <c r="R342" s="246"/>
      <c r="S342" s="246"/>
      <c r="T342" s="246"/>
      <c r="U342" s="246"/>
      <c r="V342" s="246"/>
      <c r="W342" s="246"/>
      <c r="X342" s="246"/>
      <c r="Y342" s="246"/>
      <c r="Z342" s="246"/>
      <c r="AA342" s="246"/>
      <c r="AB342" s="246"/>
      <c r="AC342" s="246"/>
      <c r="AD342" s="246"/>
      <c r="AE342" s="246"/>
      <c r="AF342" s="246"/>
      <c r="AG342" s="246"/>
      <c r="AH342" s="246"/>
      <c r="AI342" s="246"/>
      <c r="AJ342" s="246"/>
      <c r="AK342" s="246"/>
      <c r="AL342" s="246"/>
      <c r="AM342" s="246"/>
      <c r="AN342" s="246"/>
      <c r="AO342" s="246"/>
      <c r="AP342" s="246"/>
      <c r="AQ342" s="246"/>
      <c r="AR342" s="246"/>
      <c r="AS342" s="246"/>
      <c r="AT342" s="246"/>
      <c r="AU342" s="260"/>
    </row>
    <row r="343" spans="1:47" ht="60" customHeight="1" x14ac:dyDescent="0.35">
      <c r="A343" s="256" t="s">
        <v>4034</v>
      </c>
      <c r="B343" s="234" t="s">
        <v>4166</v>
      </c>
      <c r="C343" s="235" t="s">
        <v>4171</v>
      </c>
      <c r="D343" s="238" t="s">
        <v>4172</v>
      </c>
      <c r="E343" s="239" t="s">
        <v>3579</v>
      </c>
      <c r="F343" s="242" t="s">
        <v>4173</v>
      </c>
      <c r="G343" s="245">
        <f>IF(COUNTIF(H343:AU343,"&lt;&gt;")=0,"",SUMPRODUCT(((Recommendations[ImplStatus]="Implemented")+(Recommendations[ImplStatus]="Compensated"))*ISNUMBER(MATCH(Recommendations[Id],H343:AU343,0)))/COUNTIF(H343:AU343,"&lt;&gt;"))</f>
        <v>0</v>
      </c>
      <c r="H343" s="246" t="s">
        <v>56</v>
      </c>
      <c r="I343" s="246"/>
      <c r="J343" s="246"/>
      <c r="K343" s="246"/>
      <c r="L343" s="246"/>
      <c r="M343" s="246"/>
      <c r="N343" s="246"/>
      <c r="O343" s="246"/>
      <c r="P343" s="246"/>
      <c r="Q343" s="246"/>
      <c r="R343" s="246"/>
      <c r="S343" s="246"/>
      <c r="T343" s="246"/>
      <c r="U343" s="246"/>
      <c r="V343" s="246"/>
      <c r="W343" s="246"/>
      <c r="X343" s="246"/>
      <c r="Y343" s="246"/>
      <c r="Z343" s="246"/>
      <c r="AA343" s="246"/>
      <c r="AB343" s="246"/>
      <c r="AC343" s="246"/>
      <c r="AD343" s="246"/>
      <c r="AE343" s="246"/>
      <c r="AF343" s="246"/>
      <c r="AG343" s="246"/>
      <c r="AH343" s="246"/>
      <c r="AI343" s="246"/>
      <c r="AJ343" s="246"/>
      <c r="AK343" s="246"/>
      <c r="AL343" s="246"/>
      <c r="AM343" s="246"/>
      <c r="AN343" s="246"/>
      <c r="AO343" s="246"/>
      <c r="AP343" s="246"/>
      <c r="AQ343" s="246"/>
      <c r="AR343" s="246"/>
      <c r="AS343" s="246"/>
      <c r="AT343" s="246"/>
      <c r="AU343" s="260"/>
    </row>
    <row r="344" spans="1:47" ht="60" customHeight="1" x14ac:dyDescent="0.35">
      <c r="A344" s="256" t="s">
        <v>4034</v>
      </c>
      <c r="B344" s="234" t="s">
        <v>4166</v>
      </c>
      <c r="C344" s="235" t="s">
        <v>4174</v>
      </c>
      <c r="D344" s="238" t="s">
        <v>4175</v>
      </c>
      <c r="E344" s="239" t="s">
        <v>3512</v>
      </c>
      <c r="F344" s="242" t="s">
        <v>4173</v>
      </c>
      <c r="G344" s="245" t="str">
        <f>IF(COUNTIF(H344:AU344,"&lt;&gt;")=0,"",SUMPRODUCT(((Recommendations[ImplStatus]="Implemented")+(Recommendations[ImplStatus]="Compensated"))*ISNUMBER(MATCH(Recommendations[Id],H344:AU344,0)))/COUNTIF(H344:AU344,"&lt;&gt;"))</f>
        <v/>
      </c>
      <c r="H344" s="246"/>
      <c r="I344" s="246"/>
      <c r="J344" s="246"/>
      <c r="K344" s="246"/>
      <c r="L344" s="246"/>
      <c r="M344" s="246"/>
      <c r="N344" s="246"/>
      <c r="O344" s="246"/>
      <c r="P344" s="246"/>
      <c r="Q344" s="246"/>
      <c r="R344" s="246"/>
      <c r="S344" s="246"/>
      <c r="T344" s="246"/>
      <c r="U344" s="246"/>
      <c r="V344" s="246"/>
      <c r="W344" s="246"/>
      <c r="X344" s="246"/>
      <c r="Y344" s="246"/>
      <c r="Z344" s="246"/>
      <c r="AA344" s="246"/>
      <c r="AB344" s="246"/>
      <c r="AC344" s="246"/>
      <c r="AD344" s="246"/>
      <c r="AE344" s="246"/>
      <c r="AF344" s="246"/>
      <c r="AG344" s="246"/>
      <c r="AH344" s="246"/>
      <c r="AI344" s="246"/>
      <c r="AJ344" s="246"/>
      <c r="AK344" s="246"/>
      <c r="AL344" s="246"/>
      <c r="AM344" s="246"/>
      <c r="AN344" s="246"/>
      <c r="AO344" s="246"/>
      <c r="AP344" s="246"/>
      <c r="AQ344" s="246"/>
      <c r="AR344" s="246"/>
      <c r="AS344" s="246"/>
      <c r="AT344" s="246"/>
      <c r="AU344" s="260"/>
    </row>
    <row r="345" spans="1:47" ht="60" customHeight="1" x14ac:dyDescent="0.35">
      <c r="A345" s="256" t="s">
        <v>4034</v>
      </c>
      <c r="B345" s="234" t="s">
        <v>4166</v>
      </c>
      <c r="C345" s="235" t="s">
        <v>4176</v>
      </c>
      <c r="D345" s="238" t="s">
        <v>4177</v>
      </c>
      <c r="E345" s="239" t="s">
        <v>3512</v>
      </c>
      <c r="F345" s="242" t="s">
        <v>4173</v>
      </c>
      <c r="G345" s="245" t="str">
        <f>IF(COUNTIF(H345:AU345,"&lt;&gt;")=0,"",SUMPRODUCT(((Recommendations[ImplStatus]="Implemented")+(Recommendations[ImplStatus]="Compensated"))*ISNUMBER(MATCH(Recommendations[Id],H345:AU345,0)))/COUNTIF(H345:AU345,"&lt;&gt;"))</f>
        <v/>
      </c>
      <c r="H345" s="246"/>
      <c r="I345" s="246"/>
      <c r="J345" s="246"/>
      <c r="K345" s="246"/>
      <c r="L345" s="246"/>
      <c r="M345" s="246"/>
      <c r="N345" s="246"/>
      <c r="O345" s="246"/>
      <c r="P345" s="246"/>
      <c r="Q345" s="246"/>
      <c r="R345" s="246"/>
      <c r="S345" s="246"/>
      <c r="T345" s="246"/>
      <c r="U345" s="246"/>
      <c r="V345" s="246"/>
      <c r="W345" s="246"/>
      <c r="X345" s="246"/>
      <c r="Y345" s="246"/>
      <c r="Z345" s="246"/>
      <c r="AA345" s="246"/>
      <c r="AB345" s="246"/>
      <c r="AC345" s="246"/>
      <c r="AD345" s="246"/>
      <c r="AE345" s="246"/>
      <c r="AF345" s="246"/>
      <c r="AG345" s="246"/>
      <c r="AH345" s="246"/>
      <c r="AI345" s="246"/>
      <c r="AJ345" s="246"/>
      <c r="AK345" s="246"/>
      <c r="AL345" s="246"/>
      <c r="AM345" s="246"/>
      <c r="AN345" s="246"/>
      <c r="AO345" s="246"/>
      <c r="AP345" s="246"/>
      <c r="AQ345" s="246"/>
      <c r="AR345" s="246"/>
      <c r="AS345" s="246"/>
      <c r="AT345" s="246"/>
      <c r="AU345" s="260"/>
    </row>
    <row r="346" spans="1:47" ht="60" customHeight="1" x14ac:dyDescent="0.35">
      <c r="A346" s="256" t="s">
        <v>4034</v>
      </c>
      <c r="B346" s="234" t="s">
        <v>4166</v>
      </c>
      <c r="C346" s="235" t="s">
        <v>4178</v>
      </c>
      <c r="D346" s="238" t="s">
        <v>4179</v>
      </c>
      <c r="E346" s="239" t="s">
        <v>3512</v>
      </c>
      <c r="F346" s="242" t="s">
        <v>4173</v>
      </c>
      <c r="G346" s="245">
        <f>IF(COUNTIF(H346:AU346,"&lt;&gt;")=0,"",SUMPRODUCT(((Recommendations[ImplStatus]="Implemented")+(Recommendations[ImplStatus]="Compensated"))*ISNUMBER(MATCH(Recommendations[Id],H346:AU346,0)))/COUNTIF(H346:AU346,"&lt;&gt;"))</f>
        <v>0</v>
      </c>
      <c r="H346" s="246" t="s">
        <v>56</v>
      </c>
      <c r="I346" s="246"/>
      <c r="J346" s="246"/>
      <c r="K346" s="246"/>
      <c r="L346" s="246"/>
      <c r="M346" s="246"/>
      <c r="N346" s="246"/>
      <c r="O346" s="246"/>
      <c r="P346" s="246"/>
      <c r="Q346" s="246"/>
      <c r="R346" s="246"/>
      <c r="S346" s="246"/>
      <c r="T346" s="246"/>
      <c r="U346" s="246"/>
      <c r="V346" s="246"/>
      <c r="W346" s="246"/>
      <c r="X346" s="246"/>
      <c r="Y346" s="246"/>
      <c r="Z346" s="246"/>
      <c r="AA346" s="246"/>
      <c r="AB346" s="246"/>
      <c r="AC346" s="246"/>
      <c r="AD346" s="246"/>
      <c r="AE346" s="246"/>
      <c r="AF346" s="246"/>
      <c r="AG346" s="246"/>
      <c r="AH346" s="246"/>
      <c r="AI346" s="246"/>
      <c r="AJ346" s="246"/>
      <c r="AK346" s="246"/>
      <c r="AL346" s="246"/>
      <c r="AM346" s="246"/>
      <c r="AN346" s="246"/>
      <c r="AO346" s="246"/>
      <c r="AP346" s="246"/>
      <c r="AQ346" s="246"/>
      <c r="AR346" s="246"/>
      <c r="AS346" s="246"/>
      <c r="AT346" s="246"/>
      <c r="AU346" s="260"/>
    </row>
    <row r="347" spans="1:47" ht="60" customHeight="1" x14ac:dyDescent="0.35">
      <c r="A347" s="256" t="s">
        <v>4034</v>
      </c>
      <c r="B347" s="234" t="s">
        <v>4166</v>
      </c>
      <c r="C347" s="235" t="s">
        <v>4180</v>
      </c>
      <c r="D347" s="238" t="s">
        <v>4181</v>
      </c>
      <c r="E347" s="239" t="s">
        <v>3512</v>
      </c>
      <c r="F347" s="242" t="s">
        <v>4173</v>
      </c>
      <c r="G347" s="245" t="str">
        <f>IF(COUNTIF(H347:AU347,"&lt;&gt;")=0,"",SUMPRODUCT(((Recommendations[ImplStatus]="Implemented")+(Recommendations[ImplStatus]="Compensated"))*ISNUMBER(MATCH(Recommendations[Id],H347:AU347,0)))/COUNTIF(H347:AU347,"&lt;&gt;"))</f>
        <v/>
      </c>
      <c r="H347" s="246"/>
      <c r="I347" s="246"/>
      <c r="J347" s="246"/>
      <c r="K347" s="246"/>
      <c r="L347" s="246"/>
      <c r="M347" s="246"/>
      <c r="N347" s="246"/>
      <c r="O347" s="246"/>
      <c r="P347" s="246"/>
      <c r="Q347" s="246"/>
      <c r="R347" s="246"/>
      <c r="S347" s="246"/>
      <c r="T347" s="246"/>
      <c r="U347" s="246"/>
      <c r="V347" s="246"/>
      <c r="W347" s="246"/>
      <c r="X347" s="246"/>
      <c r="Y347" s="246"/>
      <c r="Z347" s="246"/>
      <c r="AA347" s="246"/>
      <c r="AB347" s="246"/>
      <c r="AC347" s="246"/>
      <c r="AD347" s="246"/>
      <c r="AE347" s="246"/>
      <c r="AF347" s="246"/>
      <c r="AG347" s="246"/>
      <c r="AH347" s="246"/>
      <c r="AI347" s="246"/>
      <c r="AJ347" s="246"/>
      <c r="AK347" s="246"/>
      <c r="AL347" s="246"/>
      <c r="AM347" s="246"/>
      <c r="AN347" s="246"/>
      <c r="AO347" s="246"/>
      <c r="AP347" s="246"/>
      <c r="AQ347" s="246"/>
      <c r="AR347" s="246"/>
      <c r="AS347" s="246"/>
      <c r="AT347" s="246"/>
      <c r="AU347" s="260"/>
    </row>
    <row r="348" spans="1:47" ht="60" customHeight="1" x14ac:dyDescent="0.35">
      <c r="A348" s="256" t="s">
        <v>4034</v>
      </c>
      <c r="B348" s="234" t="s">
        <v>4166</v>
      </c>
      <c r="C348" s="235" t="s">
        <v>4182</v>
      </c>
      <c r="D348" s="238" t="s">
        <v>4183</v>
      </c>
      <c r="E348" s="239" t="s">
        <v>3512</v>
      </c>
      <c r="F348" s="242" t="s">
        <v>4173</v>
      </c>
      <c r="G348" s="245">
        <f>IF(COUNTIF(H348:AU348,"&lt;&gt;")=0,"",SUMPRODUCT(((Recommendations[ImplStatus]="Implemented")+(Recommendations[ImplStatus]="Compensated"))*ISNUMBER(MATCH(Recommendations[Id],H348:AU348,0)))/COUNTIF(H348:AU348,"&lt;&gt;"))</f>
        <v>0</v>
      </c>
      <c r="H348" s="246" t="s">
        <v>310</v>
      </c>
      <c r="I348" s="246"/>
      <c r="J348" s="246"/>
      <c r="K348" s="246"/>
      <c r="L348" s="246"/>
      <c r="M348" s="246"/>
      <c r="N348" s="246"/>
      <c r="O348" s="246"/>
      <c r="P348" s="246"/>
      <c r="Q348" s="246"/>
      <c r="R348" s="246"/>
      <c r="S348" s="246"/>
      <c r="T348" s="246"/>
      <c r="U348" s="246"/>
      <c r="V348" s="246"/>
      <c r="W348" s="246"/>
      <c r="X348" s="246"/>
      <c r="Y348" s="246"/>
      <c r="Z348" s="246"/>
      <c r="AA348" s="246"/>
      <c r="AB348" s="246"/>
      <c r="AC348" s="246"/>
      <c r="AD348" s="246"/>
      <c r="AE348" s="246"/>
      <c r="AF348" s="246"/>
      <c r="AG348" s="246"/>
      <c r="AH348" s="246"/>
      <c r="AI348" s="246"/>
      <c r="AJ348" s="246"/>
      <c r="AK348" s="246"/>
      <c r="AL348" s="246"/>
      <c r="AM348" s="246"/>
      <c r="AN348" s="246"/>
      <c r="AO348" s="246"/>
      <c r="AP348" s="246"/>
      <c r="AQ348" s="246"/>
      <c r="AR348" s="246"/>
      <c r="AS348" s="246"/>
      <c r="AT348" s="246"/>
      <c r="AU348" s="260"/>
    </row>
    <row r="349" spans="1:47" ht="60" customHeight="1" x14ac:dyDescent="0.35">
      <c r="A349" s="256" t="s">
        <v>4034</v>
      </c>
      <c r="B349" s="234" t="s">
        <v>4166</v>
      </c>
      <c r="C349" s="235" t="s">
        <v>4184</v>
      </c>
      <c r="D349" s="238" t="s">
        <v>4185</v>
      </c>
      <c r="E349" s="239" t="s">
        <v>3512</v>
      </c>
      <c r="F349" s="242" t="s">
        <v>4173</v>
      </c>
      <c r="G349" s="245">
        <f>IF(COUNTIF(H349:AU349,"&lt;&gt;")=0,"",SUMPRODUCT(((Recommendations[ImplStatus]="Implemented")+(Recommendations[ImplStatus]="Compensated"))*ISNUMBER(MATCH(Recommendations[Id],H349:AU349,0)))/COUNTIF(H349:AU349,"&lt;&gt;"))</f>
        <v>0</v>
      </c>
      <c r="H349" s="246" t="s">
        <v>13</v>
      </c>
      <c r="I349" s="246" t="s">
        <v>23</v>
      </c>
      <c r="J349" s="246" t="s">
        <v>325</v>
      </c>
      <c r="K349" s="246"/>
      <c r="L349" s="246"/>
      <c r="M349" s="246"/>
      <c r="N349" s="246"/>
      <c r="O349" s="246"/>
      <c r="P349" s="246"/>
      <c r="Q349" s="246"/>
      <c r="R349" s="246"/>
      <c r="S349" s="246"/>
      <c r="T349" s="246"/>
      <c r="U349" s="246"/>
      <c r="V349" s="246"/>
      <c r="W349" s="246"/>
      <c r="X349" s="246"/>
      <c r="Y349" s="246"/>
      <c r="Z349" s="246"/>
      <c r="AA349" s="246"/>
      <c r="AB349" s="246"/>
      <c r="AC349" s="246"/>
      <c r="AD349" s="246"/>
      <c r="AE349" s="246"/>
      <c r="AF349" s="246"/>
      <c r="AG349" s="246"/>
      <c r="AH349" s="246"/>
      <c r="AI349" s="246"/>
      <c r="AJ349" s="246"/>
      <c r="AK349" s="246"/>
      <c r="AL349" s="246"/>
      <c r="AM349" s="246"/>
      <c r="AN349" s="246"/>
      <c r="AO349" s="246"/>
      <c r="AP349" s="246"/>
      <c r="AQ349" s="246"/>
      <c r="AR349" s="246"/>
      <c r="AS349" s="246"/>
      <c r="AT349" s="246"/>
      <c r="AU349" s="260"/>
    </row>
    <row r="350" spans="1:47" ht="60" customHeight="1" x14ac:dyDescent="0.35">
      <c r="A350" s="256" t="s">
        <v>4034</v>
      </c>
      <c r="B350" s="234" t="s">
        <v>4166</v>
      </c>
      <c r="C350" s="235" t="s">
        <v>4186</v>
      </c>
      <c r="D350" s="238" t="s">
        <v>4187</v>
      </c>
      <c r="E350" s="239" t="s">
        <v>3483</v>
      </c>
      <c r="F350" s="242" t="s">
        <v>4173</v>
      </c>
      <c r="G350" s="245" t="str">
        <f>IF(COUNTIF(H350:AU350,"&lt;&gt;")=0,"",SUMPRODUCT(((Recommendations[ImplStatus]="Implemented")+(Recommendations[ImplStatus]="Compensated"))*ISNUMBER(MATCH(Recommendations[Id],H350:AU350,0)))/COUNTIF(H350:AU350,"&lt;&gt;"))</f>
        <v/>
      </c>
      <c r="H350" s="246"/>
      <c r="I350" s="246"/>
      <c r="J350" s="246"/>
      <c r="K350" s="246"/>
      <c r="L350" s="246"/>
      <c r="M350" s="246"/>
      <c r="N350" s="246"/>
      <c r="O350" s="246"/>
      <c r="P350" s="246"/>
      <c r="Q350" s="246"/>
      <c r="R350" s="246"/>
      <c r="S350" s="246"/>
      <c r="T350" s="246"/>
      <c r="U350" s="246"/>
      <c r="V350" s="246"/>
      <c r="W350" s="246"/>
      <c r="X350" s="246"/>
      <c r="Y350" s="246"/>
      <c r="Z350" s="246"/>
      <c r="AA350" s="246"/>
      <c r="AB350" s="246"/>
      <c r="AC350" s="246"/>
      <c r="AD350" s="246"/>
      <c r="AE350" s="246"/>
      <c r="AF350" s="246"/>
      <c r="AG350" s="246"/>
      <c r="AH350" s="246"/>
      <c r="AI350" s="246"/>
      <c r="AJ350" s="246"/>
      <c r="AK350" s="246"/>
      <c r="AL350" s="246"/>
      <c r="AM350" s="246"/>
      <c r="AN350" s="246"/>
      <c r="AO350" s="246"/>
      <c r="AP350" s="246"/>
      <c r="AQ350" s="246"/>
      <c r="AR350" s="246"/>
      <c r="AS350" s="246"/>
      <c r="AT350" s="246"/>
      <c r="AU350" s="260"/>
    </row>
    <row r="351" spans="1:47" ht="60" customHeight="1" x14ac:dyDescent="0.35">
      <c r="A351" s="256" t="s">
        <v>4034</v>
      </c>
      <c r="B351" s="234" t="s">
        <v>4166</v>
      </c>
      <c r="C351" s="235" t="s">
        <v>4188</v>
      </c>
      <c r="D351" s="238" t="s">
        <v>4189</v>
      </c>
      <c r="E351" s="239" t="s">
        <v>3483</v>
      </c>
      <c r="F351" s="242" t="s">
        <v>4173</v>
      </c>
      <c r="G351" s="245" t="str">
        <f>IF(COUNTIF(H351:AU351,"&lt;&gt;")=0,"",SUMPRODUCT(((Recommendations[ImplStatus]="Implemented")+(Recommendations[ImplStatus]="Compensated"))*ISNUMBER(MATCH(Recommendations[Id],H351:AU351,0)))/COUNTIF(H351:AU351,"&lt;&gt;"))</f>
        <v/>
      </c>
      <c r="H351" s="246"/>
      <c r="I351" s="246"/>
      <c r="J351" s="246"/>
      <c r="K351" s="246"/>
      <c r="L351" s="246"/>
      <c r="M351" s="246"/>
      <c r="N351" s="246"/>
      <c r="O351" s="246"/>
      <c r="P351" s="246"/>
      <c r="Q351" s="246"/>
      <c r="R351" s="246"/>
      <c r="S351" s="246"/>
      <c r="T351" s="246"/>
      <c r="U351" s="246"/>
      <c r="V351" s="246"/>
      <c r="W351" s="246"/>
      <c r="X351" s="246"/>
      <c r="Y351" s="246"/>
      <c r="Z351" s="246"/>
      <c r="AA351" s="246"/>
      <c r="AB351" s="246"/>
      <c r="AC351" s="246"/>
      <c r="AD351" s="246"/>
      <c r="AE351" s="246"/>
      <c r="AF351" s="246"/>
      <c r="AG351" s="246"/>
      <c r="AH351" s="246"/>
      <c r="AI351" s="246"/>
      <c r="AJ351" s="246"/>
      <c r="AK351" s="246"/>
      <c r="AL351" s="246"/>
      <c r="AM351" s="246"/>
      <c r="AN351" s="246"/>
      <c r="AO351" s="246"/>
      <c r="AP351" s="246"/>
      <c r="AQ351" s="246"/>
      <c r="AR351" s="246"/>
      <c r="AS351" s="246"/>
      <c r="AT351" s="246"/>
      <c r="AU351" s="260"/>
    </row>
    <row r="352" spans="1:47" ht="60" customHeight="1" x14ac:dyDescent="0.35">
      <c r="A352" s="256" t="s">
        <v>4034</v>
      </c>
      <c r="B352" s="234" t="s">
        <v>4166</v>
      </c>
      <c r="C352" s="235" t="s">
        <v>4190</v>
      </c>
      <c r="D352" s="238" t="s">
        <v>4191</v>
      </c>
      <c r="E352" s="239" t="s">
        <v>3483</v>
      </c>
      <c r="F352" s="242" t="s">
        <v>4173</v>
      </c>
      <c r="G352" s="245" t="str">
        <f>IF(COUNTIF(H352:AU352,"&lt;&gt;")=0,"",SUMPRODUCT(((Recommendations[ImplStatus]="Implemented")+(Recommendations[ImplStatus]="Compensated"))*ISNUMBER(MATCH(Recommendations[Id],H352:AU352,0)))/COUNTIF(H352:AU352,"&lt;&gt;"))</f>
        <v/>
      </c>
      <c r="H352" s="246"/>
      <c r="I352" s="246"/>
      <c r="J352" s="246"/>
      <c r="K352" s="246"/>
      <c r="L352" s="246"/>
      <c r="M352" s="246"/>
      <c r="N352" s="246"/>
      <c r="O352" s="246"/>
      <c r="P352" s="246"/>
      <c r="Q352" s="246"/>
      <c r="R352" s="246"/>
      <c r="S352" s="246"/>
      <c r="T352" s="246"/>
      <c r="U352" s="246"/>
      <c r="V352" s="246"/>
      <c r="W352" s="246"/>
      <c r="X352" s="246"/>
      <c r="Y352" s="246"/>
      <c r="Z352" s="246"/>
      <c r="AA352" s="246"/>
      <c r="AB352" s="246"/>
      <c r="AC352" s="246"/>
      <c r="AD352" s="246"/>
      <c r="AE352" s="246"/>
      <c r="AF352" s="246"/>
      <c r="AG352" s="246"/>
      <c r="AH352" s="246"/>
      <c r="AI352" s="246"/>
      <c r="AJ352" s="246"/>
      <c r="AK352" s="246"/>
      <c r="AL352" s="246"/>
      <c r="AM352" s="246"/>
      <c r="AN352" s="246"/>
      <c r="AO352" s="246"/>
      <c r="AP352" s="246"/>
      <c r="AQ352" s="246"/>
      <c r="AR352" s="246"/>
      <c r="AS352" s="246"/>
      <c r="AT352" s="246"/>
      <c r="AU352" s="260"/>
    </row>
    <row r="353" spans="1:47" ht="60" customHeight="1" x14ac:dyDescent="0.35">
      <c r="A353" s="256" t="s">
        <v>4034</v>
      </c>
      <c r="B353" s="234" t="s">
        <v>4166</v>
      </c>
      <c r="C353" s="235" t="s">
        <v>4192</v>
      </c>
      <c r="D353" s="238" t="s">
        <v>4193</v>
      </c>
      <c r="E353" s="239" t="s">
        <v>3579</v>
      </c>
      <c r="F353" s="242" t="s">
        <v>4053</v>
      </c>
      <c r="G353" s="245" t="str">
        <f>IF(COUNTIF(H353:AU353,"&lt;&gt;")=0,"",SUMPRODUCT(((Recommendations[ImplStatus]="Implemented")+(Recommendations[ImplStatus]="Compensated"))*ISNUMBER(MATCH(Recommendations[Id],H353:AU353,0)))/COUNTIF(H353:AU353,"&lt;&gt;"))</f>
        <v/>
      </c>
      <c r="H353" s="246"/>
      <c r="I353" s="246"/>
      <c r="J353" s="246"/>
      <c r="K353" s="246"/>
      <c r="L353" s="246"/>
      <c r="M353" s="246"/>
      <c r="N353" s="246"/>
      <c r="O353" s="246"/>
      <c r="P353" s="246"/>
      <c r="Q353" s="246"/>
      <c r="R353" s="246"/>
      <c r="S353" s="246"/>
      <c r="T353" s="246"/>
      <c r="U353" s="246"/>
      <c r="V353" s="246"/>
      <c r="W353" s="246"/>
      <c r="X353" s="246"/>
      <c r="Y353" s="246"/>
      <c r="Z353" s="246"/>
      <c r="AA353" s="246"/>
      <c r="AB353" s="246"/>
      <c r="AC353" s="246"/>
      <c r="AD353" s="246"/>
      <c r="AE353" s="246"/>
      <c r="AF353" s="246"/>
      <c r="AG353" s="246"/>
      <c r="AH353" s="246"/>
      <c r="AI353" s="246"/>
      <c r="AJ353" s="246"/>
      <c r="AK353" s="246"/>
      <c r="AL353" s="246"/>
      <c r="AM353" s="246"/>
      <c r="AN353" s="246"/>
      <c r="AO353" s="246"/>
      <c r="AP353" s="246"/>
      <c r="AQ353" s="246"/>
      <c r="AR353" s="246"/>
      <c r="AS353" s="246"/>
      <c r="AT353" s="246"/>
      <c r="AU353" s="260"/>
    </row>
    <row r="354" spans="1:47" ht="60" customHeight="1" outlineLevel="2" x14ac:dyDescent="0.35">
      <c r="A354" s="255" t="s">
        <v>4034</v>
      </c>
      <c r="B354" s="233" t="s">
        <v>4194</v>
      </c>
      <c r="C354" s="233"/>
      <c r="D354" s="237"/>
      <c r="E354" s="233"/>
      <c r="F354" s="241"/>
      <c r="G354" s="244" t="str">
        <f>IF(COUNTIF(H354:AU354,"&lt;&gt;")=0,"",SUMPRODUCT(((Recommendations[ImplStatus]="Implemented")+(Recommendations[ImplStatus]="Compensated"))*ISNUMBER(MATCH(Recommendations[Id],H354:AU354,0)))/COUNTIF(H354:AU354,"&lt;&gt;"))</f>
        <v/>
      </c>
      <c r="H354" s="241"/>
      <c r="I354" s="241"/>
      <c r="J354" s="241"/>
      <c r="K354" s="241"/>
      <c r="L354" s="241"/>
      <c r="M354" s="241"/>
      <c r="N354" s="241"/>
      <c r="O354" s="241"/>
      <c r="P354" s="241"/>
      <c r="Q354" s="241"/>
      <c r="R354" s="241"/>
      <c r="S354" s="241"/>
      <c r="T354" s="241"/>
      <c r="U354" s="241"/>
      <c r="V354" s="241"/>
      <c r="W354" s="241"/>
      <c r="X354" s="241"/>
      <c r="Y354" s="241"/>
      <c r="Z354" s="241"/>
      <c r="AA354" s="241"/>
      <c r="AB354" s="241"/>
      <c r="AC354" s="241"/>
      <c r="AD354" s="241"/>
      <c r="AE354" s="241"/>
      <c r="AF354" s="241"/>
      <c r="AG354" s="241"/>
      <c r="AH354" s="241"/>
      <c r="AI354" s="241"/>
      <c r="AJ354" s="241"/>
      <c r="AK354" s="241"/>
      <c r="AL354" s="241"/>
      <c r="AM354" s="241"/>
      <c r="AN354" s="241"/>
      <c r="AO354" s="241"/>
      <c r="AP354" s="241"/>
      <c r="AQ354" s="241"/>
      <c r="AR354" s="241"/>
      <c r="AS354" s="241"/>
      <c r="AT354" s="241"/>
      <c r="AU354" s="259"/>
    </row>
    <row r="355" spans="1:47" ht="60" customHeight="1" x14ac:dyDescent="0.35">
      <c r="A355" s="256" t="s">
        <v>4034</v>
      </c>
      <c r="B355" s="234" t="s">
        <v>4194</v>
      </c>
      <c r="C355" s="235" t="s">
        <v>4195</v>
      </c>
      <c r="D355" s="238" t="s">
        <v>4196</v>
      </c>
      <c r="E355" s="239" t="s">
        <v>3579</v>
      </c>
      <c r="F355" s="242" t="s">
        <v>4197</v>
      </c>
      <c r="G355" s="245">
        <f>IF(COUNTIF(H355:AU355,"&lt;&gt;")=0,"",SUMPRODUCT(((Recommendations[ImplStatus]="Implemented")+(Recommendations[ImplStatus]="Compensated"))*ISNUMBER(MATCH(Recommendations[Id],H355:AU355,0)))/COUNTIF(H355:AU355,"&lt;&gt;"))</f>
        <v>0</v>
      </c>
      <c r="H355" s="246" t="s">
        <v>117</v>
      </c>
      <c r="I355" s="246" t="s">
        <v>122</v>
      </c>
      <c r="J355" s="246"/>
      <c r="K355" s="246"/>
      <c r="L355" s="246"/>
      <c r="M355" s="246"/>
      <c r="N355" s="246"/>
      <c r="O355" s="246"/>
      <c r="P355" s="246"/>
      <c r="Q355" s="246"/>
      <c r="R355" s="246"/>
      <c r="S355" s="246"/>
      <c r="T355" s="246"/>
      <c r="U355" s="246"/>
      <c r="V355" s="246"/>
      <c r="W355" s="246"/>
      <c r="X355" s="246"/>
      <c r="Y355" s="246"/>
      <c r="Z355" s="246"/>
      <c r="AA355" s="246"/>
      <c r="AB355" s="246"/>
      <c r="AC355" s="246"/>
      <c r="AD355" s="246"/>
      <c r="AE355" s="246"/>
      <c r="AF355" s="246"/>
      <c r="AG355" s="246"/>
      <c r="AH355" s="246"/>
      <c r="AI355" s="246"/>
      <c r="AJ355" s="246"/>
      <c r="AK355" s="246"/>
      <c r="AL355" s="246"/>
      <c r="AM355" s="246"/>
      <c r="AN355" s="246"/>
      <c r="AO355" s="246"/>
      <c r="AP355" s="246"/>
      <c r="AQ355" s="246"/>
      <c r="AR355" s="246"/>
      <c r="AS355" s="246"/>
      <c r="AT355" s="246"/>
      <c r="AU355" s="260"/>
    </row>
    <row r="356" spans="1:47" ht="60" customHeight="1" x14ac:dyDescent="0.35">
      <c r="A356" s="256" t="s">
        <v>4034</v>
      </c>
      <c r="B356" s="234" t="s">
        <v>4194</v>
      </c>
      <c r="C356" s="235" t="s">
        <v>4198</v>
      </c>
      <c r="D356" s="238" t="s">
        <v>4199</v>
      </c>
      <c r="E356" s="239" t="s">
        <v>3579</v>
      </c>
      <c r="F356" s="242" t="s">
        <v>4197</v>
      </c>
      <c r="G356" s="245">
        <f>IF(COUNTIF(H356:AU356,"&lt;&gt;")=0,"",SUMPRODUCT(((Recommendations[ImplStatus]="Implemented")+(Recommendations[ImplStatus]="Compensated"))*ISNUMBER(MATCH(Recommendations[Id],H356:AU356,0)))/COUNTIF(H356:AU356,"&lt;&gt;"))</f>
        <v>0</v>
      </c>
      <c r="H356" s="246" t="s">
        <v>88</v>
      </c>
      <c r="I356" s="246" t="s">
        <v>390</v>
      </c>
      <c r="J356" s="246"/>
      <c r="K356" s="246"/>
      <c r="L356" s="246"/>
      <c r="M356" s="246"/>
      <c r="N356" s="246"/>
      <c r="O356" s="246"/>
      <c r="P356" s="246"/>
      <c r="Q356" s="246"/>
      <c r="R356" s="246"/>
      <c r="S356" s="246"/>
      <c r="T356" s="246"/>
      <c r="U356" s="246"/>
      <c r="V356" s="246"/>
      <c r="W356" s="246"/>
      <c r="X356" s="246"/>
      <c r="Y356" s="246"/>
      <c r="Z356" s="246"/>
      <c r="AA356" s="246"/>
      <c r="AB356" s="246"/>
      <c r="AC356" s="246"/>
      <c r="AD356" s="246"/>
      <c r="AE356" s="246"/>
      <c r="AF356" s="246"/>
      <c r="AG356" s="246"/>
      <c r="AH356" s="246"/>
      <c r="AI356" s="246"/>
      <c r="AJ356" s="246"/>
      <c r="AK356" s="246"/>
      <c r="AL356" s="246"/>
      <c r="AM356" s="246"/>
      <c r="AN356" s="246"/>
      <c r="AO356" s="246"/>
      <c r="AP356" s="246"/>
      <c r="AQ356" s="246"/>
      <c r="AR356" s="246"/>
      <c r="AS356" s="246"/>
      <c r="AT356" s="246"/>
      <c r="AU356" s="260"/>
    </row>
    <row r="357" spans="1:47" ht="60" customHeight="1" x14ac:dyDescent="0.35">
      <c r="A357" s="256" t="s">
        <v>4034</v>
      </c>
      <c r="B357" s="234" t="s">
        <v>4194</v>
      </c>
      <c r="C357" s="235" t="s">
        <v>4200</v>
      </c>
      <c r="D357" s="238" t="s">
        <v>4201</v>
      </c>
      <c r="E357" s="239" t="s">
        <v>3627</v>
      </c>
      <c r="F357" s="242" t="s">
        <v>4197</v>
      </c>
      <c r="G357" s="245" t="str">
        <f>IF(COUNTIF(H357:AU357,"&lt;&gt;")=0,"",SUMPRODUCT(((Recommendations[ImplStatus]="Implemented")+(Recommendations[ImplStatus]="Compensated"))*ISNUMBER(MATCH(Recommendations[Id],H357:AU357,0)))/COUNTIF(H357:AU357,"&lt;&gt;"))</f>
        <v/>
      </c>
      <c r="H357" s="246"/>
      <c r="I357" s="246"/>
      <c r="J357" s="246"/>
      <c r="K357" s="246"/>
      <c r="L357" s="246"/>
      <c r="M357" s="246"/>
      <c r="N357" s="246"/>
      <c r="O357" s="246"/>
      <c r="P357" s="246"/>
      <c r="Q357" s="246"/>
      <c r="R357" s="246"/>
      <c r="S357" s="246"/>
      <c r="T357" s="246"/>
      <c r="U357" s="246"/>
      <c r="V357" s="246"/>
      <c r="W357" s="246"/>
      <c r="X357" s="246"/>
      <c r="Y357" s="246"/>
      <c r="Z357" s="246"/>
      <c r="AA357" s="246"/>
      <c r="AB357" s="246"/>
      <c r="AC357" s="246"/>
      <c r="AD357" s="246"/>
      <c r="AE357" s="246"/>
      <c r="AF357" s="246"/>
      <c r="AG357" s="246"/>
      <c r="AH357" s="246"/>
      <c r="AI357" s="246"/>
      <c r="AJ357" s="246"/>
      <c r="AK357" s="246"/>
      <c r="AL357" s="246"/>
      <c r="AM357" s="246"/>
      <c r="AN357" s="246"/>
      <c r="AO357" s="246"/>
      <c r="AP357" s="246"/>
      <c r="AQ357" s="246"/>
      <c r="AR357" s="246"/>
      <c r="AS357" s="246"/>
      <c r="AT357" s="246"/>
      <c r="AU357" s="260"/>
    </row>
    <row r="358" spans="1:47" ht="60" customHeight="1" x14ac:dyDescent="0.35">
      <c r="A358" s="256" t="s">
        <v>4034</v>
      </c>
      <c r="B358" s="234" t="s">
        <v>4194</v>
      </c>
      <c r="C358" s="235" t="s">
        <v>4202</v>
      </c>
      <c r="D358" s="238" t="s">
        <v>4203</v>
      </c>
      <c r="E358" s="239" t="s">
        <v>3627</v>
      </c>
      <c r="F358" s="242" t="s">
        <v>4197</v>
      </c>
      <c r="G358" s="245">
        <f>IF(COUNTIF(H358:AU358,"&lt;&gt;")=0,"",SUMPRODUCT(((Recommendations[ImplStatus]="Implemented")+(Recommendations[ImplStatus]="Compensated"))*ISNUMBER(MATCH(Recommendations[Id],H358:AU358,0)))/COUNTIF(H358:AU358,"&lt;&gt;"))</f>
        <v>0</v>
      </c>
      <c r="H358" s="246" t="s">
        <v>38</v>
      </c>
      <c r="I358" s="246" t="s">
        <v>43</v>
      </c>
      <c r="J358" s="246" t="s">
        <v>47</v>
      </c>
      <c r="K358" s="246" t="s">
        <v>51</v>
      </c>
      <c r="L358" s="246" t="s">
        <v>78</v>
      </c>
      <c r="M358" s="246" t="s">
        <v>83</v>
      </c>
      <c r="N358" s="246"/>
      <c r="O358" s="246"/>
      <c r="P358" s="246"/>
      <c r="Q358" s="246"/>
      <c r="R358" s="246"/>
      <c r="S358" s="246"/>
      <c r="T358" s="246"/>
      <c r="U358" s="246"/>
      <c r="V358" s="246"/>
      <c r="W358" s="246"/>
      <c r="X358" s="246"/>
      <c r="Y358" s="246"/>
      <c r="Z358" s="246"/>
      <c r="AA358" s="246"/>
      <c r="AB358" s="246"/>
      <c r="AC358" s="246"/>
      <c r="AD358" s="246"/>
      <c r="AE358" s="246"/>
      <c r="AF358" s="246"/>
      <c r="AG358" s="246"/>
      <c r="AH358" s="246"/>
      <c r="AI358" s="246"/>
      <c r="AJ358" s="246"/>
      <c r="AK358" s="246"/>
      <c r="AL358" s="246"/>
      <c r="AM358" s="246"/>
      <c r="AN358" s="246"/>
      <c r="AO358" s="246"/>
      <c r="AP358" s="246"/>
      <c r="AQ358" s="246"/>
      <c r="AR358" s="246"/>
      <c r="AS358" s="246"/>
      <c r="AT358" s="246"/>
      <c r="AU358" s="260"/>
    </row>
    <row r="359" spans="1:47" ht="60" customHeight="1" x14ac:dyDescent="0.35">
      <c r="A359" s="256" t="s">
        <v>4034</v>
      </c>
      <c r="B359" s="234" t="s">
        <v>4194</v>
      </c>
      <c r="C359" s="235" t="s">
        <v>4204</v>
      </c>
      <c r="D359" s="238" t="s">
        <v>4205</v>
      </c>
      <c r="E359" s="239" t="s">
        <v>3627</v>
      </c>
      <c r="F359" s="242" t="s">
        <v>4197</v>
      </c>
      <c r="G359" s="245" t="str">
        <f>IF(COUNTIF(H359:AU359,"&lt;&gt;")=0,"",SUMPRODUCT(((Recommendations[ImplStatus]="Implemented")+(Recommendations[ImplStatus]="Compensated"))*ISNUMBER(MATCH(Recommendations[Id],H359:AU359,0)))/COUNTIF(H359:AU359,"&lt;&gt;"))</f>
        <v/>
      </c>
      <c r="H359" s="246"/>
      <c r="I359" s="246"/>
      <c r="J359" s="246"/>
      <c r="K359" s="246"/>
      <c r="L359" s="246"/>
      <c r="M359" s="246"/>
      <c r="N359" s="246"/>
      <c r="O359" s="246"/>
      <c r="P359" s="246"/>
      <c r="Q359" s="246"/>
      <c r="R359" s="246"/>
      <c r="S359" s="246"/>
      <c r="T359" s="246"/>
      <c r="U359" s="246"/>
      <c r="V359" s="246"/>
      <c r="W359" s="246"/>
      <c r="X359" s="246"/>
      <c r="Y359" s="246"/>
      <c r="Z359" s="246"/>
      <c r="AA359" s="246"/>
      <c r="AB359" s="246"/>
      <c r="AC359" s="246"/>
      <c r="AD359" s="246"/>
      <c r="AE359" s="246"/>
      <c r="AF359" s="246"/>
      <c r="AG359" s="246"/>
      <c r="AH359" s="246"/>
      <c r="AI359" s="246"/>
      <c r="AJ359" s="246"/>
      <c r="AK359" s="246"/>
      <c r="AL359" s="246"/>
      <c r="AM359" s="246"/>
      <c r="AN359" s="246"/>
      <c r="AO359" s="246"/>
      <c r="AP359" s="246"/>
      <c r="AQ359" s="246"/>
      <c r="AR359" s="246"/>
      <c r="AS359" s="246"/>
      <c r="AT359" s="246"/>
      <c r="AU359" s="260"/>
    </row>
    <row r="360" spans="1:47" ht="60" customHeight="1" x14ac:dyDescent="0.35">
      <c r="A360" s="256" t="s">
        <v>4034</v>
      </c>
      <c r="B360" s="234" t="s">
        <v>4194</v>
      </c>
      <c r="C360" s="235" t="s">
        <v>4206</v>
      </c>
      <c r="D360" s="238" t="s">
        <v>4207</v>
      </c>
      <c r="E360" s="239" t="s">
        <v>3579</v>
      </c>
      <c r="F360" s="242" t="s">
        <v>4197</v>
      </c>
      <c r="G360" s="245">
        <f>IF(COUNTIF(H360:AU360,"&lt;&gt;")=0,"",SUMPRODUCT(((Recommendations[ImplStatus]="Implemented")+(Recommendations[ImplStatus]="Compensated"))*ISNUMBER(MATCH(Recommendations[Id],H360:AU360,0)))/COUNTIF(H360:AU360,"&lt;&gt;"))</f>
        <v>0</v>
      </c>
      <c r="H360" s="246" t="s">
        <v>112</v>
      </c>
      <c r="I360" s="246"/>
      <c r="J360" s="246"/>
      <c r="K360" s="246"/>
      <c r="L360" s="246"/>
      <c r="M360" s="246"/>
      <c r="N360" s="246"/>
      <c r="O360" s="246"/>
      <c r="P360" s="246"/>
      <c r="Q360" s="246"/>
      <c r="R360" s="246"/>
      <c r="S360" s="246"/>
      <c r="T360" s="246"/>
      <c r="U360" s="246"/>
      <c r="V360" s="246"/>
      <c r="W360" s="246"/>
      <c r="X360" s="246"/>
      <c r="Y360" s="246"/>
      <c r="Z360" s="246"/>
      <c r="AA360" s="246"/>
      <c r="AB360" s="246"/>
      <c r="AC360" s="246"/>
      <c r="AD360" s="246"/>
      <c r="AE360" s="246"/>
      <c r="AF360" s="246"/>
      <c r="AG360" s="246"/>
      <c r="AH360" s="246"/>
      <c r="AI360" s="246"/>
      <c r="AJ360" s="246"/>
      <c r="AK360" s="246"/>
      <c r="AL360" s="246"/>
      <c r="AM360" s="246"/>
      <c r="AN360" s="246"/>
      <c r="AO360" s="246"/>
      <c r="AP360" s="246"/>
      <c r="AQ360" s="246"/>
      <c r="AR360" s="246"/>
      <c r="AS360" s="246"/>
      <c r="AT360" s="246"/>
      <c r="AU360" s="260"/>
    </row>
    <row r="361" spans="1:47" ht="60" customHeight="1" x14ac:dyDescent="0.35">
      <c r="A361" s="256" t="s">
        <v>4034</v>
      </c>
      <c r="B361" s="234" t="s">
        <v>4194</v>
      </c>
      <c r="C361" s="235" t="s">
        <v>4208</v>
      </c>
      <c r="D361" s="238" t="s">
        <v>4209</v>
      </c>
      <c r="E361" s="239" t="s">
        <v>3512</v>
      </c>
      <c r="F361" s="242" t="s">
        <v>4197</v>
      </c>
      <c r="G361" s="245">
        <f>IF(COUNTIF(H361:AU361,"&lt;&gt;")=0,"",SUMPRODUCT(((Recommendations[ImplStatus]="Implemented")+(Recommendations[ImplStatus]="Compensated"))*ISNUMBER(MATCH(Recommendations[Id],H361:AU361,0)))/COUNTIF(H361:AU361,"&lt;&gt;"))</f>
        <v>0</v>
      </c>
      <c r="H361" s="246" t="s">
        <v>127</v>
      </c>
      <c r="I361" s="246" t="s">
        <v>132</v>
      </c>
      <c r="J361" s="246" t="s">
        <v>137</v>
      </c>
      <c r="K361" s="246" t="s">
        <v>142</v>
      </c>
      <c r="L361" s="246" t="s">
        <v>147</v>
      </c>
      <c r="M361" s="246" t="s">
        <v>152</v>
      </c>
      <c r="N361" s="246" t="s">
        <v>157</v>
      </c>
      <c r="O361" s="246"/>
      <c r="P361" s="246"/>
      <c r="Q361" s="246"/>
      <c r="R361" s="246"/>
      <c r="S361" s="246"/>
      <c r="T361" s="246"/>
      <c r="U361" s="246"/>
      <c r="V361" s="246"/>
      <c r="W361" s="246"/>
      <c r="X361" s="246"/>
      <c r="Y361" s="246"/>
      <c r="Z361" s="246"/>
      <c r="AA361" s="246"/>
      <c r="AB361" s="246"/>
      <c r="AC361" s="246"/>
      <c r="AD361" s="246"/>
      <c r="AE361" s="246"/>
      <c r="AF361" s="246"/>
      <c r="AG361" s="246"/>
      <c r="AH361" s="246"/>
      <c r="AI361" s="246"/>
      <c r="AJ361" s="246"/>
      <c r="AK361" s="246"/>
      <c r="AL361" s="246"/>
      <c r="AM361" s="246"/>
      <c r="AN361" s="246"/>
      <c r="AO361" s="246"/>
      <c r="AP361" s="246"/>
      <c r="AQ361" s="246"/>
      <c r="AR361" s="246"/>
      <c r="AS361" s="246"/>
      <c r="AT361" s="246"/>
      <c r="AU361" s="260"/>
    </row>
    <row r="362" spans="1:47" ht="60" customHeight="1" x14ac:dyDescent="0.35">
      <c r="A362" s="256" t="s">
        <v>4034</v>
      </c>
      <c r="B362" s="234" t="s">
        <v>4194</v>
      </c>
      <c r="C362" s="235" t="s">
        <v>4210</v>
      </c>
      <c r="D362" s="238" t="s">
        <v>4211</v>
      </c>
      <c r="E362" s="239" t="s">
        <v>3627</v>
      </c>
      <c r="F362" s="242" t="s">
        <v>4197</v>
      </c>
      <c r="G362" s="245">
        <f>IF(COUNTIF(H362:AU362,"&lt;&gt;")=0,"",SUMPRODUCT(((Recommendations[ImplStatus]="Implemented")+(Recommendations[ImplStatus]="Compensated"))*ISNUMBER(MATCH(Recommendations[Id],H362:AU362,0)))/COUNTIF(H362:AU362,"&lt;&gt;"))</f>
        <v>0</v>
      </c>
      <c r="H362" s="246" t="s">
        <v>107</v>
      </c>
      <c r="I362" s="246"/>
      <c r="J362" s="246"/>
      <c r="K362" s="246"/>
      <c r="L362" s="246"/>
      <c r="M362" s="246"/>
      <c r="N362" s="246"/>
      <c r="O362" s="246"/>
      <c r="P362" s="246"/>
      <c r="Q362" s="246"/>
      <c r="R362" s="246"/>
      <c r="S362" s="246"/>
      <c r="T362" s="246"/>
      <c r="U362" s="246"/>
      <c r="V362" s="246"/>
      <c r="W362" s="246"/>
      <c r="X362" s="246"/>
      <c r="Y362" s="246"/>
      <c r="Z362" s="246"/>
      <c r="AA362" s="246"/>
      <c r="AB362" s="246"/>
      <c r="AC362" s="246"/>
      <c r="AD362" s="246"/>
      <c r="AE362" s="246"/>
      <c r="AF362" s="246"/>
      <c r="AG362" s="246"/>
      <c r="AH362" s="246"/>
      <c r="AI362" s="246"/>
      <c r="AJ362" s="246"/>
      <c r="AK362" s="246"/>
      <c r="AL362" s="246"/>
      <c r="AM362" s="246"/>
      <c r="AN362" s="246"/>
      <c r="AO362" s="246"/>
      <c r="AP362" s="246"/>
      <c r="AQ362" s="246"/>
      <c r="AR362" s="246"/>
      <c r="AS362" s="246"/>
      <c r="AT362" s="246"/>
      <c r="AU362" s="260"/>
    </row>
    <row r="363" spans="1:47" ht="60" customHeight="1" x14ac:dyDescent="0.35">
      <c r="A363" s="256" t="s">
        <v>4034</v>
      </c>
      <c r="B363" s="234" t="s">
        <v>4194</v>
      </c>
      <c r="C363" s="235" t="s">
        <v>4212</v>
      </c>
      <c r="D363" s="238" t="s">
        <v>4213</v>
      </c>
      <c r="E363" s="239" t="s">
        <v>3627</v>
      </c>
      <c r="F363" s="242" t="s">
        <v>4197</v>
      </c>
      <c r="G363" s="245" t="str">
        <f>IF(COUNTIF(H363:AU363,"&lt;&gt;")=0,"",SUMPRODUCT(((Recommendations[ImplStatus]="Implemented")+(Recommendations[ImplStatus]="Compensated"))*ISNUMBER(MATCH(Recommendations[Id],H363:AU363,0)))/COUNTIF(H363:AU363,"&lt;&gt;"))</f>
        <v/>
      </c>
      <c r="H363" s="246"/>
      <c r="I363" s="246"/>
      <c r="J363" s="246"/>
      <c r="K363" s="246"/>
      <c r="L363" s="246"/>
      <c r="M363" s="246"/>
      <c r="N363" s="246"/>
      <c r="O363" s="246"/>
      <c r="P363" s="246"/>
      <c r="Q363" s="246"/>
      <c r="R363" s="246"/>
      <c r="S363" s="246"/>
      <c r="T363" s="246"/>
      <c r="U363" s="246"/>
      <c r="V363" s="246"/>
      <c r="W363" s="246"/>
      <c r="X363" s="246"/>
      <c r="Y363" s="246"/>
      <c r="Z363" s="246"/>
      <c r="AA363" s="246"/>
      <c r="AB363" s="246"/>
      <c r="AC363" s="246"/>
      <c r="AD363" s="246"/>
      <c r="AE363" s="246"/>
      <c r="AF363" s="246"/>
      <c r="AG363" s="246"/>
      <c r="AH363" s="246"/>
      <c r="AI363" s="246"/>
      <c r="AJ363" s="246"/>
      <c r="AK363" s="246"/>
      <c r="AL363" s="246"/>
      <c r="AM363" s="246"/>
      <c r="AN363" s="246"/>
      <c r="AO363" s="246"/>
      <c r="AP363" s="246"/>
      <c r="AQ363" s="246"/>
      <c r="AR363" s="246"/>
      <c r="AS363" s="246"/>
      <c r="AT363" s="246"/>
      <c r="AU363" s="260"/>
    </row>
    <row r="364" spans="1:47" ht="60" customHeight="1" x14ac:dyDescent="0.35">
      <c r="A364" s="256" t="s">
        <v>4034</v>
      </c>
      <c r="B364" s="234" t="s">
        <v>4194</v>
      </c>
      <c r="C364" s="235" t="s">
        <v>4214</v>
      </c>
      <c r="D364" s="238" t="s">
        <v>4215</v>
      </c>
      <c r="E364" s="239" t="s">
        <v>3627</v>
      </c>
      <c r="F364" s="242" t="s">
        <v>4197</v>
      </c>
      <c r="G364" s="245" t="str">
        <f>IF(COUNTIF(H364:AU364,"&lt;&gt;")=0,"",SUMPRODUCT(((Recommendations[ImplStatus]="Implemented")+(Recommendations[ImplStatus]="Compensated"))*ISNUMBER(MATCH(Recommendations[Id],H364:AU364,0)))/COUNTIF(H364:AU364,"&lt;&gt;"))</f>
        <v/>
      </c>
      <c r="H364" s="246"/>
      <c r="I364" s="246"/>
      <c r="J364" s="246"/>
      <c r="K364" s="246"/>
      <c r="L364" s="246"/>
      <c r="M364" s="246"/>
      <c r="N364" s="246"/>
      <c r="O364" s="246"/>
      <c r="P364" s="246"/>
      <c r="Q364" s="246"/>
      <c r="R364" s="246"/>
      <c r="S364" s="246"/>
      <c r="T364" s="246"/>
      <c r="U364" s="246"/>
      <c r="V364" s="246"/>
      <c r="W364" s="246"/>
      <c r="X364" s="246"/>
      <c r="Y364" s="246"/>
      <c r="Z364" s="246"/>
      <c r="AA364" s="246"/>
      <c r="AB364" s="246"/>
      <c r="AC364" s="246"/>
      <c r="AD364" s="246"/>
      <c r="AE364" s="246"/>
      <c r="AF364" s="246"/>
      <c r="AG364" s="246"/>
      <c r="AH364" s="246"/>
      <c r="AI364" s="246"/>
      <c r="AJ364" s="246"/>
      <c r="AK364" s="246"/>
      <c r="AL364" s="246"/>
      <c r="AM364" s="246"/>
      <c r="AN364" s="246"/>
      <c r="AO364" s="246"/>
      <c r="AP364" s="246"/>
      <c r="AQ364" s="246"/>
      <c r="AR364" s="246"/>
      <c r="AS364" s="246"/>
      <c r="AT364" s="246"/>
      <c r="AU364" s="260"/>
    </row>
    <row r="365" spans="1:47" ht="60" customHeight="1" x14ac:dyDescent="0.35">
      <c r="A365" s="256" t="s">
        <v>4034</v>
      </c>
      <c r="B365" s="234" t="s">
        <v>4194</v>
      </c>
      <c r="C365" s="235" t="s">
        <v>4216</v>
      </c>
      <c r="D365" s="238" t="s">
        <v>4217</v>
      </c>
      <c r="E365" s="239" t="s">
        <v>3627</v>
      </c>
      <c r="F365" s="242" t="s">
        <v>4197</v>
      </c>
      <c r="G365" s="245" t="str">
        <f>IF(COUNTIF(H365:AU365,"&lt;&gt;")=0,"",SUMPRODUCT(((Recommendations[ImplStatus]="Implemented")+(Recommendations[ImplStatus]="Compensated"))*ISNUMBER(MATCH(Recommendations[Id],H365:AU365,0)))/COUNTIF(H365:AU365,"&lt;&gt;"))</f>
        <v/>
      </c>
      <c r="H365" s="246"/>
      <c r="I365" s="246"/>
      <c r="J365" s="246"/>
      <c r="K365" s="246"/>
      <c r="L365" s="246"/>
      <c r="M365" s="246"/>
      <c r="N365" s="246"/>
      <c r="O365" s="246"/>
      <c r="P365" s="246"/>
      <c r="Q365" s="246"/>
      <c r="R365" s="246"/>
      <c r="S365" s="246"/>
      <c r="T365" s="246"/>
      <c r="U365" s="246"/>
      <c r="V365" s="246"/>
      <c r="W365" s="246"/>
      <c r="X365" s="246"/>
      <c r="Y365" s="246"/>
      <c r="Z365" s="246"/>
      <c r="AA365" s="246"/>
      <c r="AB365" s="246"/>
      <c r="AC365" s="246"/>
      <c r="AD365" s="246"/>
      <c r="AE365" s="246"/>
      <c r="AF365" s="246"/>
      <c r="AG365" s="246"/>
      <c r="AH365" s="246"/>
      <c r="AI365" s="246"/>
      <c r="AJ365" s="246"/>
      <c r="AK365" s="246"/>
      <c r="AL365" s="246"/>
      <c r="AM365" s="246"/>
      <c r="AN365" s="246"/>
      <c r="AO365" s="246"/>
      <c r="AP365" s="246"/>
      <c r="AQ365" s="246"/>
      <c r="AR365" s="246"/>
      <c r="AS365" s="246"/>
      <c r="AT365" s="246"/>
      <c r="AU365" s="260"/>
    </row>
    <row r="366" spans="1:47" ht="60" customHeight="1" x14ac:dyDescent="0.35">
      <c r="A366" s="256" t="s">
        <v>4034</v>
      </c>
      <c r="B366" s="234" t="s">
        <v>4194</v>
      </c>
      <c r="C366" s="235" t="s">
        <v>4218</v>
      </c>
      <c r="D366" s="238" t="s">
        <v>4219</v>
      </c>
      <c r="E366" s="239" t="s">
        <v>3627</v>
      </c>
      <c r="F366" s="242" t="s">
        <v>4197</v>
      </c>
      <c r="G366" s="245" t="str">
        <f>IF(COUNTIF(H366:AU366,"&lt;&gt;")=0,"",SUMPRODUCT(((Recommendations[ImplStatus]="Implemented")+(Recommendations[ImplStatus]="Compensated"))*ISNUMBER(MATCH(Recommendations[Id],H366:AU366,0)))/COUNTIF(H366:AU366,"&lt;&gt;"))</f>
        <v/>
      </c>
      <c r="H366" s="246"/>
      <c r="I366" s="246"/>
      <c r="J366" s="246"/>
      <c r="K366" s="246"/>
      <c r="L366" s="246"/>
      <c r="M366" s="246"/>
      <c r="N366" s="246"/>
      <c r="O366" s="246"/>
      <c r="P366" s="246"/>
      <c r="Q366" s="246"/>
      <c r="R366" s="246"/>
      <c r="S366" s="246"/>
      <c r="T366" s="246"/>
      <c r="U366" s="246"/>
      <c r="V366" s="246"/>
      <c r="W366" s="246"/>
      <c r="X366" s="246"/>
      <c r="Y366" s="246"/>
      <c r="Z366" s="246"/>
      <c r="AA366" s="246"/>
      <c r="AB366" s="246"/>
      <c r="AC366" s="246"/>
      <c r="AD366" s="246"/>
      <c r="AE366" s="246"/>
      <c r="AF366" s="246"/>
      <c r="AG366" s="246"/>
      <c r="AH366" s="246"/>
      <c r="AI366" s="246"/>
      <c r="AJ366" s="246"/>
      <c r="AK366" s="246"/>
      <c r="AL366" s="246"/>
      <c r="AM366" s="246"/>
      <c r="AN366" s="246"/>
      <c r="AO366" s="246"/>
      <c r="AP366" s="246"/>
      <c r="AQ366" s="246"/>
      <c r="AR366" s="246"/>
      <c r="AS366" s="246"/>
      <c r="AT366" s="246"/>
      <c r="AU366" s="260"/>
    </row>
    <row r="367" spans="1:47" ht="60" customHeight="1" x14ac:dyDescent="0.35">
      <c r="A367" s="256" t="s">
        <v>4034</v>
      </c>
      <c r="B367" s="234" t="s">
        <v>4194</v>
      </c>
      <c r="C367" s="235" t="s">
        <v>4220</v>
      </c>
      <c r="D367" s="238" t="s">
        <v>4221</v>
      </c>
      <c r="E367" s="239" t="s">
        <v>3627</v>
      </c>
      <c r="F367" s="242" t="s">
        <v>4197</v>
      </c>
      <c r="G367" s="245">
        <f>IF(COUNTIF(H367:AU367,"&lt;&gt;")=0,"",SUMPRODUCT(((Recommendations[ImplStatus]="Implemented")+(Recommendations[ImplStatus]="Compensated"))*ISNUMBER(MATCH(Recommendations[Id],H367:AU367,0)))/COUNTIF(H367:AU367,"&lt;&gt;"))</f>
        <v>0</v>
      </c>
      <c r="H367" s="246" t="s">
        <v>285</v>
      </c>
      <c r="I367" s="246"/>
      <c r="J367" s="246"/>
      <c r="K367" s="246"/>
      <c r="L367" s="246"/>
      <c r="M367" s="246"/>
      <c r="N367" s="246"/>
      <c r="O367" s="246"/>
      <c r="P367" s="246"/>
      <c r="Q367" s="246"/>
      <c r="R367" s="246"/>
      <c r="S367" s="246"/>
      <c r="T367" s="246"/>
      <c r="U367" s="246"/>
      <c r="V367" s="246"/>
      <c r="W367" s="246"/>
      <c r="X367" s="246"/>
      <c r="Y367" s="246"/>
      <c r="Z367" s="246"/>
      <c r="AA367" s="246"/>
      <c r="AB367" s="246"/>
      <c r="AC367" s="246"/>
      <c r="AD367" s="246"/>
      <c r="AE367" s="246"/>
      <c r="AF367" s="246"/>
      <c r="AG367" s="246"/>
      <c r="AH367" s="246"/>
      <c r="AI367" s="246"/>
      <c r="AJ367" s="246"/>
      <c r="AK367" s="246"/>
      <c r="AL367" s="246"/>
      <c r="AM367" s="246"/>
      <c r="AN367" s="246"/>
      <c r="AO367" s="246"/>
      <c r="AP367" s="246"/>
      <c r="AQ367" s="246"/>
      <c r="AR367" s="246"/>
      <c r="AS367" s="246"/>
      <c r="AT367" s="246"/>
      <c r="AU367" s="260"/>
    </row>
    <row r="368" spans="1:47" ht="60" customHeight="1" x14ac:dyDescent="0.35">
      <c r="A368" s="256" t="s">
        <v>4034</v>
      </c>
      <c r="B368" s="234" t="s">
        <v>4194</v>
      </c>
      <c r="C368" s="235" t="s">
        <v>4222</v>
      </c>
      <c r="D368" s="238" t="s">
        <v>4223</v>
      </c>
      <c r="E368" s="239" t="s">
        <v>3627</v>
      </c>
      <c r="F368" s="242" t="s">
        <v>4197</v>
      </c>
      <c r="G368" s="245">
        <f>IF(COUNTIF(H368:AU368,"&lt;&gt;")=0,"",SUMPRODUCT(((Recommendations[ImplStatus]="Implemented")+(Recommendations[ImplStatus]="Compensated"))*ISNUMBER(MATCH(Recommendations[Id],H368:AU368,0)))/COUNTIF(H368:AU368,"&lt;&gt;"))</f>
        <v>0</v>
      </c>
      <c r="H368" s="246" t="s">
        <v>280</v>
      </c>
      <c r="I368" s="246"/>
      <c r="J368" s="246"/>
      <c r="K368" s="246"/>
      <c r="L368" s="246"/>
      <c r="M368" s="246"/>
      <c r="N368" s="246"/>
      <c r="O368" s="246"/>
      <c r="P368" s="246"/>
      <c r="Q368" s="246"/>
      <c r="R368" s="246"/>
      <c r="S368" s="246"/>
      <c r="T368" s="246"/>
      <c r="U368" s="246"/>
      <c r="V368" s="246"/>
      <c r="W368" s="246"/>
      <c r="X368" s="246"/>
      <c r="Y368" s="246"/>
      <c r="Z368" s="246"/>
      <c r="AA368" s="246"/>
      <c r="AB368" s="246"/>
      <c r="AC368" s="246"/>
      <c r="AD368" s="246"/>
      <c r="AE368" s="246"/>
      <c r="AF368" s="246"/>
      <c r="AG368" s="246"/>
      <c r="AH368" s="246"/>
      <c r="AI368" s="246"/>
      <c r="AJ368" s="246"/>
      <c r="AK368" s="246"/>
      <c r="AL368" s="246"/>
      <c r="AM368" s="246"/>
      <c r="AN368" s="246"/>
      <c r="AO368" s="246"/>
      <c r="AP368" s="246"/>
      <c r="AQ368" s="246"/>
      <c r="AR368" s="246"/>
      <c r="AS368" s="246"/>
      <c r="AT368" s="246"/>
      <c r="AU368" s="260"/>
    </row>
    <row r="369" spans="1:47" ht="60" customHeight="1" x14ac:dyDescent="0.35">
      <c r="A369" s="256" t="s">
        <v>4034</v>
      </c>
      <c r="B369" s="234" t="s">
        <v>4194</v>
      </c>
      <c r="C369" s="235" t="s">
        <v>4224</v>
      </c>
      <c r="D369" s="238" t="s">
        <v>4225</v>
      </c>
      <c r="E369" s="239" t="s">
        <v>3627</v>
      </c>
      <c r="F369" s="242" t="s">
        <v>4197</v>
      </c>
      <c r="G369" s="245" t="str">
        <f>IF(COUNTIF(H369:AU369,"&lt;&gt;")=0,"",SUMPRODUCT(((Recommendations[ImplStatus]="Implemented")+(Recommendations[ImplStatus]="Compensated"))*ISNUMBER(MATCH(Recommendations[Id],H369:AU369,0)))/COUNTIF(H369:AU369,"&lt;&gt;"))</f>
        <v/>
      </c>
      <c r="H369" s="246"/>
      <c r="I369" s="246"/>
      <c r="J369" s="246"/>
      <c r="K369" s="246"/>
      <c r="L369" s="246"/>
      <c r="M369" s="246"/>
      <c r="N369" s="246"/>
      <c r="O369" s="246"/>
      <c r="P369" s="246"/>
      <c r="Q369" s="246"/>
      <c r="R369" s="246"/>
      <c r="S369" s="246"/>
      <c r="T369" s="246"/>
      <c r="U369" s="246"/>
      <c r="V369" s="246"/>
      <c r="W369" s="246"/>
      <c r="X369" s="246"/>
      <c r="Y369" s="246"/>
      <c r="Z369" s="246"/>
      <c r="AA369" s="246"/>
      <c r="AB369" s="246"/>
      <c r="AC369" s="246"/>
      <c r="AD369" s="246"/>
      <c r="AE369" s="246"/>
      <c r="AF369" s="246"/>
      <c r="AG369" s="246"/>
      <c r="AH369" s="246"/>
      <c r="AI369" s="246"/>
      <c r="AJ369" s="246"/>
      <c r="AK369" s="246"/>
      <c r="AL369" s="246"/>
      <c r="AM369" s="246"/>
      <c r="AN369" s="246"/>
      <c r="AO369" s="246"/>
      <c r="AP369" s="246"/>
      <c r="AQ369" s="246"/>
      <c r="AR369" s="246"/>
      <c r="AS369" s="246"/>
      <c r="AT369" s="246"/>
      <c r="AU369" s="260"/>
    </row>
    <row r="370" spans="1:47" ht="60" customHeight="1" outlineLevel="1" x14ac:dyDescent="0.35">
      <c r="A370" s="254" t="s">
        <v>4226</v>
      </c>
      <c r="B370" s="232"/>
      <c r="C370" s="232"/>
      <c r="D370" s="236"/>
      <c r="E370" s="232"/>
      <c r="F370" s="240"/>
      <c r="G370" s="243" t="str">
        <f>IF(COUNTIF(H370:AU370,"&lt;&gt;")=0,"",SUMPRODUCT(((Recommendations[ImplStatus]="Implemented")+(Recommendations[ImplStatus]="Compensated"))*ISNUMBER(MATCH(Recommendations[Id],H370:AU370,0)))/COUNTIF(H370:AU370,"&lt;&gt;"))</f>
        <v/>
      </c>
      <c r="H370" s="240"/>
      <c r="I370" s="240"/>
      <c r="J370" s="240"/>
      <c r="K370" s="240"/>
      <c r="L370" s="240"/>
      <c r="M370" s="240"/>
      <c r="N370" s="240"/>
      <c r="O370" s="240"/>
      <c r="P370" s="240"/>
      <c r="Q370" s="240"/>
      <c r="R370" s="240"/>
      <c r="S370" s="240"/>
      <c r="T370" s="240"/>
      <c r="U370" s="240"/>
      <c r="V370" s="240"/>
      <c r="W370" s="240"/>
      <c r="X370" s="240"/>
      <c r="Y370" s="240"/>
      <c r="Z370" s="240"/>
      <c r="AA370" s="240"/>
      <c r="AB370" s="240"/>
      <c r="AC370" s="240"/>
      <c r="AD370" s="240"/>
      <c r="AE370" s="240"/>
      <c r="AF370" s="240"/>
      <c r="AG370" s="240"/>
      <c r="AH370" s="240"/>
      <c r="AI370" s="240"/>
      <c r="AJ370" s="240"/>
      <c r="AK370" s="240"/>
      <c r="AL370" s="240"/>
      <c r="AM370" s="240"/>
      <c r="AN370" s="240"/>
      <c r="AO370" s="240"/>
      <c r="AP370" s="240"/>
      <c r="AQ370" s="240"/>
      <c r="AR370" s="240"/>
      <c r="AS370" s="240"/>
      <c r="AT370" s="240"/>
      <c r="AU370" s="258"/>
    </row>
    <row r="371" spans="1:47" ht="60" customHeight="1" outlineLevel="2" x14ac:dyDescent="0.35">
      <c r="A371" s="255" t="s">
        <v>4226</v>
      </c>
      <c r="B371" s="233" t="s">
        <v>4227</v>
      </c>
      <c r="C371" s="233"/>
      <c r="D371" s="237"/>
      <c r="E371" s="233"/>
      <c r="F371" s="241"/>
      <c r="G371" s="244" t="str">
        <f>IF(COUNTIF(H371:AU371,"&lt;&gt;")=0,"",SUMPRODUCT(((Recommendations[ImplStatus]="Implemented")+(Recommendations[ImplStatus]="Compensated"))*ISNUMBER(MATCH(Recommendations[Id],H371:AU371,0)))/COUNTIF(H371:AU371,"&lt;&gt;"))</f>
        <v/>
      </c>
      <c r="H371" s="241"/>
      <c r="I371" s="241"/>
      <c r="J371" s="241"/>
      <c r="K371" s="241"/>
      <c r="L371" s="241"/>
      <c r="M371" s="241"/>
      <c r="N371" s="241"/>
      <c r="O371" s="241"/>
      <c r="P371" s="241"/>
      <c r="Q371" s="241"/>
      <c r="R371" s="241"/>
      <c r="S371" s="241"/>
      <c r="T371" s="241"/>
      <c r="U371" s="241"/>
      <c r="V371" s="241"/>
      <c r="W371" s="241"/>
      <c r="X371" s="241"/>
      <c r="Y371" s="241"/>
      <c r="Z371" s="241"/>
      <c r="AA371" s="241"/>
      <c r="AB371" s="241"/>
      <c r="AC371" s="241"/>
      <c r="AD371" s="241"/>
      <c r="AE371" s="241"/>
      <c r="AF371" s="241"/>
      <c r="AG371" s="241"/>
      <c r="AH371" s="241"/>
      <c r="AI371" s="241"/>
      <c r="AJ371" s="241"/>
      <c r="AK371" s="241"/>
      <c r="AL371" s="241"/>
      <c r="AM371" s="241"/>
      <c r="AN371" s="241"/>
      <c r="AO371" s="241"/>
      <c r="AP371" s="241"/>
      <c r="AQ371" s="241"/>
      <c r="AR371" s="241"/>
      <c r="AS371" s="241"/>
      <c r="AT371" s="241"/>
      <c r="AU371" s="259"/>
    </row>
    <row r="372" spans="1:47" ht="60" customHeight="1" x14ac:dyDescent="0.35">
      <c r="A372" s="256" t="s">
        <v>4226</v>
      </c>
      <c r="B372" s="234" t="s">
        <v>4227</v>
      </c>
      <c r="C372" s="235" t="s">
        <v>4228</v>
      </c>
      <c r="D372" s="238" t="s">
        <v>4229</v>
      </c>
      <c r="E372" s="239" t="s">
        <v>3483</v>
      </c>
      <c r="F372" s="242" t="s">
        <v>4230</v>
      </c>
      <c r="G372" s="245" t="str">
        <f>IF(COUNTIF(H372:AU372,"&lt;&gt;")=0,"",SUMPRODUCT(((Recommendations[ImplStatus]="Implemented")+(Recommendations[ImplStatus]="Compensated"))*ISNUMBER(MATCH(Recommendations[Id],H372:AU372,0)))/COUNTIF(H372:AU372,"&lt;&gt;"))</f>
        <v/>
      </c>
      <c r="H372" s="246"/>
      <c r="I372" s="246"/>
      <c r="J372" s="246"/>
      <c r="K372" s="246"/>
      <c r="L372" s="246"/>
      <c r="M372" s="246"/>
      <c r="N372" s="246"/>
      <c r="O372" s="246"/>
      <c r="P372" s="246"/>
      <c r="Q372" s="246"/>
      <c r="R372" s="246"/>
      <c r="S372" s="246"/>
      <c r="T372" s="246"/>
      <c r="U372" s="246"/>
      <c r="V372" s="246"/>
      <c r="W372" s="246"/>
      <c r="X372" s="246"/>
      <c r="Y372" s="246"/>
      <c r="Z372" s="246"/>
      <c r="AA372" s="246"/>
      <c r="AB372" s="246"/>
      <c r="AC372" s="246"/>
      <c r="AD372" s="246"/>
      <c r="AE372" s="246"/>
      <c r="AF372" s="246"/>
      <c r="AG372" s="246"/>
      <c r="AH372" s="246"/>
      <c r="AI372" s="246"/>
      <c r="AJ372" s="246"/>
      <c r="AK372" s="246"/>
      <c r="AL372" s="246"/>
      <c r="AM372" s="246"/>
      <c r="AN372" s="246"/>
      <c r="AO372" s="246"/>
      <c r="AP372" s="246"/>
      <c r="AQ372" s="246"/>
      <c r="AR372" s="246"/>
      <c r="AS372" s="246"/>
      <c r="AT372" s="246"/>
      <c r="AU372" s="260"/>
    </row>
    <row r="373" spans="1:47" ht="60" customHeight="1" x14ac:dyDescent="0.35">
      <c r="A373" s="256" t="s">
        <v>4226</v>
      </c>
      <c r="B373" s="234" t="s">
        <v>4227</v>
      </c>
      <c r="C373" s="235" t="s">
        <v>4231</v>
      </c>
      <c r="D373" s="238" t="s">
        <v>4232</v>
      </c>
      <c r="E373" s="239" t="s">
        <v>3483</v>
      </c>
      <c r="F373" s="242" t="s">
        <v>4233</v>
      </c>
      <c r="G373" s="245" t="str">
        <f>IF(COUNTIF(H373:AU373,"&lt;&gt;")=0,"",SUMPRODUCT(((Recommendations[ImplStatus]="Implemented")+(Recommendations[ImplStatus]="Compensated"))*ISNUMBER(MATCH(Recommendations[Id],H373:AU373,0)))/COUNTIF(H373:AU373,"&lt;&gt;"))</f>
        <v/>
      </c>
      <c r="H373" s="246"/>
      <c r="I373" s="246"/>
      <c r="J373" s="246"/>
      <c r="K373" s="246"/>
      <c r="L373" s="246"/>
      <c r="M373" s="246"/>
      <c r="N373" s="246"/>
      <c r="O373" s="246"/>
      <c r="P373" s="246"/>
      <c r="Q373" s="246"/>
      <c r="R373" s="246"/>
      <c r="S373" s="246"/>
      <c r="T373" s="246"/>
      <c r="U373" s="246"/>
      <c r="V373" s="246"/>
      <c r="W373" s="246"/>
      <c r="X373" s="246"/>
      <c r="Y373" s="246"/>
      <c r="Z373" s="246"/>
      <c r="AA373" s="246"/>
      <c r="AB373" s="246"/>
      <c r="AC373" s="246"/>
      <c r="AD373" s="246"/>
      <c r="AE373" s="246"/>
      <c r="AF373" s="246"/>
      <c r="AG373" s="246"/>
      <c r="AH373" s="246"/>
      <c r="AI373" s="246"/>
      <c r="AJ373" s="246"/>
      <c r="AK373" s="246"/>
      <c r="AL373" s="246"/>
      <c r="AM373" s="246"/>
      <c r="AN373" s="246"/>
      <c r="AO373" s="246"/>
      <c r="AP373" s="246"/>
      <c r="AQ373" s="246"/>
      <c r="AR373" s="246"/>
      <c r="AS373" s="246"/>
      <c r="AT373" s="246"/>
      <c r="AU373" s="260"/>
    </row>
    <row r="374" spans="1:47" ht="60" customHeight="1" x14ac:dyDescent="0.35">
      <c r="A374" s="256" t="s">
        <v>4226</v>
      </c>
      <c r="B374" s="234" t="s">
        <v>4227</v>
      </c>
      <c r="C374" s="235" t="s">
        <v>4234</v>
      </c>
      <c r="D374" s="238" t="s">
        <v>4235</v>
      </c>
      <c r="E374" s="239" t="s">
        <v>3512</v>
      </c>
      <c r="F374" s="242" t="s">
        <v>4233</v>
      </c>
      <c r="G374" s="245" t="str">
        <f>IF(COUNTIF(H374:AU374,"&lt;&gt;")=0,"",SUMPRODUCT(((Recommendations[ImplStatus]="Implemented")+(Recommendations[ImplStatus]="Compensated"))*ISNUMBER(MATCH(Recommendations[Id],H374:AU374,0)))/COUNTIF(H374:AU374,"&lt;&gt;"))</f>
        <v/>
      </c>
      <c r="H374" s="246"/>
      <c r="I374" s="246"/>
      <c r="J374" s="246"/>
      <c r="K374" s="246"/>
      <c r="L374" s="246"/>
      <c r="M374" s="246"/>
      <c r="N374" s="246"/>
      <c r="O374" s="246"/>
      <c r="P374" s="246"/>
      <c r="Q374" s="246"/>
      <c r="R374" s="246"/>
      <c r="S374" s="246"/>
      <c r="T374" s="246"/>
      <c r="U374" s="246"/>
      <c r="V374" s="246"/>
      <c r="W374" s="246"/>
      <c r="X374" s="246"/>
      <c r="Y374" s="246"/>
      <c r="Z374" s="246"/>
      <c r="AA374" s="246"/>
      <c r="AB374" s="246"/>
      <c r="AC374" s="246"/>
      <c r="AD374" s="246"/>
      <c r="AE374" s="246"/>
      <c r="AF374" s="246"/>
      <c r="AG374" s="246"/>
      <c r="AH374" s="246"/>
      <c r="AI374" s="246"/>
      <c r="AJ374" s="246"/>
      <c r="AK374" s="246"/>
      <c r="AL374" s="246"/>
      <c r="AM374" s="246"/>
      <c r="AN374" s="246"/>
      <c r="AO374" s="246"/>
      <c r="AP374" s="246"/>
      <c r="AQ374" s="246"/>
      <c r="AR374" s="246"/>
      <c r="AS374" s="246"/>
      <c r="AT374" s="246"/>
      <c r="AU374" s="260"/>
    </row>
    <row r="375" spans="1:47" ht="60" customHeight="1" x14ac:dyDescent="0.35">
      <c r="A375" s="256" t="s">
        <v>4226</v>
      </c>
      <c r="B375" s="234" t="s">
        <v>4227</v>
      </c>
      <c r="C375" s="235" t="s">
        <v>4236</v>
      </c>
      <c r="D375" s="238" t="s">
        <v>4237</v>
      </c>
      <c r="E375" s="239" t="s">
        <v>3512</v>
      </c>
      <c r="F375" s="242" t="s">
        <v>4233</v>
      </c>
      <c r="G375" s="245" t="str">
        <f>IF(COUNTIF(H375:AU375,"&lt;&gt;")=0,"",SUMPRODUCT(((Recommendations[ImplStatus]="Implemented")+(Recommendations[ImplStatus]="Compensated"))*ISNUMBER(MATCH(Recommendations[Id],H375:AU375,0)))/COUNTIF(H375:AU375,"&lt;&gt;"))</f>
        <v/>
      </c>
      <c r="H375" s="246"/>
      <c r="I375" s="246"/>
      <c r="J375" s="246"/>
      <c r="K375" s="246"/>
      <c r="L375" s="246"/>
      <c r="M375" s="246"/>
      <c r="N375" s="246"/>
      <c r="O375" s="246"/>
      <c r="P375" s="246"/>
      <c r="Q375" s="246"/>
      <c r="R375" s="246"/>
      <c r="S375" s="246"/>
      <c r="T375" s="246"/>
      <c r="U375" s="246"/>
      <c r="V375" s="246"/>
      <c r="W375" s="246"/>
      <c r="X375" s="246"/>
      <c r="Y375" s="246"/>
      <c r="Z375" s="246"/>
      <c r="AA375" s="246"/>
      <c r="AB375" s="246"/>
      <c r="AC375" s="246"/>
      <c r="AD375" s="246"/>
      <c r="AE375" s="246"/>
      <c r="AF375" s="246"/>
      <c r="AG375" s="246"/>
      <c r="AH375" s="246"/>
      <c r="AI375" s="246"/>
      <c r="AJ375" s="246"/>
      <c r="AK375" s="246"/>
      <c r="AL375" s="246"/>
      <c r="AM375" s="246"/>
      <c r="AN375" s="246"/>
      <c r="AO375" s="246"/>
      <c r="AP375" s="246"/>
      <c r="AQ375" s="246"/>
      <c r="AR375" s="246"/>
      <c r="AS375" s="246"/>
      <c r="AT375" s="246"/>
      <c r="AU375" s="260"/>
    </row>
    <row r="376" spans="1:47" ht="60" customHeight="1" x14ac:dyDescent="0.35">
      <c r="A376" s="256" t="s">
        <v>4226</v>
      </c>
      <c r="B376" s="234" t="s">
        <v>4227</v>
      </c>
      <c r="C376" s="235" t="s">
        <v>4238</v>
      </c>
      <c r="D376" s="238" t="s">
        <v>4239</v>
      </c>
      <c r="E376" s="239" t="s">
        <v>3512</v>
      </c>
      <c r="F376" s="242" t="s">
        <v>4095</v>
      </c>
      <c r="G376" s="245" t="str">
        <f>IF(COUNTIF(H376:AU376,"&lt;&gt;")=0,"",SUMPRODUCT(((Recommendations[ImplStatus]="Implemented")+(Recommendations[ImplStatus]="Compensated"))*ISNUMBER(MATCH(Recommendations[Id],H376:AU376,0)))/COUNTIF(H376:AU376,"&lt;&gt;"))</f>
        <v/>
      </c>
      <c r="H376" s="246"/>
      <c r="I376" s="246"/>
      <c r="J376" s="246"/>
      <c r="K376" s="246"/>
      <c r="L376" s="246"/>
      <c r="M376" s="246"/>
      <c r="N376" s="246"/>
      <c r="O376" s="246"/>
      <c r="P376" s="246"/>
      <c r="Q376" s="246"/>
      <c r="R376" s="246"/>
      <c r="S376" s="246"/>
      <c r="T376" s="246"/>
      <c r="U376" s="246"/>
      <c r="V376" s="246"/>
      <c r="W376" s="246"/>
      <c r="X376" s="246"/>
      <c r="Y376" s="246"/>
      <c r="Z376" s="246"/>
      <c r="AA376" s="246"/>
      <c r="AB376" s="246"/>
      <c r="AC376" s="246"/>
      <c r="AD376" s="246"/>
      <c r="AE376" s="246"/>
      <c r="AF376" s="246"/>
      <c r="AG376" s="246"/>
      <c r="AH376" s="246"/>
      <c r="AI376" s="246"/>
      <c r="AJ376" s="246"/>
      <c r="AK376" s="246"/>
      <c r="AL376" s="246"/>
      <c r="AM376" s="246"/>
      <c r="AN376" s="246"/>
      <c r="AO376" s="246"/>
      <c r="AP376" s="246"/>
      <c r="AQ376" s="246"/>
      <c r="AR376" s="246"/>
      <c r="AS376" s="246"/>
      <c r="AT376" s="246"/>
      <c r="AU376" s="260"/>
    </row>
    <row r="377" spans="1:47" ht="60" customHeight="1" x14ac:dyDescent="0.35">
      <c r="A377" s="256" t="s">
        <v>4226</v>
      </c>
      <c r="B377" s="234" t="s">
        <v>4227</v>
      </c>
      <c r="C377" s="235" t="s">
        <v>4240</v>
      </c>
      <c r="D377" s="238" t="s">
        <v>4241</v>
      </c>
      <c r="E377" s="239" t="s">
        <v>3579</v>
      </c>
      <c r="F377" s="242" t="s">
        <v>4053</v>
      </c>
      <c r="G377" s="245" t="str">
        <f>IF(COUNTIF(H377:AU377,"&lt;&gt;")=0,"",SUMPRODUCT(((Recommendations[ImplStatus]="Implemented")+(Recommendations[ImplStatus]="Compensated"))*ISNUMBER(MATCH(Recommendations[Id],H377:AU377,0)))/COUNTIF(H377:AU377,"&lt;&gt;"))</f>
        <v/>
      </c>
      <c r="H377" s="246"/>
      <c r="I377" s="246"/>
      <c r="J377" s="246"/>
      <c r="K377" s="246"/>
      <c r="L377" s="246"/>
      <c r="M377" s="246"/>
      <c r="N377" s="246"/>
      <c r="O377" s="246"/>
      <c r="P377" s="246"/>
      <c r="Q377" s="246"/>
      <c r="R377" s="246"/>
      <c r="S377" s="246"/>
      <c r="T377" s="246"/>
      <c r="U377" s="246"/>
      <c r="V377" s="246"/>
      <c r="W377" s="246"/>
      <c r="X377" s="246"/>
      <c r="Y377" s="246"/>
      <c r="Z377" s="246"/>
      <c r="AA377" s="246"/>
      <c r="AB377" s="246"/>
      <c r="AC377" s="246"/>
      <c r="AD377" s="246"/>
      <c r="AE377" s="246"/>
      <c r="AF377" s="246"/>
      <c r="AG377" s="246"/>
      <c r="AH377" s="246"/>
      <c r="AI377" s="246"/>
      <c r="AJ377" s="246"/>
      <c r="AK377" s="246"/>
      <c r="AL377" s="246"/>
      <c r="AM377" s="246"/>
      <c r="AN377" s="246"/>
      <c r="AO377" s="246"/>
      <c r="AP377" s="246"/>
      <c r="AQ377" s="246"/>
      <c r="AR377" s="246"/>
      <c r="AS377" s="246"/>
      <c r="AT377" s="246"/>
      <c r="AU377" s="260"/>
    </row>
    <row r="378" spans="1:47" ht="60" customHeight="1" x14ac:dyDescent="0.35">
      <c r="A378" s="256" t="s">
        <v>4226</v>
      </c>
      <c r="B378" s="234" t="s">
        <v>4227</v>
      </c>
      <c r="C378" s="235" t="s">
        <v>4242</v>
      </c>
      <c r="D378" s="238" t="s">
        <v>4243</v>
      </c>
      <c r="E378" s="239" t="s">
        <v>3579</v>
      </c>
      <c r="F378" s="242" t="s">
        <v>4233</v>
      </c>
      <c r="G378" s="245" t="str">
        <f>IF(COUNTIF(H378:AU378,"&lt;&gt;")=0,"",SUMPRODUCT(((Recommendations[ImplStatus]="Implemented")+(Recommendations[ImplStatus]="Compensated"))*ISNUMBER(MATCH(Recommendations[Id],H378:AU378,0)))/COUNTIF(H378:AU378,"&lt;&gt;"))</f>
        <v/>
      </c>
      <c r="H378" s="246"/>
      <c r="I378" s="246"/>
      <c r="J378" s="246"/>
      <c r="K378" s="246"/>
      <c r="L378" s="246"/>
      <c r="M378" s="246"/>
      <c r="N378" s="246"/>
      <c r="O378" s="246"/>
      <c r="P378" s="246"/>
      <c r="Q378" s="246"/>
      <c r="R378" s="246"/>
      <c r="S378" s="246"/>
      <c r="T378" s="246"/>
      <c r="U378" s="246"/>
      <c r="V378" s="246"/>
      <c r="W378" s="246"/>
      <c r="X378" s="246"/>
      <c r="Y378" s="246"/>
      <c r="Z378" s="246"/>
      <c r="AA378" s="246"/>
      <c r="AB378" s="246"/>
      <c r="AC378" s="246"/>
      <c r="AD378" s="246"/>
      <c r="AE378" s="246"/>
      <c r="AF378" s="246"/>
      <c r="AG378" s="246"/>
      <c r="AH378" s="246"/>
      <c r="AI378" s="246"/>
      <c r="AJ378" s="246"/>
      <c r="AK378" s="246"/>
      <c r="AL378" s="246"/>
      <c r="AM378" s="246"/>
      <c r="AN378" s="246"/>
      <c r="AO378" s="246"/>
      <c r="AP378" s="246"/>
      <c r="AQ378" s="246"/>
      <c r="AR378" s="246"/>
      <c r="AS378" s="246"/>
      <c r="AT378" s="246"/>
      <c r="AU378" s="260"/>
    </row>
    <row r="379" spans="1:47" ht="60" customHeight="1" x14ac:dyDescent="0.35">
      <c r="A379" s="256" t="s">
        <v>4226</v>
      </c>
      <c r="B379" s="234" t="s">
        <v>4227</v>
      </c>
      <c r="C379" s="235" t="s">
        <v>4244</v>
      </c>
      <c r="D379" s="238" t="s">
        <v>4245</v>
      </c>
      <c r="E379" s="239" t="s">
        <v>3579</v>
      </c>
      <c r="F379" s="242" t="s">
        <v>4230</v>
      </c>
      <c r="G379" s="245" t="str">
        <f>IF(COUNTIF(H379:AU379,"&lt;&gt;")=0,"",SUMPRODUCT(((Recommendations[ImplStatus]="Implemented")+(Recommendations[ImplStatus]="Compensated"))*ISNUMBER(MATCH(Recommendations[Id],H379:AU379,0)))/COUNTIF(H379:AU379,"&lt;&gt;"))</f>
        <v/>
      </c>
      <c r="H379" s="246"/>
      <c r="I379" s="246"/>
      <c r="J379" s="246"/>
      <c r="K379" s="246"/>
      <c r="L379" s="246"/>
      <c r="M379" s="246"/>
      <c r="N379" s="246"/>
      <c r="O379" s="246"/>
      <c r="P379" s="246"/>
      <c r="Q379" s="246"/>
      <c r="R379" s="246"/>
      <c r="S379" s="246"/>
      <c r="T379" s="246"/>
      <c r="U379" s="246"/>
      <c r="V379" s="246"/>
      <c r="W379" s="246"/>
      <c r="X379" s="246"/>
      <c r="Y379" s="246"/>
      <c r="Z379" s="246"/>
      <c r="AA379" s="246"/>
      <c r="AB379" s="246"/>
      <c r="AC379" s="246"/>
      <c r="AD379" s="246"/>
      <c r="AE379" s="246"/>
      <c r="AF379" s="246"/>
      <c r="AG379" s="246"/>
      <c r="AH379" s="246"/>
      <c r="AI379" s="246"/>
      <c r="AJ379" s="246"/>
      <c r="AK379" s="246"/>
      <c r="AL379" s="246"/>
      <c r="AM379" s="246"/>
      <c r="AN379" s="246"/>
      <c r="AO379" s="246"/>
      <c r="AP379" s="246"/>
      <c r="AQ379" s="246"/>
      <c r="AR379" s="246"/>
      <c r="AS379" s="246"/>
      <c r="AT379" s="246"/>
      <c r="AU379" s="260"/>
    </row>
    <row r="380" spans="1:47" ht="60" customHeight="1" x14ac:dyDescent="0.35">
      <c r="A380" s="256" t="s">
        <v>4226</v>
      </c>
      <c r="B380" s="234" t="s">
        <v>4227</v>
      </c>
      <c r="C380" s="235" t="s">
        <v>4246</v>
      </c>
      <c r="D380" s="238" t="s">
        <v>4247</v>
      </c>
      <c r="E380" s="239" t="s">
        <v>3579</v>
      </c>
      <c r="F380" s="242" t="s">
        <v>4230</v>
      </c>
      <c r="G380" s="245" t="str">
        <f>IF(COUNTIF(H380:AU380,"&lt;&gt;")=0,"",SUMPRODUCT(((Recommendations[ImplStatus]="Implemented")+(Recommendations[ImplStatus]="Compensated"))*ISNUMBER(MATCH(Recommendations[Id],H380:AU380,0)))/COUNTIF(H380:AU380,"&lt;&gt;"))</f>
        <v/>
      </c>
      <c r="H380" s="246"/>
      <c r="I380" s="246"/>
      <c r="J380" s="246"/>
      <c r="K380" s="246"/>
      <c r="L380" s="246"/>
      <c r="M380" s="246"/>
      <c r="N380" s="246"/>
      <c r="O380" s="246"/>
      <c r="P380" s="246"/>
      <c r="Q380" s="246"/>
      <c r="R380" s="246"/>
      <c r="S380" s="246"/>
      <c r="T380" s="246"/>
      <c r="U380" s="246"/>
      <c r="V380" s="246"/>
      <c r="W380" s="246"/>
      <c r="X380" s="246"/>
      <c r="Y380" s="246"/>
      <c r="Z380" s="246"/>
      <c r="AA380" s="246"/>
      <c r="AB380" s="246"/>
      <c r="AC380" s="246"/>
      <c r="AD380" s="246"/>
      <c r="AE380" s="246"/>
      <c r="AF380" s="246"/>
      <c r="AG380" s="246"/>
      <c r="AH380" s="246"/>
      <c r="AI380" s="246"/>
      <c r="AJ380" s="246"/>
      <c r="AK380" s="246"/>
      <c r="AL380" s="246"/>
      <c r="AM380" s="246"/>
      <c r="AN380" s="246"/>
      <c r="AO380" s="246"/>
      <c r="AP380" s="246"/>
      <c r="AQ380" s="246"/>
      <c r="AR380" s="246"/>
      <c r="AS380" s="246"/>
      <c r="AT380" s="246"/>
      <c r="AU380" s="260"/>
    </row>
    <row r="381" spans="1:47" ht="60" customHeight="1" x14ac:dyDescent="0.35">
      <c r="A381" s="256" t="s">
        <v>4226</v>
      </c>
      <c r="B381" s="234" t="s">
        <v>4227</v>
      </c>
      <c r="C381" s="235" t="s">
        <v>4248</v>
      </c>
      <c r="D381" s="238" t="s">
        <v>4249</v>
      </c>
      <c r="E381" s="239" t="s">
        <v>3579</v>
      </c>
      <c r="F381" s="242" t="s">
        <v>4230</v>
      </c>
      <c r="G381" s="245" t="str">
        <f>IF(COUNTIF(H381:AU381,"&lt;&gt;")=0,"",SUMPRODUCT(((Recommendations[ImplStatus]="Implemented")+(Recommendations[ImplStatus]="Compensated"))*ISNUMBER(MATCH(Recommendations[Id],H381:AU381,0)))/COUNTIF(H381:AU381,"&lt;&gt;"))</f>
        <v/>
      </c>
      <c r="H381" s="246"/>
      <c r="I381" s="246"/>
      <c r="J381" s="246"/>
      <c r="K381" s="246"/>
      <c r="L381" s="246"/>
      <c r="M381" s="246"/>
      <c r="N381" s="246"/>
      <c r="O381" s="246"/>
      <c r="P381" s="246"/>
      <c r="Q381" s="246"/>
      <c r="R381" s="246"/>
      <c r="S381" s="246"/>
      <c r="T381" s="246"/>
      <c r="U381" s="246"/>
      <c r="V381" s="246"/>
      <c r="W381" s="246"/>
      <c r="X381" s="246"/>
      <c r="Y381" s="246"/>
      <c r="Z381" s="246"/>
      <c r="AA381" s="246"/>
      <c r="AB381" s="246"/>
      <c r="AC381" s="246"/>
      <c r="AD381" s="246"/>
      <c r="AE381" s="246"/>
      <c r="AF381" s="246"/>
      <c r="AG381" s="246"/>
      <c r="AH381" s="246"/>
      <c r="AI381" s="246"/>
      <c r="AJ381" s="246"/>
      <c r="AK381" s="246"/>
      <c r="AL381" s="246"/>
      <c r="AM381" s="246"/>
      <c r="AN381" s="246"/>
      <c r="AO381" s="246"/>
      <c r="AP381" s="246"/>
      <c r="AQ381" s="246"/>
      <c r="AR381" s="246"/>
      <c r="AS381" s="246"/>
      <c r="AT381" s="246"/>
      <c r="AU381" s="260"/>
    </row>
    <row r="382" spans="1:47" ht="60" customHeight="1" x14ac:dyDescent="0.35">
      <c r="A382" s="256" t="s">
        <v>4226</v>
      </c>
      <c r="B382" s="234" t="s">
        <v>4227</v>
      </c>
      <c r="C382" s="235" t="s">
        <v>4250</v>
      </c>
      <c r="D382" s="238" t="s">
        <v>4251</v>
      </c>
      <c r="E382" s="239" t="s">
        <v>3627</v>
      </c>
      <c r="F382" s="242" t="s">
        <v>4230</v>
      </c>
      <c r="G382" s="245" t="str">
        <f>IF(COUNTIF(H382:AU382,"&lt;&gt;")=0,"",SUMPRODUCT(((Recommendations[ImplStatus]="Implemented")+(Recommendations[ImplStatus]="Compensated"))*ISNUMBER(MATCH(Recommendations[Id],H382:AU382,0)))/COUNTIF(H382:AU382,"&lt;&gt;"))</f>
        <v/>
      </c>
      <c r="H382" s="246"/>
      <c r="I382" s="246"/>
      <c r="J382" s="246"/>
      <c r="K382" s="246"/>
      <c r="L382" s="246"/>
      <c r="M382" s="246"/>
      <c r="N382" s="246"/>
      <c r="O382" s="246"/>
      <c r="P382" s="246"/>
      <c r="Q382" s="246"/>
      <c r="R382" s="246"/>
      <c r="S382" s="246"/>
      <c r="T382" s="246"/>
      <c r="U382" s="246"/>
      <c r="V382" s="246"/>
      <c r="W382" s="246"/>
      <c r="X382" s="246"/>
      <c r="Y382" s="246"/>
      <c r="Z382" s="246"/>
      <c r="AA382" s="246"/>
      <c r="AB382" s="246"/>
      <c r="AC382" s="246"/>
      <c r="AD382" s="246"/>
      <c r="AE382" s="246"/>
      <c r="AF382" s="246"/>
      <c r="AG382" s="246"/>
      <c r="AH382" s="246"/>
      <c r="AI382" s="246"/>
      <c r="AJ382" s="246"/>
      <c r="AK382" s="246"/>
      <c r="AL382" s="246"/>
      <c r="AM382" s="246"/>
      <c r="AN382" s="246"/>
      <c r="AO382" s="246"/>
      <c r="AP382" s="246"/>
      <c r="AQ382" s="246"/>
      <c r="AR382" s="246"/>
      <c r="AS382" s="246"/>
      <c r="AT382" s="246"/>
      <c r="AU382" s="260"/>
    </row>
    <row r="383" spans="1:47" ht="60" customHeight="1" x14ac:dyDescent="0.35">
      <c r="A383" s="256" t="s">
        <v>4226</v>
      </c>
      <c r="B383" s="234" t="s">
        <v>4227</v>
      </c>
      <c r="C383" s="235" t="s">
        <v>4252</v>
      </c>
      <c r="D383" s="238" t="s">
        <v>4253</v>
      </c>
      <c r="E383" s="239" t="s">
        <v>3627</v>
      </c>
      <c r="F383" s="242" t="s">
        <v>4230</v>
      </c>
      <c r="G383" s="245" t="str">
        <f>IF(COUNTIF(H383:AU383,"&lt;&gt;")=0,"",SUMPRODUCT(((Recommendations[ImplStatus]="Implemented")+(Recommendations[ImplStatus]="Compensated"))*ISNUMBER(MATCH(Recommendations[Id],H383:AU383,0)))/COUNTIF(H383:AU383,"&lt;&gt;"))</f>
        <v/>
      </c>
      <c r="H383" s="246"/>
      <c r="I383" s="246"/>
      <c r="J383" s="246"/>
      <c r="K383" s="246"/>
      <c r="L383" s="246"/>
      <c r="M383" s="246"/>
      <c r="N383" s="246"/>
      <c r="O383" s="246"/>
      <c r="P383" s="246"/>
      <c r="Q383" s="246"/>
      <c r="R383" s="246"/>
      <c r="S383" s="246"/>
      <c r="T383" s="246"/>
      <c r="U383" s="246"/>
      <c r="V383" s="246"/>
      <c r="W383" s="246"/>
      <c r="X383" s="246"/>
      <c r="Y383" s="246"/>
      <c r="Z383" s="246"/>
      <c r="AA383" s="246"/>
      <c r="AB383" s="246"/>
      <c r="AC383" s="246"/>
      <c r="AD383" s="246"/>
      <c r="AE383" s="246"/>
      <c r="AF383" s="246"/>
      <c r="AG383" s="246"/>
      <c r="AH383" s="246"/>
      <c r="AI383" s="246"/>
      <c r="AJ383" s="246"/>
      <c r="AK383" s="246"/>
      <c r="AL383" s="246"/>
      <c r="AM383" s="246"/>
      <c r="AN383" s="246"/>
      <c r="AO383" s="246"/>
      <c r="AP383" s="246"/>
      <c r="AQ383" s="246"/>
      <c r="AR383" s="246"/>
      <c r="AS383" s="246"/>
      <c r="AT383" s="246"/>
      <c r="AU383" s="260"/>
    </row>
    <row r="384" spans="1:47" ht="60" customHeight="1" x14ac:dyDescent="0.35">
      <c r="A384" s="256" t="s">
        <v>4226</v>
      </c>
      <c r="B384" s="234" t="s">
        <v>4227</v>
      </c>
      <c r="C384" s="235" t="s">
        <v>4254</v>
      </c>
      <c r="D384" s="238" t="s">
        <v>4255</v>
      </c>
      <c r="E384" s="239" t="s">
        <v>3627</v>
      </c>
      <c r="F384" s="242" t="s">
        <v>4230</v>
      </c>
      <c r="G384" s="245" t="str">
        <f>IF(COUNTIF(H384:AU384,"&lt;&gt;")=0,"",SUMPRODUCT(((Recommendations[ImplStatus]="Implemented")+(Recommendations[ImplStatus]="Compensated"))*ISNUMBER(MATCH(Recommendations[Id],H384:AU384,0)))/COUNTIF(H384:AU384,"&lt;&gt;"))</f>
        <v/>
      </c>
      <c r="H384" s="246"/>
      <c r="I384" s="246"/>
      <c r="J384" s="246"/>
      <c r="K384" s="246"/>
      <c r="L384" s="246"/>
      <c r="M384" s="246"/>
      <c r="N384" s="246"/>
      <c r="O384" s="246"/>
      <c r="P384" s="246"/>
      <c r="Q384" s="246"/>
      <c r="R384" s="246"/>
      <c r="S384" s="246"/>
      <c r="T384" s="246"/>
      <c r="U384" s="246"/>
      <c r="V384" s="246"/>
      <c r="W384" s="246"/>
      <c r="X384" s="246"/>
      <c r="Y384" s="246"/>
      <c r="Z384" s="246"/>
      <c r="AA384" s="246"/>
      <c r="AB384" s="246"/>
      <c r="AC384" s="246"/>
      <c r="AD384" s="246"/>
      <c r="AE384" s="246"/>
      <c r="AF384" s="246"/>
      <c r="AG384" s="246"/>
      <c r="AH384" s="246"/>
      <c r="AI384" s="246"/>
      <c r="AJ384" s="246"/>
      <c r="AK384" s="246"/>
      <c r="AL384" s="246"/>
      <c r="AM384" s="246"/>
      <c r="AN384" s="246"/>
      <c r="AO384" s="246"/>
      <c r="AP384" s="246"/>
      <c r="AQ384" s="246"/>
      <c r="AR384" s="246"/>
      <c r="AS384" s="246"/>
      <c r="AT384" s="246"/>
      <c r="AU384" s="260"/>
    </row>
    <row r="385" spans="1:47" ht="60" customHeight="1" x14ac:dyDescent="0.35">
      <c r="A385" s="256" t="s">
        <v>4226</v>
      </c>
      <c r="B385" s="234" t="s">
        <v>4227</v>
      </c>
      <c r="C385" s="235" t="s">
        <v>4256</v>
      </c>
      <c r="D385" s="238" t="s">
        <v>4257</v>
      </c>
      <c r="E385" s="239" t="s">
        <v>3579</v>
      </c>
      <c r="F385" s="242" t="s">
        <v>4230</v>
      </c>
      <c r="G385" s="245" t="str">
        <f>IF(COUNTIF(H385:AU385,"&lt;&gt;")=0,"",SUMPRODUCT(((Recommendations[ImplStatus]="Implemented")+(Recommendations[ImplStatus]="Compensated"))*ISNUMBER(MATCH(Recommendations[Id],H385:AU385,0)))/COUNTIF(H385:AU385,"&lt;&gt;"))</f>
        <v/>
      </c>
      <c r="H385" s="246"/>
      <c r="I385" s="246"/>
      <c r="J385" s="246"/>
      <c r="K385" s="246"/>
      <c r="L385" s="246"/>
      <c r="M385" s="246"/>
      <c r="N385" s="246"/>
      <c r="O385" s="246"/>
      <c r="P385" s="246"/>
      <c r="Q385" s="246"/>
      <c r="R385" s="246"/>
      <c r="S385" s="246"/>
      <c r="T385" s="246"/>
      <c r="U385" s="246"/>
      <c r="V385" s="246"/>
      <c r="W385" s="246"/>
      <c r="X385" s="246"/>
      <c r="Y385" s="246"/>
      <c r="Z385" s="246"/>
      <c r="AA385" s="246"/>
      <c r="AB385" s="246"/>
      <c r="AC385" s="246"/>
      <c r="AD385" s="246"/>
      <c r="AE385" s="246"/>
      <c r="AF385" s="246"/>
      <c r="AG385" s="246"/>
      <c r="AH385" s="246"/>
      <c r="AI385" s="246"/>
      <c r="AJ385" s="246"/>
      <c r="AK385" s="246"/>
      <c r="AL385" s="246"/>
      <c r="AM385" s="246"/>
      <c r="AN385" s="246"/>
      <c r="AO385" s="246"/>
      <c r="AP385" s="246"/>
      <c r="AQ385" s="246"/>
      <c r="AR385" s="246"/>
      <c r="AS385" s="246"/>
      <c r="AT385" s="246"/>
      <c r="AU385" s="260"/>
    </row>
    <row r="386" spans="1:47" ht="60" customHeight="1" outlineLevel="2" x14ac:dyDescent="0.35">
      <c r="A386" s="255" t="s">
        <v>4226</v>
      </c>
      <c r="B386" s="233" t="s">
        <v>4258</v>
      </c>
      <c r="C386" s="233"/>
      <c r="D386" s="237"/>
      <c r="E386" s="233"/>
      <c r="F386" s="241"/>
      <c r="G386" s="244" t="str">
        <f>IF(COUNTIF(H386:AU386,"&lt;&gt;")=0,"",SUMPRODUCT(((Recommendations[ImplStatus]="Implemented")+(Recommendations[ImplStatus]="Compensated"))*ISNUMBER(MATCH(Recommendations[Id],H386:AU386,0)))/COUNTIF(H386:AU386,"&lt;&gt;"))</f>
        <v/>
      </c>
      <c r="H386" s="241"/>
      <c r="I386" s="241"/>
      <c r="J386" s="241"/>
      <c r="K386" s="241"/>
      <c r="L386" s="241"/>
      <c r="M386" s="241"/>
      <c r="N386" s="241"/>
      <c r="O386" s="241"/>
      <c r="P386" s="241"/>
      <c r="Q386" s="241"/>
      <c r="R386" s="241"/>
      <c r="S386" s="241"/>
      <c r="T386" s="241"/>
      <c r="U386" s="241"/>
      <c r="V386" s="241"/>
      <c r="W386" s="241"/>
      <c r="X386" s="241"/>
      <c r="Y386" s="241"/>
      <c r="Z386" s="241"/>
      <c r="AA386" s="241"/>
      <c r="AB386" s="241"/>
      <c r="AC386" s="241"/>
      <c r="AD386" s="241"/>
      <c r="AE386" s="241"/>
      <c r="AF386" s="241"/>
      <c r="AG386" s="241"/>
      <c r="AH386" s="241"/>
      <c r="AI386" s="241"/>
      <c r="AJ386" s="241"/>
      <c r="AK386" s="241"/>
      <c r="AL386" s="241"/>
      <c r="AM386" s="241"/>
      <c r="AN386" s="241"/>
      <c r="AO386" s="241"/>
      <c r="AP386" s="241"/>
      <c r="AQ386" s="241"/>
      <c r="AR386" s="241"/>
      <c r="AS386" s="241"/>
      <c r="AT386" s="241"/>
      <c r="AU386" s="259"/>
    </row>
    <row r="387" spans="1:47" ht="60" customHeight="1" x14ac:dyDescent="0.35">
      <c r="A387" s="256" t="s">
        <v>4226</v>
      </c>
      <c r="B387" s="234" t="s">
        <v>4258</v>
      </c>
      <c r="C387" s="235" t="s">
        <v>4259</v>
      </c>
      <c r="D387" s="238" t="s">
        <v>4260</v>
      </c>
      <c r="E387" s="239" t="s">
        <v>3483</v>
      </c>
      <c r="F387" s="242" t="s">
        <v>4261</v>
      </c>
      <c r="G387" s="245" t="str">
        <f>IF(COUNTIF(H387:AU387,"&lt;&gt;")=0,"",SUMPRODUCT(((Recommendations[ImplStatus]="Implemented")+(Recommendations[ImplStatus]="Compensated"))*ISNUMBER(MATCH(Recommendations[Id],H387:AU387,0)))/COUNTIF(H387:AU387,"&lt;&gt;"))</f>
        <v/>
      </c>
      <c r="H387" s="246"/>
      <c r="I387" s="246"/>
      <c r="J387" s="246"/>
      <c r="K387" s="246"/>
      <c r="L387" s="246"/>
      <c r="M387" s="246"/>
      <c r="N387" s="246"/>
      <c r="O387" s="246"/>
      <c r="P387" s="246"/>
      <c r="Q387" s="246"/>
      <c r="R387" s="246"/>
      <c r="S387" s="246"/>
      <c r="T387" s="246"/>
      <c r="U387" s="246"/>
      <c r="V387" s="246"/>
      <c r="W387" s="246"/>
      <c r="X387" s="246"/>
      <c r="Y387" s="246"/>
      <c r="Z387" s="246"/>
      <c r="AA387" s="246"/>
      <c r="AB387" s="246"/>
      <c r="AC387" s="246"/>
      <c r="AD387" s="246"/>
      <c r="AE387" s="246"/>
      <c r="AF387" s="246"/>
      <c r="AG387" s="246"/>
      <c r="AH387" s="246"/>
      <c r="AI387" s="246"/>
      <c r="AJ387" s="246"/>
      <c r="AK387" s="246"/>
      <c r="AL387" s="246"/>
      <c r="AM387" s="246"/>
      <c r="AN387" s="246"/>
      <c r="AO387" s="246"/>
      <c r="AP387" s="246"/>
      <c r="AQ387" s="246"/>
      <c r="AR387" s="246"/>
      <c r="AS387" s="246"/>
      <c r="AT387" s="246"/>
      <c r="AU387" s="260"/>
    </row>
    <row r="388" spans="1:47" ht="60" customHeight="1" x14ac:dyDescent="0.35">
      <c r="A388" s="256" t="s">
        <v>4226</v>
      </c>
      <c r="B388" s="234" t="s">
        <v>4258</v>
      </c>
      <c r="C388" s="235" t="s">
        <v>4262</v>
      </c>
      <c r="D388" s="238" t="s">
        <v>4263</v>
      </c>
      <c r="E388" s="239" t="s">
        <v>3483</v>
      </c>
      <c r="F388" s="242" t="s">
        <v>4261</v>
      </c>
      <c r="G388" s="245" t="str">
        <f>IF(COUNTIF(H388:AU388,"&lt;&gt;")=0,"",SUMPRODUCT(((Recommendations[ImplStatus]="Implemented")+(Recommendations[ImplStatus]="Compensated"))*ISNUMBER(MATCH(Recommendations[Id],H388:AU388,0)))/COUNTIF(H388:AU388,"&lt;&gt;"))</f>
        <v/>
      </c>
      <c r="H388" s="246"/>
      <c r="I388" s="246"/>
      <c r="J388" s="246"/>
      <c r="K388" s="246"/>
      <c r="L388" s="246"/>
      <c r="M388" s="246"/>
      <c r="N388" s="246"/>
      <c r="O388" s="246"/>
      <c r="P388" s="246"/>
      <c r="Q388" s="246"/>
      <c r="R388" s="246"/>
      <c r="S388" s="246"/>
      <c r="T388" s="246"/>
      <c r="U388" s="246"/>
      <c r="V388" s="246"/>
      <c r="W388" s="246"/>
      <c r="X388" s="246"/>
      <c r="Y388" s="246"/>
      <c r="Z388" s="246"/>
      <c r="AA388" s="246"/>
      <c r="AB388" s="246"/>
      <c r="AC388" s="246"/>
      <c r="AD388" s="246"/>
      <c r="AE388" s="246"/>
      <c r="AF388" s="246"/>
      <c r="AG388" s="246"/>
      <c r="AH388" s="246"/>
      <c r="AI388" s="246"/>
      <c r="AJ388" s="246"/>
      <c r="AK388" s="246"/>
      <c r="AL388" s="246"/>
      <c r="AM388" s="246"/>
      <c r="AN388" s="246"/>
      <c r="AO388" s="246"/>
      <c r="AP388" s="246"/>
      <c r="AQ388" s="246"/>
      <c r="AR388" s="246"/>
      <c r="AS388" s="246"/>
      <c r="AT388" s="246"/>
      <c r="AU388" s="260"/>
    </row>
    <row r="389" spans="1:47" ht="60" customHeight="1" x14ac:dyDescent="0.35">
      <c r="A389" s="256" t="s">
        <v>4226</v>
      </c>
      <c r="B389" s="234" t="s">
        <v>4258</v>
      </c>
      <c r="C389" s="235" t="s">
        <v>4264</v>
      </c>
      <c r="D389" s="238" t="s">
        <v>4265</v>
      </c>
      <c r="E389" s="239" t="s">
        <v>3762</v>
      </c>
      <c r="F389" s="242" t="s">
        <v>4261</v>
      </c>
      <c r="G389" s="245" t="str">
        <f>IF(COUNTIF(H389:AU389,"&lt;&gt;")=0,"",SUMPRODUCT(((Recommendations[ImplStatus]="Implemented")+(Recommendations[ImplStatus]="Compensated"))*ISNUMBER(MATCH(Recommendations[Id],H389:AU389,0)))/COUNTIF(H389:AU389,"&lt;&gt;"))</f>
        <v/>
      </c>
      <c r="H389" s="246"/>
      <c r="I389" s="246"/>
      <c r="J389" s="246"/>
      <c r="K389" s="246"/>
      <c r="L389" s="246"/>
      <c r="M389" s="246"/>
      <c r="N389" s="246"/>
      <c r="O389" s="246"/>
      <c r="P389" s="246"/>
      <c r="Q389" s="246"/>
      <c r="R389" s="246"/>
      <c r="S389" s="246"/>
      <c r="T389" s="246"/>
      <c r="U389" s="246"/>
      <c r="V389" s="246"/>
      <c r="W389" s="246"/>
      <c r="X389" s="246"/>
      <c r="Y389" s="246"/>
      <c r="Z389" s="246"/>
      <c r="AA389" s="246"/>
      <c r="AB389" s="246"/>
      <c r="AC389" s="246"/>
      <c r="AD389" s="246"/>
      <c r="AE389" s="246"/>
      <c r="AF389" s="246"/>
      <c r="AG389" s="246"/>
      <c r="AH389" s="246"/>
      <c r="AI389" s="246"/>
      <c r="AJ389" s="246"/>
      <c r="AK389" s="246"/>
      <c r="AL389" s="246"/>
      <c r="AM389" s="246"/>
      <c r="AN389" s="246"/>
      <c r="AO389" s="246"/>
      <c r="AP389" s="246"/>
      <c r="AQ389" s="246"/>
      <c r="AR389" s="246"/>
      <c r="AS389" s="246"/>
      <c r="AT389" s="246"/>
      <c r="AU389" s="260"/>
    </row>
    <row r="390" spans="1:47" ht="60" customHeight="1" x14ac:dyDescent="0.35">
      <c r="A390" s="256" t="s">
        <v>4226</v>
      </c>
      <c r="B390" s="234" t="s">
        <v>4258</v>
      </c>
      <c r="C390" s="235" t="s">
        <v>4266</v>
      </c>
      <c r="D390" s="238" t="s">
        <v>4267</v>
      </c>
      <c r="E390" s="239" t="s">
        <v>3579</v>
      </c>
      <c r="F390" s="242" t="s">
        <v>4261</v>
      </c>
      <c r="G390" s="245" t="str">
        <f>IF(COUNTIF(H390:AU390,"&lt;&gt;")=0,"",SUMPRODUCT(((Recommendations[ImplStatus]="Implemented")+(Recommendations[ImplStatus]="Compensated"))*ISNUMBER(MATCH(Recommendations[Id],H390:AU390,0)))/COUNTIF(H390:AU390,"&lt;&gt;"))</f>
        <v/>
      </c>
      <c r="H390" s="246"/>
      <c r="I390" s="246"/>
      <c r="J390" s="246"/>
      <c r="K390" s="246"/>
      <c r="L390" s="246"/>
      <c r="M390" s="246"/>
      <c r="N390" s="246"/>
      <c r="O390" s="246"/>
      <c r="P390" s="246"/>
      <c r="Q390" s="246"/>
      <c r="R390" s="246"/>
      <c r="S390" s="246"/>
      <c r="T390" s="246"/>
      <c r="U390" s="246"/>
      <c r="V390" s="246"/>
      <c r="W390" s="246"/>
      <c r="X390" s="246"/>
      <c r="Y390" s="246"/>
      <c r="Z390" s="246"/>
      <c r="AA390" s="246"/>
      <c r="AB390" s="246"/>
      <c r="AC390" s="246"/>
      <c r="AD390" s="246"/>
      <c r="AE390" s="246"/>
      <c r="AF390" s="246"/>
      <c r="AG390" s="246"/>
      <c r="AH390" s="246"/>
      <c r="AI390" s="246"/>
      <c r="AJ390" s="246"/>
      <c r="AK390" s="246"/>
      <c r="AL390" s="246"/>
      <c r="AM390" s="246"/>
      <c r="AN390" s="246"/>
      <c r="AO390" s="246"/>
      <c r="AP390" s="246"/>
      <c r="AQ390" s="246"/>
      <c r="AR390" s="246"/>
      <c r="AS390" s="246"/>
      <c r="AT390" s="246"/>
      <c r="AU390" s="260"/>
    </row>
    <row r="391" spans="1:47" ht="60" customHeight="1" x14ac:dyDescent="0.35">
      <c r="A391" s="256" t="s">
        <v>4226</v>
      </c>
      <c r="B391" s="234" t="s">
        <v>4258</v>
      </c>
      <c r="C391" s="235" t="s">
        <v>4268</v>
      </c>
      <c r="D391" s="238" t="s">
        <v>4269</v>
      </c>
      <c r="E391" s="239" t="s">
        <v>3762</v>
      </c>
      <c r="F391" s="242" t="s">
        <v>4261</v>
      </c>
      <c r="G391" s="245">
        <f>IF(COUNTIF(H391:AU391,"&lt;&gt;")=0,"",SUMPRODUCT(((Recommendations[ImplStatus]="Implemented")+(Recommendations[ImplStatus]="Compensated"))*ISNUMBER(MATCH(Recommendations[Id],H391:AU391,0)))/COUNTIF(H391:AU391,"&lt;&gt;"))</f>
        <v>0</v>
      </c>
      <c r="H391" s="246" t="s">
        <v>187</v>
      </c>
      <c r="I391" s="246"/>
      <c r="J391" s="246"/>
      <c r="K391" s="246"/>
      <c r="L391" s="246"/>
      <c r="M391" s="246"/>
      <c r="N391" s="246"/>
      <c r="O391" s="246"/>
      <c r="P391" s="246"/>
      <c r="Q391" s="246"/>
      <c r="R391" s="246"/>
      <c r="S391" s="246"/>
      <c r="T391" s="246"/>
      <c r="U391" s="246"/>
      <c r="V391" s="246"/>
      <c r="W391" s="246"/>
      <c r="X391" s="246"/>
      <c r="Y391" s="246"/>
      <c r="Z391" s="246"/>
      <c r="AA391" s="246"/>
      <c r="AB391" s="246"/>
      <c r="AC391" s="246"/>
      <c r="AD391" s="246"/>
      <c r="AE391" s="246"/>
      <c r="AF391" s="246"/>
      <c r="AG391" s="246"/>
      <c r="AH391" s="246"/>
      <c r="AI391" s="246"/>
      <c r="AJ391" s="246"/>
      <c r="AK391" s="246"/>
      <c r="AL391" s="246"/>
      <c r="AM391" s="246"/>
      <c r="AN391" s="246"/>
      <c r="AO391" s="246"/>
      <c r="AP391" s="246"/>
      <c r="AQ391" s="246"/>
      <c r="AR391" s="246"/>
      <c r="AS391" s="246"/>
      <c r="AT391" s="246"/>
      <c r="AU391" s="260"/>
    </row>
    <row r="392" spans="1:47" ht="60" customHeight="1" x14ac:dyDescent="0.35">
      <c r="A392" s="256" t="s">
        <v>4226</v>
      </c>
      <c r="B392" s="234" t="s">
        <v>4258</v>
      </c>
      <c r="C392" s="235" t="s">
        <v>4270</v>
      </c>
      <c r="D392" s="238" t="s">
        <v>4271</v>
      </c>
      <c r="E392" s="239" t="s">
        <v>3512</v>
      </c>
      <c r="F392" s="242" t="s">
        <v>4261</v>
      </c>
      <c r="G392" s="245" t="str">
        <f>IF(COUNTIF(H392:AU392,"&lt;&gt;")=0,"",SUMPRODUCT(((Recommendations[ImplStatus]="Implemented")+(Recommendations[ImplStatus]="Compensated"))*ISNUMBER(MATCH(Recommendations[Id],H392:AU392,0)))/COUNTIF(H392:AU392,"&lt;&gt;"))</f>
        <v/>
      </c>
      <c r="H392" s="246"/>
      <c r="I392" s="246"/>
      <c r="J392" s="246"/>
      <c r="K392" s="246"/>
      <c r="L392" s="246"/>
      <c r="M392" s="246"/>
      <c r="N392" s="246"/>
      <c r="O392" s="246"/>
      <c r="P392" s="246"/>
      <c r="Q392" s="246"/>
      <c r="R392" s="246"/>
      <c r="S392" s="246"/>
      <c r="T392" s="246"/>
      <c r="U392" s="246"/>
      <c r="V392" s="246"/>
      <c r="W392" s="246"/>
      <c r="X392" s="246"/>
      <c r="Y392" s="246"/>
      <c r="Z392" s="246"/>
      <c r="AA392" s="246"/>
      <c r="AB392" s="246"/>
      <c r="AC392" s="246"/>
      <c r="AD392" s="246"/>
      <c r="AE392" s="246"/>
      <c r="AF392" s="246"/>
      <c r="AG392" s="246"/>
      <c r="AH392" s="246"/>
      <c r="AI392" s="246"/>
      <c r="AJ392" s="246"/>
      <c r="AK392" s="246"/>
      <c r="AL392" s="246"/>
      <c r="AM392" s="246"/>
      <c r="AN392" s="246"/>
      <c r="AO392" s="246"/>
      <c r="AP392" s="246"/>
      <c r="AQ392" s="246"/>
      <c r="AR392" s="246"/>
      <c r="AS392" s="246"/>
      <c r="AT392" s="246"/>
      <c r="AU392" s="260"/>
    </row>
    <row r="393" spans="1:47" ht="60" customHeight="1" x14ac:dyDescent="0.35">
      <c r="A393" s="256" t="s">
        <v>4226</v>
      </c>
      <c r="B393" s="234" t="s">
        <v>4258</v>
      </c>
      <c r="C393" s="235" t="s">
        <v>4272</v>
      </c>
      <c r="D393" s="238" t="s">
        <v>4273</v>
      </c>
      <c r="E393" s="239" t="s">
        <v>3512</v>
      </c>
      <c r="F393" s="242" t="s">
        <v>4261</v>
      </c>
      <c r="G393" s="245" t="str">
        <f>IF(COUNTIF(H393:AU393,"&lt;&gt;")=0,"",SUMPRODUCT(((Recommendations[ImplStatus]="Implemented")+(Recommendations[ImplStatus]="Compensated"))*ISNUMBER(MATCH(Recommendations[Id],H393:AU393,0)))/COUNTIF(H393:AU393,"&lt;&gt;"))</f>
        <v/>
      </c>
      <c r="H393" s="246"/>
      <c r="I393" s="246"/>
      <c r="J393" s="246"/>
      <c r="K393" s="246"/>
      <c r="L393" s="246"/>
      <c r="M393" s="246"/>
      <c r="N393" s="246"/>
      <c r="O393" s="246"/>
      <c r="P393" s="246"/>
      <c r="Q393" s="246"/>
      <c r="R393" s="246"/>
      <c r="S393" s="246"/>
      <c r="T393" s="246"/>
      <c r="U393" s="246"/>
      <c r="V393" s="246"/>
      <c r="W393" s="246"/>
      <c r="X393" s="246"/>
      <c r="Y393" s="246"/>
      <c r="Z393" s="246"/>
      <c r="AA393" s="246"/>
      <c r="AB393" s="246"/>
      <c r="AC393" s="246"/>
      <c r="AD393" s="246"/>
      <c r="AE393" s="246"/>
      <c r="AF393" s="246"/>
      <c r="AG393" s="246"/>
      <c r="AH393" s="246"/>
      <c r="AI393" s="246"/>
      <c r="AJ393" s="246"/>
      <c r="AK393" s="246"/>
      <c r="AL393" s="246"/>
      <c r="AM393" s="246"/>
      <c r="AN393" s="246"/>
      <c r="AO393" s="246"/>
      <c r="AP393" s="246"/>
      <c r="AQ393" s="246"/>
      <c r="AR393" s="246"/>
      <c r="AS393" s="246"/>
      <c r="AT393" s="246"/>
      <c r="AU393" s="260"/>
    </row>
    <row r="394" spans="1:47" ht="60" customHeight="1" x14ac:dyDescent="0.35">
      <c r="A394" s="256" t="s">
        <v>4226</v>
      </c>
      <c r="B394" s="234" t="s">
        <v>4258</v>
      </c>
      <c r="C394" s="235" t="s">
        <v>4274</v>
      </c>
      <c r="D394" s="238" t="s">
        <v>4275</v>
      </c>
      <c r="E394" s="239" t="s">
        <v>3762</v>
      </c>
      <c r="F394" s="242" t="s">
        <v>4261</v>
      </c>
      <c r="G394" s="245" t="str">
        <f>IF(COUNTIF(H394:AU394,"&lt;&gt;")=0,"",SUMPRODUCT(((Recommendations[ImplStatus]="Implemented")+(Recommendations[ImplStatus]="Compensated"))*ISNUMBER(MATCH(Recommendations[Id],H394:AU394,0)))/COUNTIF(H394:AU394,"&lt;&gt;"))</f>
        <v/>
      </c>
      <c r="H394" s="246"/>
      <c r="I394" s="246"/>
      <c r="J394" s="246"/>
      <c r="K394" s="246"/>
      <c r="L394" s="246"/>
      <c r="M394" s="246"/>
      <c r="N394" s="246"/>
      <c r="O394" s="246"/>
      <c r="P394" s="246"/>
      <c r="Q394" s="246"/>
      <c r="R394" s="246"/>
      <c r="S394" s="246"/>
      <c r="T394" s="246"/>
      <c r="U394" s="246"/>
      <c r="V394" s="246"/>
      <c r="W394" s="246"/>
      <c r="X394" s="246"/>
      <c r="Y394" s="246"/>
      <c r="Z394" s="246"/>
      <c r="AA394" s="246"/>
      <c r="AB394" s="246"/>
      <c r="AC394" s="246"/>
      <c r="AD394" s="246"/>
      <c r="AE394" s="246"/>
      <c r="AF394" s="246"/>
      <c r="AG394" s="246"/>
      <c r="AH394" s="246"/>
      <c r="AI394" s="246"/>
      <c r="AJ394" s="246"/>
      <c r="AK394" s="246"/>
      <c r="AL394" s="246"/>
      <c r="AM394" s="246"/>
      <c r="AN394" s="246"/>
      <c r="AO394" s="246"/>
      <c r="AP394" s="246"/>
      <c r="AQ394" s="246"/>
      <c r="AR394" s="246"/>
      <c r="AS394" s="246"/>
      <c r="AT394" s="246"/>
      <c r="AU394" s="260"/>
    </row>
    <row r="395" spans="1:47" ht="60" customHeight="1" x14ac:dyDescent="0.35">
      <c r="A395" s="256" t="s">
        <v>4226</v>
      </c>
      <c r="B395" s="234" t="s">
        <v>4258</v>
      </c>
      <c r="C395" s="235" t="s">
        <v>4276</v>
      </c>
      <c r="D395" s="238" t="s">
        <v>4277</v>
      </c>
      <c r="E395" s="239" t="s">
        <v>3579</v>
      </c>
      <c r="F395" s="242" t="s">
        <v>4261</v>
      </c>
      <c r="G395" s="245" t="str">
        <f>IF(COUNTIF(H395:AU395,"&lt;&gt;")=0,"",SUMPRODUCT(((Recommendations[ImplStatus]="Implemented")+(Recommendations[ImplStatus]="Compensated"))*ISNUMBER(MATCH(Recommendations[Id],H395:AU395,0)))/COUNTIF(H395:AU395,"&lt;&gt;"))</f>
        <v/>
      </c>
      <c r="H395" s="246"/>
      <c r="I395" s="246"/>
      <c r="J395" s="246"/>
      <c r="K395" s="246"/>
      <c r="L395" s="246"/>
      <c r="M395" s="246"/>
      <c r="N395" s="246"/>
      <c r="O395" s="246"/>
      <c r="P395" s="246"/>
      <c r="Q395" s="246"/>
      <c r="R395" s="246"/>
      <c r="S395" s="246"/>
      <c r="T395" s="246"/>
      <c r="U395" s="246"/>
      <c r="V395" s="246"/>
      <c r="W395" s="246"/>
      <c r="X395" s="246"/>
      <c r="Y395" s="246"/>
      <c r="Z395" s="246"/>
      <c r="AA395" s="246"/>
      <c r="AB395" s="246"/>
      <c r="AC395" s="246"/>
      <c r="AD395" s="246"/>
      <c r="AE395" s="246"/>
      <c r="AF395" s="246"/>
      <c r="AG395" s="246"/>
      <c r="AH395" s="246"/>
      <c r="AI395" s="246"/>
      <c r="AJ395" s="246"/>
      <c r="AK395" s="246"/>
      <c r="AL395" s="246"/>
      <c r="AM395" s="246"/>
      <c r="AN395" s="246"/>
      <c r="AO395" s="246"/>
      <c r="AP395" s="246"/>
      <c r="AQ395" s="246"/>
      <c r="AR395" s="246"/>
      <c r="AS395" s="246"/>
      <c r="AT395" s="246"/>
      <c r="AU395" s="260"/>
    </row>
    <row r="396" spans="1:47" ht="60" customHeight="1" x14ac:dyDescent="0.35">
      <c r="A396" s="256" t="s">
        <v>4226</v>
      </c>
      <c r="B396" s="234" t="s">
        <v>4258</v>
      </c>
      <c r="C396" s="235" t="s">
        <v>4278</v>
      </c>
      <c r="D396" s="238" t="s">
        <v>4279</v>
      </c>
      <c r="E396" s="239" t="s">
        <v>3762</v>
      </c>
      <c r="F396" s="242" t="s">
        <v>4261</v>
      </c>
      <c r="G396" s="245" t="str">
        <f>IF(COUNTIF(H396:AU396,"&lt;&gt;")=0,"",SUMPRODUCT(((Recommendations[ImplStatus]="Implemented")+(Recommendations[ImplStatus]="Compensated"))*ISNUMBER(MATCH(Recommendations[Id],H396:AU396,0)))/COUNTIF(H396:AU396,"&lt;&gt;"))</f>
        <v/>
      </c>
      <c r="H396" s="246"/>
      <c r="I396" s="246"/>
      <c r="J396" s="246"/>
      <c r="K396" s="246"/>
      <c r="L396" s="246"/>
      <c r="M396" s="246"/>
      <c r="N396" s="246"/>
      <c r="O396" s="246"/>
      <c r="P396" s="246"/>
      <c r="Q396" s="246"/>
      <c r="R396" s="246"/>
      <c r="S396" s="246"/>
      <c r="T396" s="246"/>
      <c r="U396" s="246"/>
      <c r="V396" s="246"/>
      <c r="W396" s="246"/>
      <c r="X396" s="246"/>
      <c r="Y396" s="246"/>
      <c r="Z396" s="246"/>
      <c r="AA396" s="246"/>
      <c r="AB396" s="246"/>
      <c r="AC396" s="246"/>
      <c r="AD396" s="246"/>
      <c r="AE396" s="246"/>
      <c r="AF396" s="246"/>
      <c r="AG396" s="246"/>
      <c r="AH396" s="246"/>
      <c r="AI396" s="246"/>
      <c r="AJ396" s="246"/>
      <c r="AK396" s="246"/>
      <c r="AL396" s="246"/>
      <c r="AM396" s="246"/>
      <c r="AN396" s="246"/>
      <c r="AO396" s="246"/>
      <c r="AP396" s="246"/>
      <c r="AQ396" s="246"/>
      <c r="AR396" s="246"/>
      <c r="AS396" s="246"/>
      <c r="AT396" s="246"/>
      <c r="AU396" s="260"/>
    </row>
    <row r="397" spans="1:47" ht="60" customHeight="1" x14ac:dyDescent="0.35">
      <c r="A397" s="256" t="s">
        <v>4226</v>
      </c>
      <c r="B397" s="234" t="s">
        <v>4258</v>
      </c>
      <c r="C397" s="235" t="s">
        <v>4280</v>
      </c>
      <c r="D397" s="238" t="s">
        <v>4281</v>
      </c>
      <c r="E397" s="239" t="s">
        <v>3512</v>
      </c>
      <c r="F397" s="242" t="s">
        <v>4261</v>
      </c>
      <c r="G397" s="245" t="str">
        <f>IF(COUNTIF(H397:AU397,"&lt;&gt;")=0,"",SUMPRODUCT(((Recommendations[ImplStatus]="Implemented")+(Recommendations[ImplStatus]="Compensated"))*ISNUMBER(MATCH(Recommendations[Id],H397:AU397,0)))/COUNTIF(H397:AU397,"&lt;&gt;"))</f>
        <v/>
      </c>
      <c r="H397" s="246"/>
      <c r="I397" s="246"/>
      <c r="J397" s="246"/>
      <c r="K397" s="246"/>
      <c r="L397" s="246"/>
      <c r="M397" s="246"/>
      <c r="N397" s="246"/>
      <c r="O397" s="246"/>
      <c r="P397" s="246"/>
      <c r="Q397" s="246"/>
      <c r="R397" s="246"/>
      <c r="S397" s="246"/>
      <c r="T397" s="246"/>
      <c r="U397" s="246"/>
      <c r="V397" s="246"/>
      <c r="W397" s="246"/>
      <c r="X397" s="246"/>
      <c r="Y397" s="246"/>
      <c r="Z397" s="246"/>
      <c r="AA397" s="246"/>
      <c r="AB397" s="246"/>
      <c r="AC397" s="246"/>
      <c r="AD397" s="246"/>
      <c r="AE397" s="246"/>
      <c r="AF397" s="246"/>
      <c r="AG397" s="246"/>
      <c r="AH397" s="246"/>
      <c r="AI397" s="246"/>
      <c r="AJ397" s="246"/>
      <c r="AK397" s="246"/>
      <c r="AL397" s="246"/>
      <c r="AM397" s="246"/>
      <c r="AN397" s="246"/>
      <c r="AO397" s="246"/>
      <c r="AP397" s="246"/>
      <c r="AQ397" s="246"/>
      <c r="AR397" s="246"/>
      <c r="AS397" s="246"/>
      <c r="AT397" s="246"/>
      <c r="AU397" s="260"/>
    </row>
    <row r="398" spans="1:47" ht="60" customHeight="1" x14ac:dyDescent="0.35">
      <c r="A398" s="256" t="s">
        <v>4226</v>
      </c>
      <c r="B398" s="234" t="s">
        <v>4258</v>
      </c>
      <c r="C398" s="235" t="s">
        <v>4282</v>
      </c>
      <c r="D398" s="238" t="s">
        <v>4283</v>
      </c>
      <c r="E398" s="239" t="s">
        <v>3627</v>
      </c>
      <c r="F398" s="242" t="s">
        <v>4261</v>
      </c>
      <c r="G398" s="245" t="str">
        <f>IF(COUNTIF(H398:AU398,"&lt;&gt;")=0,"",SUMPRODUCT(((Recommendations[ImplStatus]="Implemented")+(Recommendations[ImplStatus]="Compensated"))*ISNUMBER(MATCH(Recommendations[Id],H398:AU398,0)))/COUNTIF(H398:AU398,"&lt;&gt;"))</f>
        <v/>
      </c>
      <c r="H398" s="246"/>
      <c r="I398" s="246"/>
      <c r="J398" s="246"/>
      <c r="K398" s="246"/>
      <c r="L398" s="246"/>
      <c r="M398" s="246"/>
      <c r="N398" s="246"/>
      <c r="O398" s="246"/>
      <c r="P398" s="246"/>
      <c r="Q398" s="246"/>
      <c r="R398" s="246"/>
      <c r="S398" s="246"/>
      <c r="T398" s="246"/>
      <c r="U398" s="246"/>
      <c r="V398" s="246"/>
      <c r="W398" s="246"/>
      <c r="X398" s="246"/>
      <c r="Y398" s="246"/>
      <c r="Z398" s="246"/>
      <c r="AA398" s="246"/>
      <c r="AB398" s="246"/>
      <c r="AC398" s="246"/>
      <c r="AD398" s="246"/>
      <c r="AE398" s="246"/>
      <c r="AF398" s="246"/>
      <c r="AG398" s="246"/>
      <c r="AH398" s="246"/>
      <c r="AI398" s="246"/>
      <c r="AJ398" s="246"/>
      <c r="AK398" s="246"/>
      <c r="AL398" s="246"/>
      <c r="AM398" s="246"/>
      <c r="AN398" s="246"/>
      <c r="AO398" s="246"/>
      <c r="AP398" s="246"/>
      <c r="AQ398" s="246"/>
      <c r="AR398" s="246"/>
      <c r="AS398" s="246"/>
      <c r="AT398" s="246"/>
      <c r="AU398" s="260"/>
    </row>
    <row r="399" spans="1:47" ht="60" customHeight="1" x14ac:dyDescent="0.35">
      <c r="A399" s="256" t="s">
        <v>4226</v>
      </c>
      <c r="B399" s="234" t="s">
        <v>4258</v>
      </c>
      <c r="C399" s="235" t="s">
        <v>4284</v>
      </c>
      <c r="D399" s="238" t="s">
        <v>4285</v>
      </c>
      <c r="E399" s="239" t="s">
        <v>3762</v>
      </c>
      <c r="F399" s="242" t="s">
        <v>4261</v>
      </c>
      <c r="G399" s="245" t="str">
        <f>IF(COUNTIF(H399:AU399,"&lt;&gt;")=0,"",SUMPRODUCT(((Recommendations[ImplStatus]="Implemented")+(Recommendations[ImplStatus]="Compensated"))*ISNUMBER(MATCH(Recommendations[Id],H399:AU399,0)))/COUNTIF(H399:AU399,"&lt;&gt;"))</f>
        <v/>
      </c>
      <c r="H399" s="246"/>
      <c r="I399" s="246"/>
      <c r="J399" s="246"/>
      <c r="K399" s="246"/>
      <c r="L399" s="246"/>
      <c r="M399" s="246"/>
      <c r="N399" s="246"/>
      <c r="O399" s="246"/>
      <c r="P399" s="246"/>
      <c r="Q399" s="246"/>
      <c r="R399" s="246"/>
      <c r="S399" s="246"/>
      <c r="T399" s="246"/>
      <c r="U399" s="246"/>
      <c r="V399" s="246"/>
      <c r="W399" s="246"/>
      <c r="X399" s="246"/>
      <c r="Y399" s="246"/>
      <c r="Z399" s="246"/>
      <c r="AA399" s="246"/>
      <c r="AB399" s="246"/>
      <c r="AC399" s="246"/>
      <c r="AD399" s="246"/>
      <c r="AE399" s="246"/>
      <c r="AF399" s="246"/>
      <c r="AG399" s="246"/>
      <c r="AH399" s="246"/>
      <c r="AI399" s="246"/>
      <c r="AJ399" s="246"/>
      <c r="AK399" s="246"/>
      <c r="AL399" s="246"/>
      <c r="AM399" s="246"/>
      <c r="AN399" s="246"/>
      <c r="AO399" s="246"/>
      <c r="AP399" s="246"/>
      <c r="AQ399" s="246"/>
      <c r="AR399" s="246"/>
      <c r="AS399" s="246"/>
      <c r="AT399" s="246"/>
      <c r="AU399" s="260"/>
    </row>
    <row r="400" spans="1:47" ht="60" customHeight="1" x14ac:dyDescent="0.35">
      <c r="A400" s="256" t="s">
        <v>4226</v>
      </c>
      <c r="B400" s="234" t="s">
        <v>4258</v>
      </c>
      <c r="C400" s="235" t="s">
        <v>4286</v>
      </c>
      <c r="D400" s="238" t="s">
        <v>4287</v>
      </c>
      <c r="E400" s="239" t="s">
        <v>3762</v>
      </c>
      <c r="F400" s="242" t="s">
        <v>4261</v>
      </c>
      <c r="G400" s="245" t="str">
        <f>IF(COUNTIF(H400:AU400,"&lt;&gt;")=0,"",SUMPRODUCT(((Recommendations[ImplStatus]="Implemented")+(Recommendations[ImplStatus]="Compensated"))*ISNUMBER(MATCH(Recommendations[Id],H400:AU400,0)))/COUNTIF(H400:AU400,"&lt;&gt;"))</f>
        <v/>
      </c>
      <c r="H400" s="246"/>
      <c r="I400" s="246"/>
      <c r="J400" s="246"/>
      <c r="K400" s="246"/>
      <c r="L400" s="246"/>
      <c r="M400" s="246"/>
      <c r="N400" s="246"/>
      <c r="O400" s="246"/>
      <c r="P400" s="246"/>
      <c r="Q400" s="246"/>
      <c r="R400" s="246"/>
      <c r="S400" s="246"/>
      <c r="T400" s="246"/>
      <c r="U400" s="246"/>
      <c r="V400" s="246"/>
      <c r="W400" s="246"/>
      <c r="X400" s="246"/>
      <c r="Y400" s="246"/>
      <c r="Z400" s="246"/>
      <c r="AA400" s="246"/>
      <c r="AB400" s="246"/>
      <c r="AC400" s="246"/>
      <c r="AD400" s="246"/>
      <c r="AE400" s="246"/>
      <c r="AF400" s="246"/>
      <c r="AG400" s="246"/>
      <c r="AH400" s="246"/>
      <c r="AI400" s="246"/>
      <c r="AJ400" s="246"/>
      <c r="AK400" s="246"/>
      <c r="AL400" s="246"/>
      <c r="AM400" s="246"/>
      <c r="AN400" s="246"/>
      <c r="AO400" s="246"/>
      <c r="AP400" s="246"/>
      <c r="AQ400" s="246"/>
      <c r="AR400" s="246"/>
      <c r="AS400" s="246"/>
      <c r="AT400" s="246"/>
      <c r="AU400" s="260"/>
    </row>
    <row r="401" spans="1:47" ht="60" customHeight="1" x14ac:dyDescent="0.35">
      <c r="A401" s="256" t="s">
        <v>4226</v>
      </c>
      <c r="B401" s="234" t="s">
        <v>4258</v>
      </c>
      <c r="C401" s="235" t="s">
        <v>4288</v>
      </c>
      <c r="D401" s="238" t="s">
        <v>4289</v>
      </c>
      <c r="E401" s="239" t="s">
        <v>3512</v>
      </c>
      <c r="F401" s="242" t="s">
        <v>4261</v>
      </c>
      <c r="G401" s="245" t="str">
        <f>IF(COUNTIF(H401:AU401,"&lt;&gt;")=0,"",SUMPRODUCT(((Recommendations[ImplStatus]="Implemented")+(Recommendations[ImplStatus]="Compensated"))*ISNUMBER(MATCH(Recommendations[Id],H401:AU401,0)))/COUNTIF(H401:AU401,"&lt;&gt;"))</f>
        <v/>
      </c>
      <c r="H401" s="246"/>
      <c r="I401" s="246"/>
      <c r="J401" s="246"/>
      <c r="K401" s="246"/>
      <c r="L401" s="246"/>
      <c r="M401" s="246"/>
      <c r="N401" s="246"/>
      <c r="O401" s="246"/>
      <c r="P401" s="246"/>
      <c r="Q401" s="246"/>
      <c r="R401" s="246"/>
      <c r="S401" s="246"/>
      <c r="T401" s="246"/>
      <c r="U401" s="246"/>
      <c r="V401" s="246"/>
      <c r="W401" s="246"/>
      <c r="X401" s="246"/>
      <c r="Y401" s="246"/>
      <c r="Z401" s="246"/>
      <c r="AA401" s="246"/>
      <c r="AB401" s="246"/>
      <c r="AC401" s="246"/>
      <c r="AD401" s="246"/>
      <c r="AE401" s="246"/>
      <c r="AF401" s="246"/>
      <c r="AG401" s="246"/>
      <c r="AH401" s="246"/>
      <c r="AI401" s="246"/>
      <c r="AJ401" s="246"/>
      <c r="AK401" s="246"/>
      <c r="AL401" s="246"/>
      <c r="AM401" s="246"/>
      <c r="AN401" s="246"/>
      <c r="AO401" s="246"/>
      <c r="AP401" s="246"/>
      <c r="AQ401" s="246"/>
      <c r="AR401" s="246"/>
      <c r="AS401" s="246"/>
      <c r="AT401" s="246"/>
      <c r="AU401" s="260"/>
    </row>
    <row r="402" spans="1:47" ht="60" customHeight="1" x14ac:dyDescent="0.35">
      <c r="A402" s="256" t="s">
        <v>4226</v>
      </c>
      <c r="B402" s="234" t="s">
        <v>4258</v>
      </c>
      <c r="C402" s="235" t="s">
        <v>4290</v>
      </c>
      <c r="D402" s="238" t="s">
        <v>4291</v>
      </c>
      <c r="E402" s="239" t="s">
        <v>3512</v>
      </c>
      <c r="F402" s="242" t="s">
        <v>4261</v>
      </c>
      <c r="G402" s="245" t="str">
        <f>IF(COUNTIF(H402:AU402,"&lt;&gt;")=0,"",SUMPRODUCT(((Recommendations[ImplStatus]="Implemented")+(Recommendations[ImplStatus]="Compensated"))*ISNUMBER(MATCH(Recommendations[Id],H402:AU402,0)))/COUNTIF(H402:AU402,"&lt;&gt;"))</f>
        <v/>
      </c>
      <c r="H402" s="246"/>
      <c r="I402" s="246"/>
      <c r="J402" s="246"/>
      <c r="K402" s="246"/>
      <c r="L402" s="246"/>
      <c r="M402" s="246"/>
      <c r="N402" s="246"/>
      <c r="O402" s="246"/>
      <c r="P402" s="246"/>
      <c r="Q402" s="246"/>
      <c r="R402" s="246"/>
      <c r="S402" s="246"/>
      <c r="T402" s="246"/>
      <c r="U402" s="246"/>
      <c r="V402" s="246"/>
      <c r="W402" s="246"/>
      <c r="X402" s="246"/>
      <c r="Y402" s="246"/>
      <c r="Z402" s="246"/>
      <c r="AA402" s="246"/>
      <c r="AB402" s="246"/>
      <c r="AC402" s="246"/>
      <c r="AD402" s="246"/>
      <c r="AE402" s="246"/>
      <c r="AF402" s="246"/>
      <c r="AG402" s="246"/>
      <c r="AH402" s="246"/>
      <c r="AI402" s="246"/>
      <c r="AJ402" s="246"/>
      <c r="AK402" s="246"/>
      <c r="AL402" s="246"/>
      <c r="AM402" s="246"/>
      <c r="AN402" s="246"/>
      <c r="AO402" s="246"/>
      <c r="AP402" s="246"/>
      <c r="AQ402" s="246"/>
      <c r="AR402" s="246"/>
      <c r="AS402" s="246"/>
      <c r="AT402" s="246"/>
      <c r="AU402" s="260"/>
    </row>
    <row r="403" spans="1:47" ht="60" customHeight="1" x14ac:dyDescent="0.35">
      <c r="A403" s="256" t="s">
        <v>4226</v>
      </c>
      <c r="B403" s="234" t="s">
        <v>4258</v>
      </c>
      <c r="C403" s="235" t="s">
        <v>4292</v>
      </c>
      <c r="D403" s="238" t="s">
        <v>4293</v>
      </c>
      <c r="E403" s="239" t="s">
        <v>3512</v>
      </c>
      <c r="F403" s="242" t="s">
        <v>4261</v>
      </c>
      <c r="G403" s="245" t="str">
        <f>IF(COUNTIF(H403:AU403,"&lt;&gt;")=0,"",SUMPRODUCT(((Recommendations[ImplStatus]="Implemented")+(Recommendations[ImplStatus]="Compensated"))*ISNUMBER(MATCH(Recommendations[Id],H403:AU403,0)))/COUNTIF(H403:AU403,"&lt;&gt;"))</f>
        <v/>
      </c>
      <c r="H403" s="246"/>
      <c r="I403" s="246"/>
      <c r="J403" s="246"/>
      <c r="K403" s="246"/>
      <c r="L403" s="246"/>
      <c r="M403" s="246"/>
      <c r="N403" s="246"/>
      <c r="O403" s="246"/>
      <c r="P403" s="246"/>
      <c r="Q403" s="246"/>
      <c r="R403" s="246"/>
      <c r="S403" s="246"/>
      <c r="T403" s="246"/>
      <c r="U403" s="246"/>
      <c r="V403" s="246"/>
      <c r="W403" s="246"/>
      <c r="X403" s="246"/>
      <c r="Y403" s="246"/>
      <c r="Z403" s="246"/>
      <c r="AA403" s="246"/>
      <c r="AB403" s="246"/>
      <c r="AC403" s="246"/>
      <c r="AD403" s="246"/>
      <c r="AE403" s="246"/>
      <c r="AF403" s="246"/>
      <c r="AG403" s="246"/>
      <c r="AH403" s="246"/>
      <c r="AI403" s="246"/>
      <c r="AJ403" s="246"/>
      <c r="AK403" s="246"/>
      <c r="AL403" s="246"/>
      <c r="AM403" s="246"/>
      <c r="AN403" s="246"/>
      <c r="AO403" s="246"/>
      <c r="AP403" s="246"/>
      <c r="AQ403" s="246"/>
      <c r="AR403" s="246"/>
      <c r="AS403" s="246"/>
      <c r="AT403" s="246"/>
      <c r="AU403" s="260"/>
    </row>
    <row r="404" spans="1:47" ht="60" customHeight="1" x14ac:dyDescent="0.35">
      <c r="A404" s="256" t="s">
        <v>4226</v>
      </c>
      <c r="B404" s="234" t="s">
        <v>4258</v>
      </c>
      <c r="C404" s="235" t="s">
        <v>4294</v>
      </c>
      <c r="D404" s="238" t="s">
        <v>4295</v>
      </c>
      <c r="E404" s="239" t="s">
        <v>3627</v>
      </c>
      <c r="F404" s="242" t="s">
        <v>4261</v>
      </c>
      <c r="G404" s="245" t="str">
        <f>IF(COUNTIF(H404:AU404,"&lt;&gt;")=0,"",SUMPRODUCT(((Recommendations[ImplStatus]="Implemented")+(Recommendations[ImplStatus]="Compensated"))*ISNUMBER(MATCH(Recommendations[Id],H404:AU404,0)))/COUNTIF(H404:AU404,"&lt;&gt;"))</f>
        <v/>
      </c>
      <c r="H404" s="246"/>
      <c r="I404" s="246"/>
      <c r="J404" s="246"/>
      <c r="K404" s="246"/>
      <c r="L404" s="246"/>
      <c r="M404" s="246"/>
      <c r="N404" s="246"/>
      <c r="O404" s="246"/>
      <c r="P404" s="246"/>
      <c r="Q404" s="246"/>
      <c r="R404" s="246"/>
      <c r="S404" s="246"/>
      <c r="T404" s="246"/>
      <c r="U404" s="246"/>
      <c r="V404" s="246"/>
      <c r="W404" s="246"/>
      <c r="X404" s="246"/>
      <c r="Y404" s="246"/>
      <c r="Z404" s="246"/>
      <c r="AA404" s="246"/>
      <c r="AB404" s="246"/>
      <c r="AC404" s="246"/>
      <c r="AD404" s="246"/>
      <c r="AE404" s="246"/>
      <c r="AF404" s="246"/>
      <c r="AG404" s="246"/>
      <c r="AH404" s="246"/>
      <c r="AI404" s="246"/>
      <c r="AJ404" s="246"/>
      <c r="AK404" s="246"/>
      <c r="AL404" s="246"/>
      <c r="AM404" s="246"/>
      <c r="AN404" s="246"/>
      <c r="AO404" s="246"/>
      <c r="AP404" s="246"/>
      <c r="AQ404" s="246"/>
      <c r="AR404" s="246"/>
      <c r="AS404" s="246"/>
      <c r="AT404" s="246"/>
      <c r="AU404" s="260"/>
    </row>
    <row r="405" spans="1:47" ht="60" customHeight="1" x14ac:dyDescent="0.35">
      <c r="A405" s="256" t="s">
        <v>4226</v>
      </c>
      <c r="B405" s="234" t="s">
        <v>4258</v>
      </c>
      <c r="C405" s="235" t="s">
        <v>4296</v>
      </c>
      <c r="D405" s="238" t="s">
        <v>4297</v>
      </c>
      <c r="E405" s="239" t="s">
        <v>3627</v>
      </c>
      <c r="F405" s="242" t="s">
        <v>4261</v>
      </c>
      <c r="G405" s="245" t="str">
        <f>IF(COUNTIF(H405:AU405,"&lt;&gt;")=0,"",SUMPRODUCT(((Recommendations[ImplStatus]="Implemented")+(Recommendations[ImplStatus]="Compensated"))*ISNUMBER(MATCH(Recommendations[Id],H405:AU405,0)))/COUNTIF(H405:AU405,"&lt;&gt;"))</f>
        <v/>
      </c>
      <c r="H405" s="246"/>
      <c r="I405" s="246"/>
      <c r="J405" s="246"/>
      <c r="K405" s="246"/>
      <c r="L405" s="246"/>
      <c r="M405" s="246"/>
      <c r="N405" s="246"/>
      <c r="O405" s="246"/>
      <c r="P405" s="246"/>
      <c r="Q405" s="246"/>
      <c r="R405" s="246"/>
      <c r="S405" s="246"/>
      <c r="T405" s="246"/>
      <c r="U405" s="246"/>
      <c r="V405" s="246"/>
      <c r="W405" s="246"/>
      <c r="X405" s="246"/>
      <c r="Y405" s="246"/>
      <c r="Z405" s="246"/>
      <c r="AA405" s="246"/>
      <c r="AB405" s="246"/>
      <c r="AC405" s="246"/>
      <c r="AD405" s="246"/>
      <c r="AE405" s="246"/>
      <c r="AF405" s="246"/>
      <c r="AG405" s="246"/>
      <c r="AH405" s="246"/>
      <c r="AI405" s="246"/>
      <c r="AJ405" s="246"/>
      <c r="AK405" s="246"/>
      <c r="AL405" s="246"/>
      <c r="AM405" s="246"/>
      <c r="AN405" s="246"/>
      <c r="AO405" s="246"/>
      <c r="AP405" s="246"/>
      <c r="AQ405" s="246"/>
      <c r="AR405" s="246"/>
      <c r="AS405" s="246"/>
      <c r="AT405" s="246"/>
      <c r="AU405" s="260"/>
    </row>
    <row r="406" spans="1:47" ht="60" customHeight="1" x14ac:dyDescent="0.35">
      <c r="A406" s="256" t="s">
        <v>4226</v>
      </c>
      <c r="B406" s="234" t="s">
        <v>4258</v>
      </c>
      <c r="C406" s="235" t="s">
        <v>4298</v>
      </c>
      <c r="D406" s="238" t="s">
        <v>4299</v>
      </c>
      <c r="E406" s="239" t="s">
        <v>3627</v>
      </c>
      <c r="F406" s="242" t="s">
        <v>4300</v>
      </c>
      <c r="G406" s="245" t="str">
        <f>IF(COUNTIF(H406:AU406,"&lt;&gt;")=0,"",SUMPRODUCT(((Recommendations[ImplStatus]="Implemented")+(Recommendations[ImplStatus]="Compensated"))*ISNUMBER(MATCH(Recommendations[Id],H406:AU406,0)))/COUNTIF(H406:AU406,"&lt;&gt;"))</f>
        <v/>
      </c>
      <c r="H406" s="246"/>
      <c r="I406" s="246"/>
      <c r="J406" s="246"/>
      <c r="K406" s="246"/>
      <c r="L406" s="246"/>
      <c r="M406" s="246"/>
      <c r="N406" s="246"/>
      <c r="O406" s="246"/>
      <c r="P406" s="246"/>
      <c r="Q406" s="246"/>
      <c r="R406" s="246"/>
      <c r="S406" s="246"/>
      <c r="T406" s="246"/>
      <c r="U406" s="246"/>
      <c r="V406" s="246"/>
      <c r="W406" s="246"/>
      <c r="X406" s="246"/>
      <c r="Y406" s="246"/>
      <c r="Z406" s="246"/>
      <c r="AA406" s="246"/>
      <c r="AB406" s="246"/>
      <c r="AC406" s="246"/>
      <c r="AD406" s="246"/>
      <c r="AE406" s="246"/>
      <c r="AF406" s="246"/>
      <c r="AG406" s="246"/>
      <c r="AH406" s="246"/>
      <c r="AI406" s="246"/>
      <c r="AJ406" s="246"/>
      <c r="AK406" s="246"/>
      <c r="AL406" s="246"/>
      <c r="AM406" s="246"/>
      <c r="AN406" s="246"/>
      <c r="AO406" s="246"/>
      <c r="AP406" s="246"/>
      <c r="AQ406" s="246"/>
      <c r="AR406" s="246"/>
      <c r="AS406" s="246"/>
      <c r="AT406" s="246"/>
      <c r="AU406" s="260"/>
    </row>
    <row r="407" spans="1:47" ht="60" customHeight="1" x14ac:dyDescent="0.35">
      <c r="A407" s="256" t="s">
        <v>4226</v>
      </c>
      <c r="B407" s="234" t="s">
        <v>4258</v>
      </c>
      <c r="C407" s="235" t="s">
        <v>4301</v>
      </c>
      <c r="D407" s="238" t="s">
        <v>4302</v>
      </c>
      <c r="E407" s="239" t="s">
        <v>3627</v>
      </c>
      <c r="F407" s="242" t="s">
        <v>4261</v>
      </c>
      <c r="G407" s="245" t="str">
        <f>IF(COUNTIF(H407:AU407,"&lt;&gt;")=0,"",SUMPRODUCT(((Recommendations[ImplStatus]="Implemented")+(Recommendations[ImplStatus]="Compensated"))*ISNUMBER(MATCH(Recommendations[Id],H407:AU407,0)))/COUNTIF(H407:AU407,"&lt;&gt;"))</f>
        <v/>
      </c>
      <c r="H407" s="246"/>
      <c r="I407" s="246"/>
      <c r="J407" s="246"/>
      <c r="K407" s="246"/>
      <c r="L407" s="246"/>
      <c r="M407" s="246"/>
      <c r="N407" s="246"/>
      <c r="O407" s="246"/>
      <c r="P407" s="246"/>
      <c r="Q407" s="246"/>
      <c r="R407" s="246"/>
      <c r="S407" s="246"/>
      <c r="T407" s="246"/>
      <c r="U407" s="246"/>
      <c r="V407" s="246"/>
      <c r="W407" s="246"/>
      <c r="X407" s="246"/>
      <c r="Y407" s="246"/>
      <c r="Z407" s="246"/>
      <c r="AA407" s="246"/>
      <c r="AB407" s="246"/>
      <c r="AC407" s="246"/>
      <c r="AD407" s="246"/>
      <c r="AE407" s="246"/>
      <c r="AF407" s="246"/>
      <c r="AG407" s="246"/>
      <c r="AH407" s="246"/>
      <c r="AI407" s="246"/>
      <c r="AJ407" s="246"/>
      <c r="AK407" s="246"/>
      <c r="AL407" s="246"/>
      <c r="AM407" s="246"/>
      <c r="AN407" s="246"/>
      <c r="AO407" s="246"/>
      <c r="AP407" s="246"/>
      <c r="AQ407" s="246"/>
      <c r="AR407" s="246"/>
      <c r="AS407" s="246"/>
      <c r="AT407" s="246"/>
      <c r="AU407" s="260"/>
    </row>
    <row r="408" spans="1:47" ht="60" customHeight="1" x14ac:dyDescent="0.35">
      <c r="A408" s="256" t="s">
        <v>4226</v>
      </c>
      <c r="B408" s="234" t="s">
        <v>4258</v>
      </c>
      <c r="C408" s="235" t="s">
        <v>4303</v>
      </c>
      <c r="D408" s="238" t="s">
        <v>4304</v>
      </c>
      <c r="E408" s="239" t="s">
        <v>3627</v>
      </c>
      <c r="F408" s="242" t="s">
        <v>4261</v>
      </c>
      <c r="G408" s="245" t="str">
        <f>IF(COUNTIF(H408:AU408,"&lt;&gt;")=0,"",SUMPRODUCT(((Recommendations[ImplStatus]="Implemented")+(Recommendations[ImplStatus]="Compensated"))*ISNUMBER(MATCH(Recommendations[Id],H408:AU408,0)))/COUNTIF(H408:AU408,"&lt;&gt;"))</f>
        <v/>
      </c>
      <c r="H408" s="246"/>
      <c r="I408" s="246"/>
      <c r="J408" s="246"/>
      <c r="K408" s="246"/>
      <c r="L408" s="246"/>
      <c r="M408" s="246"/>
      <c r="N408" s="246"/>
      <c r="O408" s="246"/>
      <c r="P408" s="246"/>
      <c r="Q408" s="246"/>
      <c r="R408" s="246"/>
      <c r="S408" s="246"/>
      <c r="T408" s="246"/>
      <c r="U408" s="246"/>
      <c r="V408" s="246"/>
      <c r="W408" s="246"/>
      <c r="X408" s="246"/>
      <c r="Y408" s="246"/>
      <c r="Z408" s="246"/>
      <c r="AA408" s="246"/>
      <c r="AB408" s="246"/>
      <c r="AC408" s="246"/>
      <c r="AD408" s="246"/>
      <c r="AE408" s="246"/>
      <c r="AF408" s="246"/>
      <c r="AG408" s="246"/>
      <c r="AH408" s="246"/>
      <c r="AI408" s="246"/>
      <c r="AJ408" s="246"/>
      <c r="AK408" s="246"/>
      <c r="AL408" s="246"/>
      <c r="AM408" s="246"/>
      <c r="AN408" s="246"/>
      <c r="AO408" s="246"/>
      <c r="AP408" s="246"/>
      <c r="AQ408" s="246"/>
      <c r="AR408" s="246"/>
      <c r="AS408" s="246"/>
      <c r="AT408" s="246"/>
      <c r="AU408" s="260"/>
    </row>
    <row r="409" spans="1:47" ht="60" customHeight="1" x14ac:dyDescent="0.35">
      <c r="A409" s="256" t="s">
        <v>4226</v>
      </c>
      <c r="B409" s="234" t="s">
        <v>4258</v>
      </c>
      <c r="C409" s="235" t="s">
        <v>4305</v>
      </c>
      <c r="D409" s="238" t="s">
        <v>4306</v>
      </c>
      <c r="E409" s="239" t="s">
        <v>3627</v>
      </c>
      <c r="F409" s="242" t="s">
        <v>4307</v>
      </c>
      <c r="G409" s="245" t="str">
        <f>IF(COUNTIF(H409:AU409,"&lt;&gt;")=0,"",SUMPRODUCT(((Recommendations[ImplStatus]="Implemented")+(Recommendations[ImplStatus]="Compensated"))*ISNUMBER(MATCH(Recommendations[Id],H409:AU409,0)))/COUNTIF(H409:AU409,"&lt;&gt;"))</f>
        <v/>
      </c>
      <c r="H409" s="246"/>
      <c r="I409" s="246"/>
      <c r="J409" s="246"/>
      <c r="K409" s="246"/>
      <c r="L409" s="246"/>
      <c r="M409" s="246"/>
      <c r="N409" s="246"/>
      <c r="O409" s="246"/>
      <c r="P409" s="246"/>
      <c r="Q409" s="246"/>
      <c r="R409" s="246"/>
      <c r="S409" s="246"/>
      <c r="T409" s="246"/>
      <c r="U409" s="246"/>
      <c r="V409" s="246"/>
      <c r="W409" s="246"/>
      <c r="X409" s="246"/>
      <c r="Y409" s="246"/>
      <c r="Z409" s="246"/>
      <c r="AA409" s="246"/>
      <c r="AB409" s="246"/>
      <c r="AC409" s="246"/>
      <c r="AD409" s="246"/>
      <c r="AE409" s="246"/>
      <c r="AF409" s="246"/>
      <c r="AG409" s="246"/>
      <c r="AH409" s="246"/>
      <c r="AI409" s="246"/>
      <c r="AJ409" s="246"/>
      <c r="AK409" s="246"/>
      <c r="AL409" s="246"/>
      <c r="AM409" s="246"/>
      <c r="AN409" s="246"/>
      <c r="AO409" s="246"/>
      <c r="AP409" s="246"/>
      <c r="AQ409" s="246"/>
      <c r="AR409" s="246"/>
      <c r="AS409" s="246"/>
      <c r="AT409" s="246"/>
      <c r="AU409" s="260"/>
    </row>
    <row r="410" spans="1:47" ht="60" customHeight="1" outlineLevel="2" x14ac:dyDescent="0.35">
      <c r="A410" s="255" t="s">
        <v>4226</v>
      </c>
      <c r="B410" s="233" t="s">
        <v>4308</v>
      </c>
      <c r="C410" s="233"/>
      <c r="D410" s="237"/>
      <c r="E410" s="233"/>
      <c r="F410" s="241"/>
      <c r="G410" s="244" t="str">
        <f>IF(COUNTIF(H410:AU410,"&lt;&gt;")=0,"",SUMPRODUCT(((Recommendations[ImplStatus]="Implemented")+(Recommendations[ImplStatus]="Compensated"))*ISNUMBER(MATCH(Recommendations[Id],H410:AU410,0)))/COUNTIF(H410:AU410,"&lt;&gt;"))</f>
        <v/>
      </c>
      <c r="H410" s="241"/>
      <c r="I410" s="241"/>
      <c r="J410" s="241"/>
      <c r="K410" s="241"/>
      <c r="L410" s="241"/>
      <c r="M410" s="241"/>
      <c r="N410" s="241"/>
      <c r="O410" s="241"/>
      <c r="P410" s="241"/>
      <c r="Q410" s="241"/>
      <c r="R410" s="241"/>
      <c r="S410" s="241"/>
      <c r="T410" s="241"/>
      <c r="U410" s="241"/>
      <c r="V410" s="241"/>
      <c r="W410" s="241"/>
      <c r="X410" s="241"/>
      <c r="Y410" s="241"/>
      <c r="Z410" s="241"/>
      <c r="AA410" s="241"/>
      <c r="AB410" s="241"/>
      <c r="AC410" s="241"/>
      <c r="AD410" s="241"/>
      <c r="AE410" s="241"/>
      <c r="AF410" s="241"/>
      <c r="AG410" s="241"/>
      <c r="AH410" s="241"/>
      <c r="AI410" s="241"/>
      <c r="AJ410" s="241"/>
      <c r="AK410" s="241"/>
      <c r="AL410" s="241"/>
      <c r="AM410" s="241"/>
      <c r="AN410" s="241"/>
      <c r="AO410" s="241"/>
      <c r="AP410" s="241"/>
      <c r="AQ410" s="241"/>
      <c r="AR410" s="241"/>
      <c r="AS410" s="241"/>
      <c r="AT410" s="241"/>
      <c r="AU410" s="259"/>
    </row>
    <row r="411" spans="1:47" ht="60" customHeight="1" x14ac:dyDescent="0.35">
      <c r="A411" s="256" t="s">
        <v>4226</v>
      </c>
      <c r="B411" s="234" t="s">
        <v>4308</v>
      </c>
      <c r="C411" s="235" t="s">
        <v>4309</v>
      </c>
      <c r="D411" s="238" t="s">
        <v>4310</v>
      </c>
      <c r="E411" s="239" t="s">
        <v>3483</v>
      </c>
      <c r="F411" s="242" t="s">
        <v>4233</v>
      </c>
      <c r="G411" s="245" t="str">
        <f>IF(COUNTIF(H411:AU411,"&lt;&gt;")=0,"",SUMPRODUCT(((Recommendations[ImplStatus]="Implemented")+(Recommendations[ImplStatus]="Compensated"))*ISNUMBER(MATCH(Recommendations[Id],H411:AU411,0)))/COUNTIF(H411:AU411,"&lt;&gt;"))</f>
        <v/>
      </c>
      <c r="H411" s="246"/>
      <c r="I411" s="246"/>
      <c r="J411" s="246"/>
      <c r="K411" s="246"/>
      <c r="L411" s="246"/>
      <c r="M411" s="246"/>
      <c r="N411" s="246"/>
      <c r="O411" s="246"/>
      <c r="P411" s="246"/>
      <c r="Q411" s="246"/>
      <c r="R411" s="246"/>
      <c r="S411" s="246"/>
      <c r="T411" s="246"/>
      <c r="U411" s="246"/>
      <c r="V411" s="246"/>
      <c r="W411" s="246"/>
      <c r="X411" s="246"/>
      <c r="Y411" s="246"/>
      <c r="Z411" s="246"/>
      <c r="AA411" s="246"/>
      <c r="AB411" s="246"/>
      <c r="AC411" s="246"/>
      <c r="AD411" s="246"/>
      <c r="AE411" s="246"/>
      <c r="AF411" s="246"/>
      <c r="AG411" s="246"/>
      <c r="AH411" s="246"/>
      <c r="AI411" s="246"/>
      <c r="AJ411" s="246"/>
      <c r="AK411" s="246"/>
      <c r="AL411" s="246"/>
      <c r="AM411" s="246"/>
      <c r="AN411" s="246"/>
      <c r="AO411" s="246"/>
      <c r="AP411" s="246"/>
      <c r="AQ411" s="246"/>
      <c r="AR411" s="246"/>
      <c r="AS411" s="246"/>
      <c r="AT411" s="246"/>
      <c r="AU411" s="260"/>
    </row>
    <row r="412" spans="1:47" ht="60" customHeight="1" x14ac:dyDescent="0.35">
      <c r="A412" s="256" t="s">
        <v>4226</v>
      </c>
      <c r="B412" s="234" t="s">
        <v>4308</v>
      </c>
      <c r="C412" s="235" t="s">
        <v>4311</v>
      </c>
      <c r="D412" s="238" t="s">
        <v>4312</v>
      </c>
      <c r="E412" s="239" t="s">
        <v>3483</v>
      </c>
      <c r="F412" s="242" t="s">
        <v>4233</v>
      </c>
      <c r="G412" s="245" t="str">
        <f>IF(COUNTIF(H412:AU412,"&lt;&gt;")=0,"",SUMPRODUCT(((Recommendations[ImplStatus]="Implemented")+(Recommendations[ImplStatus]="Compensated"))*ISNUMBER(MATCH(Recommendations[Id],H412:AU412,0)))/COUNTIF(H412:AU412,"&lt;&gt;"))</f>
        <v/>
      </c>
      <c r="H412" s="246"/>
      <c r="I412" s="246"/>
      <c r="J412" s="246"/>
      <c r="K412" s="246"/>
      <c r="L412" s="246"/>
      <c r="M412" s="246"/>
      <c r="N412" s="246"/>
      <c r="O412" s="246"/>
      <c r="P412" s="246"/>
      <c r="Q412" s="246"/>
      <c r="R412" s="246"/>
      <c r="S412" s="246"/>
      <c r="T412" s="246"/>
      <c r="U412" s="246"/>
      <c r="V412" s="246"/>
      <c r="W412" s="246"/>
      <c r="X412" s="246"/>
      <c r="Y412" s="246"/>
      <c r="Z412" s="246"/>
      <c r="AA412" s="246"/>
      <c r="AB412" s="246"/>
      <c r="AC412" s="246"/>
      <c r="AD412" s="246"/>
      <c r="AE412" s="246"/>
      <c r="AF412" s="246"/>
      <c r="AG412" s="246"/>
      <c r="AH412" s="246"/>
      <c r="AI412" s="246"/>
      <c r="AJ412" s="246"/>
      <c r="AK412" s="246"/>
      <c r="AL412" s="246"/>
      <c r="AM412" s="246"/>
      <c r="AN412" s="246"/>
      <c r="AO412" s="246"/>
      <c r="AP412" s="246"/>
      <c r="AQ412" s="246"/>
      <c r="AR412" s="246"/>
      <c r="AS412" s="246"/>
      <c r="AT412" s="246"/>
      <c r="AU412" s="260"/>
    </row>
    <row r="413" spans="1:47" ht="60" customHeight="1" x14ac:dyDescent="0.35">
      <c r="A413" s="256" t="s">
        <v>4226</v>
      </c>
      <c r="B413" s="234" t="s">
        <v>4308</v>
      </c>
      <c r="C413" s="235" t="s">
        <v>4313</v>
      </c>
      <c r="D413" s="238" t="s">
        <v>4314</v>
      </c>
      <c r="E413" s="239" t="s">
        <v>3483</v>
      </c>
      <c r="F413" s="242" t="s">
        <v>4233</v>
      </c>
      <c r="G413" s="245" t="str">
        <f>IF(COUNTIF(H413:AU413,"&lt;&gt;")=0,"",SUMPRODUCT(((Recommendations[ImplStatus]="Implemented")+(Recommendations[ImplStatus]="Compensated"))*ISNUMBER(MATCH(Recommendations[Id],H413:AU413,0)))/COUNTIF(H413:AU413,"&lt;&gt;"))</f>
        <v/>
      </c>
      <c r="H413" s="246"/>
      <c r="I413" s="246"/>
      <c r="J413" s="246"/>
      <c r="K413" s="246"/>
      <c r="L413" s="246"/>
      <c r="M413" s="246"/>
      <c r="N413" s="246"/>
      <c r="O413" s="246"/>
      <c r="P413" s="246"/>
      <c r="Q413" s="246"/>
      <c r="R413" s="246"/>
      <c r="S413" s="246"/>
      <c r="T413" s="246"/>
      <c r="U413" s="246"/>
      <c r="V413" s="246"/>
      <c r="W413" s="246"/>
      <c r="X413" s="246"/>
      <c r="Y413" s="246"/>
      <c r="Z413" s="246"/>
      <c r="AA413" s="246"/>
      <c r="AB413" s="246"/>
      <c r="AC413" s="246"/>
      <c r="AD413" s="246"/>
      <c r="AE413" s="246"/>
      <c r="AF413" s="246"/>
      <c r="AG413" s="246"/>
      <c r="AH413" s="246"/>
      <c r="AI413" s="246"/>
      <c r="AJ413" s="246"/>
      <c r="AK413" s="246"/>
      <c r="AL413" s="246"/>
      <c r="AM413" s="246"/>
      <c r="AN413" s="246"/>
      <c r="AO413" s="246"/>
      <c r="AP413" s="246"/>
      <c r="AQ413" s="246"/>
      <c r="AR413" s="246"/>
      <c r="AS413" s="246"/>
      <c r="AT413" s="246"/>
      <c r="AU413" s="260"/>
    </row>
    <row r="414" spans="1:47" ht="60" customHeight="1" x14ac:dyDescent="0.35">
      <c r="A414" s="256" t="s">
        <v>4226</v>
      </c>
      <c r="B414" s="234" t="s">
        <v>4308</v>
      </c>
      <c r="C414" s="235" t="s">
        <v>4315</v>
      </c>
      <c r="D414" s="238" t="s">
        <v>4316</v>
      </c>
      <c r="E414" s="239" t="s">
        <v>3483</v>
      </c>
      <c r="F414" s="242" t="s">
        <v>4233</v>
      </c>
      <c r="G414" s="245" t="str">
        <f>IF(COUNTIF(H414:AU414,"&lt;&gt;")=0,"",SUMPRODUCT(((Recommendations[ImplStatus]="Implemented")+(Recommendations[ImplStatus]="Compensated"))*ISNUMBER(MATCH(Recommendations[Id],H414:AU414,0)))/COUNTIF(H414:AU414,"&lt;&gt;"))</f>
        <v/>
      </c>
      <c r="H414" s="246"/>
      <c r="I414" s="246"/>
      <c r="J414" s="246"/>
      <c r="K414" s="246"/>
      <c r="L414" s="246"/>
      <c r="M414" s="246"/>
      <c r="N414" s="246"/>
      <c r="O414" s="246"/>
      <c r="P414" s="246"/>
      <c r="Q414" s="246"/>
      <c r="R414" s="246"/>
      <c r="S414" s="246"/>
      <c r="T414" s="246"/>
      <c r="U414" s="246"/>
      <c r="V414" s="246"/>
      <c r="W414" s="246"/>
      <c r="X414" s="246"/>
      <c r="Y414" s="246"/>
      <c r="Z414" s="246"/>
      <c r="AA414" s="246"/>
      <c r="AB414" s="246"/>
      <c r="AC414" s="246"/>
      <c r="AD414" s="246"/>
      <c r="AE414" s="246"/>
      <c r="AF414" s="246"/>
      <c r="AG414" s="246"/>
      <c r="AH414" s="246"/>
      <c r="AI414" s="246"/>
      <c r="AJ414" s="246"/>
      <c r="AK414" s="246"/>
      <c r="AL414" s="246"/>
      <c r="AM414" s="246"/>
      <c r="AN414" s="246"/>
      <c r="AO414" s="246"/>
      <c r="AP414" s="246"/>
      <c r="AQ414" s="246"/>
      <c r="AR414" s="246"/>
      <c r="AS414" s="246"/>
      <c r="AT414" s="246"/>
      <c r="AU414" s="260"/>
    </row>
    <row r="415" spans="1:47" ht="60" customHeight="1" x14ac:dyDescent="0.35">
      <c r="A415" s="256" t="s">
        <v>4226</v>
      </c>
      <c r="B415" s="234" t="s">
        <v>4308</v>
      </c>
      <c r="C415" s="235" t="s">
        <v>4317</v>
      </c>
      <c r="D415" s="238" t="s">
        <v>4318</v>
      </c>
      <c r="E415" s="239" t="s">
        <v>3512</v>
      </c>
      <c r="F415" s="242" t="s">
        <v>4233</v>
      </c>
      <c r="G415" s="245" t="str">
        <f>IF(COUNTIF(H415:AU415,"&lt;&gt;")=0,"",SUMPRODUCT(((Recommendations[ImplStatus]="Implemented")+(Recommendations[ImplStatus]="Compensated"))*ISNUMBER(MATCH(Recommendations[Id],H415:AU415,0)))/COUNTIF(H415:AU415,"&lt;&gt;"))</f>
        <v/>
      </c>
      <c r="H415" s="246"/>
      <c r="I415" s="246"/>
      <c r="J415" s="246"/>
      <c r="K415" s="246"/>
      <c r="L415" s="246"/>
      <c r="M415" s="246"/>
      <c r="N415" s="246"/>
      <c r="O415" s="246"/>
      <c r="P415" s="246"/>
      <c r="Q415" s="246"/>
      <c r="R415" s="246"/>
      <c r="S415" s="246"/>
      <c r="T415" s="246"/>
      <c r="U415" s="246"/>
      <c r="V415" s="246"/>
      <c r="W415" s="246"/>
      <c r="X415" s="246"/>
      <c r="Y415" s="246"/>
      <c r="Z415" s="246"/>
      <c r="AA415" s="246"/>
      <c r="AB415" s="246"/>
      <c r="AC415" s="246"/>
      <c r="AD415" s="246"/>
      <c r="AE415" s="246"/>
      <c r="AF415" s="246"/>
      <c r="AG415" s="246"/>
      <c r="AH415" s="246"/>
      <c r="AI415" s="246"/>
      <c r="AJ415" s="246"/>
      <c r="AK415" s="246"/>
      <c r="AL415" s="246"/>
      <c r="AM415" s="246"/>
      <c r="AN415" s="246"/>
      <c r="AO415" s="246"/>
      <c r="AP415" s="246"/>
      <c r="AQ415" s="246"/>
      <c r="AR415" s="246"/>
      <c r="AS415" s="246"/>
      <c r="AT415" s="246"/>
      <c r="AU415" s="260"/>
    </row>
    <row r="416" spans="1:47" ht="60" customHeight="1" x14ac:dyDescent="0.35">
      <c r="A416" s="256" t="s">
        <v>4226</v>
      </c>
      <c r="B416" s="234" t="s">
        <v>4308</v>
      </c>
      <c r="C416" s="235" t="s">
        <v>4319</v>
      </c>
      <c r="D416" s="238" t="s">
        <v>4320</v>
      </c>
      <c r="E416" s="239" t="s">
        <v>3512</v>
      </c>
      <c r="F416" s="242" t="s">
        <v>4321</v>
      </c>
      <c r="G416" s="245" t="str">
        <f>IF(COUNTIF(H416:AU416,"&lt;&gt;")=0,"",SUMPRODUCT(((Recommendations[ImplStatus]="Implemented")+(Recommendations[ImplStatus]="Compensated"))*ISNUMBER(MATCH(Recommendations[Id],H416:AU416,0)))/COUNTIF(H416:AU416,"&lt;&gt;"))</f>
        <v/>
      </c>
      <c r="H416" s="246"/>
      <c r="I416" s="246"/>
      <c r="J416" s="246"/>
      <c r="K416" s="246"/>
      <c r="L416" s="246"/>
      <c r="M416" s="246"/>
      <c r="N416" s="246"/>
      <c r="O416" s="246"/>
      <c r="P416" s="246"/>
      <c r="Q416" s="246"/>
      <c r="R416" s="246"/>
      <c r="S416" s="246"/>
      <c r="T416" s="246"/>
      <c r="U416" s="246"/>
      <c r="V416" s="246"/>
      <c r="W416" s="246"/>
      <c r="X416" s="246"/>
      <c r="Y416" s="246"/>
      <c r="Z416" s="246"/>
      <c r="AA416" s="246"/>
      <c r="AB416" s="246"/>
      <c r="AC416" s="246"/>
      <c r="AD416" s="246"/>
      <c r="AE416" s="246"/>
      <c r="AF416" s="246"/>
      <c r="AG416" s="246"/>
      <c r="AH416" s="246"/>
      <c r="AI416" s="246"/>
      <c r="AJ416" s="246"/>
      <c r="AK416" s="246"/>
      <c r="AL416" s="246"/>
      <c r="AM416" s="246"/>
      <c r="AN416" s="246"/>
      <c r="AO416" s="246"/>
      <c r="AP416" s="246"/>
      <c r="AQ416" s="246"/>
      <c r="AR416" s="246"/>
      <c r="AS416" s="246"/>
      <c r="AT416" s="246"/>
      <c r="AU416" s="260"/>
    </row>
    <row r="417" spans="1:47" ht="60" customHeight="1" x14ac:dyDescent="0.35">
      <c r="A417" s="256" t="s">
        <v>4226</v>
      </c>
      <c r="B417" s="234" t="s">
        <v>4308</v>
      </c>
      <c r="C417" s="235" t="s">
        <v>4322</v>
      </c>
      <c r="D417" s="238" t="s">
        <v>4323</v>
      </c>
      <c r="E417" s="239" t="s">
        <v>3512</v>
      </c>
      <c r="F417" s="242" t="s">
        <v>4321</v>
      </c>
      <c r="G417" s="245" t="str">
        <f>IF(COUNTIF(H417:AU417,"&lt;&gt;")=0,"",SUMPRODUCT(((Recommendations[ImplStatus]="Implemented")+(Recommendations[ImplStatus]="Compensated"))*ISNUMBER(MATCH(Recommendations[Id],H417:AU417,0)))/COUNTIF(H417:AU417,"&lt;&gt;"))</f>
        <v/>
      </c>
      <c r="H417" s="246"/>
      <c r="I417" s="246"/>
      <c r="J417" s="246"/>
      <c r="K417" s="246"/>
      <c r="L417" s="246"/>
      <c r="M417" s="246"/>
      <c r="N417" s="246"/>
      <c r="O417" s="246"/>
      <c r="P417" s="246"/>
      <c r="Q417" s="246"/>
      <c r="R417" s="246"/>
      <c r="S417" s="246"/>
      <c r="T417" s="246"/>
      <c r="U417" s="246"/>
      <c r="V417" s="246"/>
      <c r="W417" s="246"/>
      <c r="X417" s="246"/>
      <c r="Y417" s="246"/>
      <c r="Z417" s="246"/>
      <c r="AA417" s="246"/>
      <c r="AB417" s="246"/>
      <c r="AC417" s="246"/>
      <c r="AD417" s="246"/>
      <c r="AE417" s="246"/>
      <c r="AF417" s="246"/>
      <c r="AG417" s="246"/>
      <c r="AH417" s="246"/>
      <c r="AI417" s="246"/>
      <c r="AJ417" s="246"/>
      <c r="AK417" s="246"/>
      <c r="AL417" s="246"/>
      <c r="AM417" s="246"/>
      <c r="AN417" s="246"/>
      <c r="AO417" s="246"/>
      <c r="AP417" s="246"/>
      <c r="AQ417" s="246"/>
      <c r="AR417" s="246"/>
      <c r="AS417" s="246"/>
      <c r="AT417" s="246"/>
      <c r="AU417" s="260"/>
    </row>
    <row r="418" spans="1:47" ht="60" customHeight="1" x14ac:dyDescent="0.35">
      <c r="A418" s="256" t="s">
        <v>4226</v>
      </c>
      <c r="B418" s="234" t="s">
        <v>4308</v>
      </c>
      <c r="C418" s="235" t="s">
        <v>4324</v>
      </c>
      <c r="D418" s="238" t="s">
        <v>4325</v>
      </c>
      <c r="E418" s="239" t="s">
        <v>3762</v>
      </c>
      <c r="F418" s="242" t="s">
        <v>4321</v>
      </c>
      <c r="G418" s="245" t="str">
        <f>IF(COUNTIF(H418:AU418,"&lt;&gt;")=0,"",SUMPRODUCT(((Recommendations[ImplStatus]="Implemented")+(Recommendations[ImplStatus]="Compensated"))*ISNUMBER(MATCH(Recommendations[Id],H418:AU418,0)))/COUNTIF(H418:AU418,"&lt;&gt;"))</f>
        <v/>
      </c>
      <c r="H418" s="246"/>
      <c r="I418" s="246"/>
      <c r="J418" s="246"/>
      <c r="K418" s="246"/>
      <c r="L418" s="246"/>
      <c r="M418" s="246"/>
      <c r="N418" s="246"/>
      <c r="O418" s="246"/>
      <c r="P418" s="246"/>
      <c r="Q418" s="246"/>
      <c r="R418" s="246"/>
      <c r="S418" s="246"/>
      <c r="T418" s="246"/>
      <c r="U418" s="246"/>
      <c r="V418" s="246"/>
      <c r="W418" s="246"/>
      <c r="X418" s="246"/>
      <c r="Y418" s="246"/>
      <c r="Z418" s="246"/>
      <c r="AA418" s="246"/>
      <c r="AB418" s="246"/>
      <c r="AC418" s="246"/>
      <c r="AD418" s="246"/>
      <c r="AE418" s="246"/>
      <c r="AF418" s="246"/>
      <c r="AG418" s="246"/>
      <c r="AH418" s="246"/>
      <c r="AI418" s="246"/>
      <c r="AJ418" s="246"/>
      <c r="AK418" s="246"/>
      <c r="AL418" s="246"/>
      <c r="AM418" s="246"/>
      <c r="AN418" s="246"/>
      <c r="AO418" s="246"/>
      <c r="AP418" s="246"/>
      <c r="AQ418" s="246"/>
      <c r="AR418" s="246"/>
      <c r="AS418" s="246"/>
      <c r="AT418" s="246"/>
      <c r="AU418" s="260"/>
    </row>
    <row r="419" spans="1:47" ht="60" customHeight="1" x14ac:dyDescent="0.35">
      <c r="A419" s="256" t="s">
        <v>4226</v>
      </c>
      <c r="B419" s="234" t="s">
        <v>4308</v>
      </c>
      <c r="C419" s="235" t="s">
        <v>4326</v>
      </c>
      <c r="D419" s="238" t="s">
        <v>4327</v>
      </c>
      <c r="E419" s="239" t="s">
        <v>3512</v>
      </c>
      <c r="F419" s="242" t="s">
        <v>4321</v>
      </c>
      <c r="G419" s="245" t="str">
        <f>IF(COUNTIF(H419:AU419,"&lt;&gt;")=0,"",SUMPRODUCT(((Recommendations[ImplStatus]="Implemented")+(Recommendations[ImplStatus]="Compensated"))*ISNUMBER(MATCH(Recommendations[Id],H419:AU419,0)))/COUNTIF(H419:AU419,"&lt;&gt;"))</f>
        <v/>
      </c>
      <c r="H419" s="246"/>
      <c r="I419" s="246"/>
      <c r="J419" s="246"/>
      <c r="K419" s="246"/>
      <c r="L419" s="246"/>
      <c r="M419" s="246"/>
      <c r="N419" s="246"/>
      <c r="O419" s="246"/>
      <c r="P419" s="246"/>
      <c r="Q419" s="246"/>
      <c r="R419" s="246"/>
      <c r="S419" s="246"/>
      <c r="T419" s="246"/>
      <c r="U419" s="246"/>
      <c r="V419" s="246"/>
      <c r="W419" s="246"/>
      <c r="X419" s="246"/>
      <c r="Y419" s="246"/>
      <c r="Z419" s="246"/>
      <c r="AA419" s="246"/>
      <c r="AB419" s="246"/>
      <c r="AC419" s="246"/>
      <c r="AD419" s="246"/>
      <c r="AE419" s="246"/>
      <c r="AF419" s="246"/>
      <c r="AG419" s="246"/>
      <c r="AH419" s="246"/>
      <c r="AI419" s="246"/>
      <c r="AJ419" s="246"/>
      <c r="AK419" s="246"/>
      <c r="AL419" s="246"/>
      <c r="AM419" s="246"/>
      <c r="AN419" s="246"/>
      <c r="AO419" s="246"/>
      <c r="AP419" s="246"/>
      <c r="AQ419" s="246"/>
      <c r="AR419" s="246"/>
      <c r="AS419" s="246"/>
      <c r="AT419" s="246"/>
      <c r="AU419" s="260"/>
    </row>
    <row r="420" spans="1:47" ht="60" customHeight="1" x14ac:dyDescent="0.35">
      <c r="A420" s="256" t="s">
        <v>4226</v>
      </c>
      <c r="B420" s="234" t="s">
        <v>4308</v>
      </c>
      <c r="C420" s="235" t="s">
        <v>4328</v>
      </c>
      <c r="D420" s="238" t="s">
        <v>4329</v>
      </c>
      <c r="E420" s="239" t="s">
        <v>3762</v>
      </c>
      <c r="F420" s="242" t="s">
        <v>4321</v>
      </c>
      <c r="G420" s="245" t="str">
        <f>IF(COUNTIF(H420:AU420,"&lt;&gt;")=0,"",SUMPRODUCT(((Recommendations[ImplStatus]="Implemented")+(Recommendations[ImplStatus]="Compensated"))*ISNUMBER(MATCH(Recommendations[Id],H420:AU420,0)))/COUNTIF(H420:AU420,"&lt;&gt;"))</f>
        <v/>
      </c>
      <c r="H420" s="246"/>
      <c r="I420" s="246"/>
      <c r="J420" s="246"/>
      <c r="K420" s="246"/>
      <c r="L420" s="246"/>
      <c r="M420" s="246"/>
      <c r="N420" s="246"/>
      <c r="O420" s="246"/>
      <c r="P420" s="246"/>
      <c r="Q420" s="246"/>
      <c r="R420" s="246"/>
      <c r="S420" s="246"/>
      <c r="T420" s="246"/>
      <c r="U420" s="246"/>
      <c r="V420" s="246"/>
      <c r="W420" s="246"/>
      <c r="X420" s="246"/>
      <c r="Y420" s="246"/>
      <c r="Z420" s="246"/>
      <c r="AA420" s="246"/>
      <c r="AB420" s="246"/>
      <c r="AC420" s="246"/>
      <c r="AD420" s="246"/>
      <c r="AE420" s="246"/>
      <c r="AF420" s="246"/>
      <c r="AG420" s="246"/>
      <c r="AH420" s="246"/>
      <c r="AI420" s="246"/>
      <c r="AJ420" s="246"/>
      <c r="AK420" s="246"/>
      <c r="AL420" s="246"/>
      <c r="AM420" s="246"/>
      <c r="AN420" s="246"/>
      <c r="AO420" s="246"/>
      <c r="AP420" s="246"/>
      <c r="AQ420" s="246"/>
      <c r="AR420" s="246"/>
      <c r="AS420" s="246"/>
      <c r="AT420" s="246"/>
      <c r="AU420" s="260"/>
    </row>
    <row r="421" spans="1:47" ht="60" customHeight="1" x14ac:dyDescent="0.35">
      <c r="A421" s="256" t="s">
        <v>4226</v>
      </c>
      <c r="B421" s="234" t="s">
        <v>4308</v>
      </c>
      <c r="C421" s="235" t="s">
        <v>4330</v>
      </c>
      <c r="D421" s="238" t="s">
        <v>4331</v>
      </c>
      <c r="E421" s="239" t="s">
        <v>3762</v>
      </c>
      <c r="F421" s="242" t="s">
        <v>4321</v>
      </c>
      <c r="G421" s="245" t="str">
        <f>IF(COUNTIF(H421:AU421,"&lt;&gt;")=0,"",SUMPRODUCT(((Recommendations[ImplStatus]="Implemented")+(Recommendations[ImplStatus]="Compensated"))*ISNUMBER(MATCH(Recommendations[Id],H421:AU421,0)))/COUNTIF(H421:AU421,"&lt;&gt;"))</f>
        <v/>
      </c>
      <c r="H421" s="246"/>
      <c r="I421" s="246"/>
      <c r="J421" s="246"/>
      <c r="K421" s="246"/>
      <c r="L421" s="246"/>
      <c r="M421" s="246"/>
      <c r="N421" s="246"/>
      <c r="O421" s="246"/>
      <c r="P421" s="246"/>
      <c r="Q421" s="246"/>
      <c r="R421" s="246"/>
      <c r="S421" s="246"/>
      <c r="T421" s="246"/>
      <c r="U421" s="246"/>
      <c r="V421" s="246"/>
      <c r="W421" s="246"/>
      <c r="X421" s="246"/>
      <c r="Y421" s="246"/>
      <c r="Z421" s="246"/>
      <c r="AA421" s="246"/>
      <c r="AB421" s="246"/>
      <c r="AC421" s="246"/>
      <c r="AD421" s="246"/>
      <c r="AE421" s="246"/>
      <c r="AF421" s="246"/>
      <c r="AG421" s="246"/>
      <c r="AH421" s="246"/>
      <c r="AI421" s="246"/>
      <c r="AJ421" s="246"/>
      <c r="AK421" s="246"/>
      <c r="AL421" s="246"/>
      <c r="AM421" s="246"/>
      <c r="AN421" s="246"/>
      <c r="AO421" s="246"/>
      <c r="AP421" s="246"/>
      <c r="AQ421" s="246"/>
      <c r="AR421" s="246"/>
      <c r="AS421" s="246"/>
      <c r="AT421" s="246"/>
      <c r="AU421" s="260"/>
    </row>
    <row r="422" spans="1:47" ht="60" customHeight="1" x14ac:dyDescent="0.35">
      <c r="A422" s="256" t="s">
        <v>4226</v>
      </c>
      <c r="B422" s="234" t="s">
        <v>4308</v>
      </c>
      <c r="C422" s="235" t="s">
        <v>4332</v>
      </c>
      <c r="D422" s="238" t="s">
        <v>4333</v>
      </c>
      <c r="E422" s="239" t="s">
        <v>3512</v>
      </c>
      <c r="F422" s="242" t="s">
        <v>4321</v>
      </c>
      <c r="G422" s="245" t="str">
        <f>IF(COUNTIF(H422:AU422,"&lt;&gt;")=0,"",SUMPRODUCT(((Recommendations[ImplStatus]="Implemented")+(Recommendations[ImplStatus]="Compensated"))*ISNUMBER(MATCH(Recommendations[Id],H422:AU422,0)))/COUNTIF(H422:AU422,"&lt;&gt;"))</f>
        <v/>
      </c>
      <c r="H422" s="246"/>
      <c r="I422" s="246"/>
      <c r="J422" s="246"/>
      <c r="K422" s="246"/>
      <c r="L422" s="246"/>
      <c r="M422" s="246"/>
      <c r="N422" s="246"/>
      <c r="O422" s="246"/>
      <c r="P422" s="246"/>
      <c r="Q422" s="246"/>
      <c r="R422" s="246"/>
      <c r="S422" s="246"/>
      <c r="T422" s="246"/>
      <c r="U422" s="246"/>
      <c r="V422" s="246"/>
      <c r="W422" s="246"/>
      <c r="X422" s="246"/>
      <c r="Y422" s="246"/>
      <c r="Z422" s="246"/>
      <c r="AA422" s="246"/>
      <c r="AB422" s="246"/>
      <c r="AC422" s="246"/>
      <c r="AD422" s="246"/>
      <c r="AE422" s="246"/>
      <c r="AF422" s="246"/>
      <c r="AG422" s="246"/>
      <c r="AH422" s="246"/>
      <c r="AI422" s="246"/>
      <c r="AJ422" s="246"/>
      <c r="AK422" s="246"/>
      <c r="AL422" s="246"/>
      <c r="AM422" s="246"/>
      <c r="AN422" s="246"/>
      <c r="AO422" s="246"/>
      <c r="AP422" s="246"/>
      <c r="AQ422" s="246"/>
      <c r="AR422" s="246"/>
      <c r="AS422" s="246"/>
      <c r="AT422" s="246"/>
      <c r="AU422" s="260"/>
    </row>
    <row r="423" spans="1:47" ht="60" customHeight="1" x14ac:dyDescent="0.35">
      <c r="A423" s="256" t="s">
        <v>4226</v>
      </c>
      <c r="B423" s="234" t="s">
        <v>4308</v>
      </c>
      <c r="C423" s="235" t="s">
        <v>4334</v>
      </c>
      <c r="D423" s="238" t="s">
        <v>4335</v>
      </c>
      <c r="E423" s="239" t="s">
        <v>3512</v>
      </c>
      <c r="F423" s="242" t="s">
        <v>4321</v>
      </c>
      <c r="G423" s="245" t="str">
        <f>IF(COUNTIF(H423:AU423,"&lt;&gt;")=0,"",SUMPRODUCT(((Recommendations[ImplStatus]="Implemented")+(Recommendations[ImplStatus]="Compensated"))*ISNUMBER(MATCH(Recommendations[Id],H423:AU423,0)))/COUNTIF(H423:AU423,"&lt;&gt;"))</f>
        <v/>
      </c>
      <c r="H423" s="246"/>
      <c r="I423" s="246"/>
      <c r="J423" s="246"/>
      <c r="K423" s="246"/>
      <c r="L423" s="246"/>
      <c r="M423" s="246"/>
      <c r="N423" s="246"/>
      <c r="O423" s="246"/>
      <c r="P423" s="246"/>
      <c r="Q423" s="246"/>
      <c r="R423" s="246"/>
      <c r="S423" s="246"/>
      <c r="T423" s="246"/>
      <c r="U423" s="246"/>
      <c r="V423" s="246"/>
      <c r="W423" s="246"/>
      <c r="X423" s="246"/>
      <c r="Y423" s="246"/>
      <c r="Z423" s="246"/>
      <c r="AA423" s="246"/>
      <c r="AB423" s="246"/>
      <c r="AC423" s="246"/>
      <c r="AD423" s="246"/>
      <c r="AE423" s="246"/>
      <c r="AF423" s="246"/>
      <c r="AG423" s="246"/>
      <c r="AH423" s="246"/>
      <c r="AI423" s="246"/>
      <c r="AJ423" s="246"/>
      <c r="AK423" s="246"/>
      <c r="AL423" s="246"/>
      <c r="AM423" s="246"/>
      <c r="AN423" s="246"/>
      <c r="AO423" s="246"/>
      <c r="AP423" s="246"/>
      <c r="AQ423" s="246"/>
      <c r="AR423" s="246"/>
      <c r="AS423" s="246"/>
      <c r="AT423" s="246"/>
      <c r="AU423" s="260"/>
    </row>
    <row r="424" spans="1:47" ht="60" customHeight="1" outlineLevel="1" x14ac:dyDescent="0.35">
      <c r="A424" s="254" t="s">
        <v>4336</v>
      </c>
      <c r="B424" s="232"/>
      <c r="C424" s="232"/>
      <c r="D424" s="236"/>
      <c r="E424" s="232"/>
      <c r="F424" s="240"/>
      <c r="G424" s="243" t="str">
        <f>IF(COUNTIF(H424:AU424,"&lt;&gt;")=0,"",SUMPRODUCT(((Recommendations[ImplStatus]="Implemented")+(Recommendations[ImplStatus]="Compensated"))*ISNUMBER(MATCH(Recommendations[Id],H424:AU424,0)))/COUNTIF(H424:AU424,"&lt;&gt;"))</f>
        <v/>
      </c>
      <c r="H424" s="240"/>
      <c r="I424" s="240"/>
      <c r="J424" s="240"/>
      <c r="K424" s="240"/>
      <c r="L424" s="240"/>
      <c r="M424" s="240"/>
      <c r="N424" s="240"/>
      <c r="O424" s="240"/>
      <c r="P424" s="240"/>
      <c r="Q424" s="240"/>
      <c r="R424" s="240"/>
      <c r="S424" s="240"/>
      <c r="T424" s="240"/>
      <c r="U424" s="240"/>
      <c r="V424" s="240"/>
      <c r="W424" s="240"/>
      <c r="X424" s="240"/>
      <c r="Y424" s="240"/>
      <c r="Z424" s="240"/>
      <c r="AA424" s="240"/>
      <c r="AB424" s="240"/>
      <c r="AC424" s="240"/>
      <c r="AD424" s="240"/>
      <c r="AE424" s="240"/>
      <c r="AF424" s="240"/>
      <c r="AG424" s="240"/>
      <c r="AH424" s="240"/>
      <c r="AI424" s="240"/>
      <c r="AJ424" s="240"/>
      <c r="AK424" s="240"/>
      <c r="AL424" s="240"/>
      <c r="AM424" s="240"/>
      <c r="AN424" s="240"/>
      <c r="AO424" s="240"/>
      <c r="AP424" s="240"/>
      <c r="AQ424" s="240"/>
      <c r="AR424" s="240"/>
      <c r="AS424" s="240"/>
      <c r="AT424" s="240"/>
      <c r="AU424" s="258"/>
    </row>
    <row r="425" spans="1:47" ht="60" customHeight="1" outlineLevel="2" x14ac:dyDescent="0.35">
      <c r="A425" s="255" t="s">
        <v>4336</v>
      </c>
      <c r="B425" s="233" t="s">
        <v>4337</v>
      </c>
      <c r="C425" s="233"/>
      <c r="D425" s="237"/>
      <c r="E425" s="233"/>
      <c r="F425" s="241"/>
      <c r="G425" s="244" t="str">
        <f>IF(COUNTIF(H425:AU425,"&lt;&gt;")=0,"",SUMPRODUCT(((Recommendations[ImplStatus]="Implemented")+(Recommendations[ImplStatus]="Compensated"))*ISNUMBER(MATCH(Recommendations[Id],H425:AU425,0)))/COUNTIF(H425:AU425,"&lt;&gt;"))</f>
        <v/>
      </c>
      <c r="H425" s="241"/>
      <c r="I425" s="241"/>
      <c r="J425" s="241"/>
      <c r="K425" s="241"/>
      <c r="L425" s="241"/>
      <c r="M425" s="241"/>
      <c r="N425" s="241"/>
      <c r="O425" s="241"/>
      <c r="P425" s="241"/>
      <c r="Q425" s="241"/>
      <c r="R425" s="241"/>
      <c r="S425" s="241"/>
      <c r="T425" s="241"/>
      <c r="U425" s="241"/>
      <c r="V425" s="241"/>
      <c r="W425" s="241"/>
      <c r="X425" s="241"/>
      <c r="Y425" s="241"/>
      <c r="Z425" s="241"/>
      <c r="AA425" s="241"/>
      <c r="AB425" s="241"/>
      <c r="AC425" s="241"/>
      <c r="AD425" s="241"/>
      <c r="AE425" s="241"/>
      <c r="AF425" s="241"/>
      <c r="AG425" s="241"/>
      <c r="AH425" s="241"/>
      <c r="AI425" s="241"/>
      <c r="AJ425" s="241"/>
      <c r="AK425" s="241"/>
      <c r="AL425" s="241"/>
      <c r="AM425" s="241"/>
      <c r="AN425" s="241"/>
      <c r="AO425" s="241"/>
      <c r="AP425" s="241"/>
      <c r="AQ425" s="241"/>
      <c r="AR425" s="241"/>
      <c r="AS425" s="241"/>
      <c r="AT425" s="241"/>
      <c r="AU425" s="259"/>
    </row>
    <row r="426" spans="1:47" ht="60" customHeight="1" x14ac:dyDescent="0.35">
      <c r="A426" s="256" t="s">
        <v>4336</v>
      </c>
      <c r="B426" s="234" t="s">
        <v>4337</v>
      </c>
      <c r="C426" s="235" t="s">
        <v>4338</v>
      </c>
      <c r="D426" s="238" t="s">
        <v>4339</v>
      </c>
      <c r="E426" s="239" t="s">
        <v>3483</v>
      </c>
      <c r="F426" s="242" t="s">
        <v>4300</v>
      </c>
      <c r="G426" s="245" t="str">
        <f>IF(COUNTIF(H426:AU426,"&lt;&gt;")=0,"",SUMPRODUCT(((Recommendations[ImplStatus]="Implemented")+(Recommendations[ImplStatus]="Compensated"))*ISNUMBER(MATCH(Recommendations[Id],H426:AU426,0)))/COUNTIF(H426:AU426,"&lt;&gt;"))</f>
        <v/>
      </c>
      <c r="H426" s="246"/>
      <c r="I426" s="246"/>
      <c r="J426" s="246"/>
      <c r="K426" s="246"/>
      <c r="L426" s="246"/>
      <c r="M426" s="246"/>
      <c r="N426" s="246"/>
      <c r="O426" s="246"/>
      <c r="P426" s="246"/>
      <c r="Q426" s="246"/>
      <c r="R426" s="246"/>
      <c r="S426" s="246"/>
      <c r="T426" s="246"/>
      <c r="U426" s="246"/>
      <c r="V426" s="246"/>
      <c r="W426" s="246"/>
      <c r="X426" s="246"/>
      <c r="Y426" s="246"/>
      <c r="Z426" s="246"/>
      <c r="AA426" s="246"/>
      <c r="AB426" s="246"/>
      <c r="AC426" s="246"/>
      <c r="AD426" s="246"/>
      <c r="AE426" s="246"/>
      <c r="AF426" s="246"/>
      <c r="AG426" s="246"/>
      <c r="AH426" s="246"/>
      <c r="AI426" s="246"/>
      <c r="AJ426" s="246"/>
      <c r="AK426" s="246"/>
      <c r="AL426" s="246"/>
      <c r="AM426" s="246"/>
      <c r="AN426" s="246"/>
      <c r="AO426" s="246"/>
      <c r="AP426" s="246"/>
      <c r="AQ426" s="246"/>
      <c r="AR426" s="246"/>
      <c r="AS426" s="246"/>
      <c r="AT426" s="246"/>
      <c r="AU426" s="260"/>
    </row>
    <row r="427" spans="1:47" ht="60" customHeight="1" x14ac:dyDescent="0.35">
      <c r="A427" s="256" t="s">
        <v>4336</v>
      </c>
      <c r="B427" s="234" t="s">
        <v>4337</v>
      </c>
      <c r="C427" s="235" t="s">
        <v>4340</v>
      </c>
      <c r="D427" s="238" t="s">
        <v>4341</v>
      </c>
      <c r="E427" s="239" t="s">
        <v>3483</v>
      </c>
      <c r="F427" s="242" t="s">
        <v>4300</v>
      </c>
      <c r="G427" s="245" t="str">
        <f>IF(COUNTIF(H427:AU427,"&lt;&gt;")=0,"",SUMPRODUCT(((Recommendations[ImplStatus]="Implemented")+(Recommendations[ImplStatus]="Compensated"))*ISNUMBER(MATCH(Recommendations[Id],H427:AU427,0)))/COUNTIF(H427:AU427,"&lt;&gt;"))</f>
        <v/>
      </c>
      <c r="H427" s="246"/>
      <c r="I427" s="246"/>
      <c r="J427" s="246"/>
      <c r="K427" s="246"/>
      <c r="L427" s="246"/>
      <c r="M427" s="246"/>
      <c r="N427" s="246"/>
      <c r="O427" s="246"/>
      <c r="P427" s="246"/>
      <c r="Q427" s="246"/>
      <c r="R427" s="246"/>
      <c r="S427" s="246"/>
      <c r="T427" s="246"/>
      <c r="U427" s="246"/>
      <c r="V427" s="246"/>
      <c r="W427" s="246"/>
      <c r="X427" s="246"/>
      <c r="Y427" s="246"/>
      <c r="Z427" s="246"/>
      <c r="AA427" s="246"/>
      <c r="AB427" s="246"/>
      <c r="AC427" s="246"/>
      <c r="AD427" s="246"/>
      <c r="AE427" s="246"/>
      <c r="AF427" s="246"/>
      <c r="AG427" s="246"/>
      <c r="AH427" s="246"/>
      <c r="AI427" s="246"/>
      <c r="AJ427" s="246"/>
      <c r="AK427" s="246"/>
      <c r="AL427" s="246"/>
      <c r="AM427" s="246"/>
      <c r="AN427" s="246"/>
      <c r="AO427" s="246"/>
      <c r="AP427" s="246"/>
      <c r="AQ427" s="246"/>
      <c r="AR427" s="246"/>
      <c r="AS427" s="246"/>
      <c r="AT427" s="246"/>
      <c r="AU427" s="260"/>
    </row>
    <row r="428" spans="1:47" ht="60" customHeight="1" x14ac:dyDescent="0.35">
      <c r="A428" s="256" t="s">
        <v>4336</v>
      </c>
      <c r="B428" s="234" t="s">
        <v>4337</v>
      </c>
      <c r="C428" s="235" t="s">
        <v>4342</v>
      </c>
      <c r="D428" s="238" t="s">
        <v>4343</v>
      </c>
      <c r="E428" s="239" t="s">
        <v>3762</v>
      </c>
      <c r="F428" s="242" t="s">
        <v>4300</v>
      </c>
      <c r="G428" s="245" t="str">
        <f>IF(COUNTIF(H428:AU428,"&lt;&gt;")=0,"",SUMPRODUCT(((Recommendations[ImplStatus]="Implemented")+(Recommendations[ImplStatus]="Compensated"))*ISNUMBER(MATCH(Recommendations[Id],H428:AU428,0)))/COUNTIF(H428:AU428,"&lt;&gt;"))</f>
        <v/>
      </c>
      <c r="H428" s="246"/>
      <c r="I428" s="246"/>
      <c r="J428" s="246"/>
      <c r="K428" s="246"/>
      <c r="L428" s="246"/>
      <c r="M428" s="246"/>
      <c r="N428" s="246"/>
      <c r="O428" s="246"/>
      <c r="P428" s="246"/>
      <c r="Q428" s="246"/>
      <c r="R428" s="246"/>
      <c r="S428" s="246"/>
      <c r="T428" s="246"/>
      <c r="U428" s="246"/>
      <c r="V428" s="246"/>
      <c r="W428" s="246"/>
      <c r="X428" s="246"/>
      <c r="Y428" s="246"/>
      <c r="Z428" s="246"/>
      <c r="AA428" s="246"/>
      <c r="AB428" s="246"/>
      <c r="AC428" s="246"/>
      <c r="AD428" s="246"/>
      <c r="AE428" s="246"/>
      <c r="AF428" s="246"/>
      <c r="AG428" s="246"/>
      <c r="AH428" s="246"/>
      <c r="AI428" s="246"/>
      <c r="AJ428" s="246"/>
      <c r="AK428" s="246"/>
      <c r="AL428" s="246"/>
      <c r="AM428" s="246"/>
      <c r="AN428" s="246"/>
      <c r="AO428" s="246"/>
      <c r="AP428" s="246"/>
      <c r="AQ428" s="246"/>
      <c r="AR428" s="246"/>
      <c r="AS428" s="246"/>
      <c r="AT428" s="246"/>
      <c r="AU428" s="260"/>
    </row>
    <row r="429" spans="1:47" ht="60" customHeight="1" x14ac:dyDescent="0.35">
      <c r="A429" s="256" t="s">
        <v>4336</v>
      </c>
      <c r="B429" s="234" t="s">
        <v>4337</v>
      </c>
      <c r="C429" s="235" t="s">
        <v>4344</v>
      </c>
      <c r="D429" s="238" t="s">
        <v>4345</v>
      </c>
      <c r="E429" s="239" t="s">
        <v>3512</v>
      </c>
      <c r="F429" s="242" t="s">
        <v>4300</v>
      </c>
      <c r="G429" s="245" t="str">
        <f>IF(COUNTIF(H429:AU429,"&lt;&gt;")=0,"",SUMPRODUCT(((Recommendations[ImplStatus]="Implemented")+(Recommendations[ImplStatus]="Compensated"))*ISNUMBER(MATCH(Recommendations[Id],H429:AU429,0)))/COUNTIF(H429:AU429,"&lt;&gt;"))</f>
        <v/>
      </c>
      <c r="H429" s="246"/>
      <c r="I429" s="246"/>
      <c r="J429" s="246"/>
      <c r="K429" s="246"/>
      <c r="L429" s="246"/>
      <c r="M429" s="246"/>
      <c r="N429" s="246"/>
      <c r="O429" s="246"/>
      <c r="P429" s="246"/>
      <c r="Q429" s="246"/>
      <c r="R429" s="246"/>
      <c r="S429" s="246"/>
      <c r="T429" s="246"/>
      <c r="U429" s="246"/>
      <c r="V429" s="246"/>
      <c r="W429" s="246"/>
      <c r="X429" s="246"/>
      <c r="Y429" s="246"/>
      <c r="Z429" s="246"/>
      <c r="AA429" s="246"/>
      <c r="AB429" s="246"/>
      <c r="AC429" s="246"/>
      <c r="AD429" s="246"/>
      <c r="AE429" s="246"/>
      <c r="AF429" s="246"/>
      <c r="AG429" s="246"/>
      <c r="AH429" s="246"/>
      <c r="AI429" s="246"/>
      <c r="AJ429" s="246"/>
      <c r="AK429" s="246"/>
      <c r="AL429" s="246"/>
      <c r="AM429" s="246"/>
      <c r="AN429" s="246"/>
      <c r="AO429" s="246"/>
      <c r="AP429" s="246"/>
      <c r="AQ429" s="246"/>
      <c r="AR429" s="246"/>
      <c r="AS429" s="246"/>
      <c r="AT429" s="246"/>
      <c r="AU429" s="260"/>
    </row>
    <row r="430" spans="1:47" ht="60" customHeight="1" x14ac:dyDescent="0.35">
      <c r="A430" s="256" t="s">
        <v>4336</v>
      </c>
      <c r="B430" s="234" t="s">
        <v>4337</v>
      </c>
      <c r="C430" s="235" t="s">
        <v>4346</v>
      </c>
      <c r="D430" s="238" t="s">
        <v>4347</v>
      </c>
      <c r="E430" s="239" t="s">
        <v>3512</v>
      </c>
      <c r="F430" s="242" t="s">
        <v>4300</v>
      </c>
      <c r="G430" s="245" t="str">
        <f>IF(COUNTIF(H430:AU430,"&lt;&gt;")=0,"",SUMPRODUCT(((Recommendations[ImplStatus]="Implemented")+(Recommendations[ImplStatus]="Compensated"))*ISNUMBER(MATCH(Recommendations[Id],H430:AU430,0)))/COUNTIF(H430:AU430,"&lt;&gt;"))</f>
        <v/>
      </c>
      <c r="H430" s="246"/>
      <c r="I430" s="246"/>
      <c r="J430" s="246"/>
      <c r="K430" s="246"/>
      <c r="L430" s="246"/>
      <c r="M430" s="246"/>
      <c r="N430" s="246"/>
      <c r="O430" s="246"/>
      <c r="P430" s="246"/>
      <c r="Q430" s="246"/>
      <c r="R430" s="246"/>
      <c r="S430" s="246"/>
      <c r="T430" s="246"/>
      <c r="U430" s="246"/>
      <c r="V430" s="246"/>
      <c r="W430" s="246"/>
      <c r="X430" s="246"/>
      <c r="Y430" s="246"/>
      <c r="Z430" s="246"/>
      <c r="AA430" s="246"/>
      <c r="AB430" s="246"/>
      <c r="AC430" s="246"/>
      <c r="AD430" s="246"/>
      <c r="AE430" s="246"/>
      <c r="AF430" s="246"/>
      <c r="AG430" s="246"/>
      <c r="AH430" s="246"/>
      <c r="AI430" s="246"/>
      <c r="AJ430" s="246"/>
      <c r="AK430" s="246"/>
      <c r="AL430" s="246"/>
      <c r="AM430" s="246"/>
      <c r="AN430" s="246"/>
      <c r="AO430" s="246"/>
      <c r="AP430" s="246"/>
      <c r="AQ430" s="246"/>
      <c r="AR430" s="246"/>
      <c r="AS430" s="246"/>
      <c r="AT430" s="246"/>
      <c r="AU430" s="260"/>
    </row>
    <row r="431" spans="1:47" ht="60" customHeight="1" x14ac:dyDescent="0.35">
      <c r="A431" s="256" t="s">
        <v>4336</v>
      </c>
      <c r="B431" s="234" t="s">
        <v>4337</v>
      </c>
      <c r="C431" s="235" t="s">
        <v>4348</v>
      </c>
      <c r="D431" s="238" t="s">
        <v>4349</v>
      </c>
      <c r="E431" s="239" t="s">
        <v>3762</v>
      </c>
      <c r="F431" s="242" t="s">
        <v>4300</v>
      </c>
      <c r="G431" s="245" t="str">
        <f>IF(COUNTIF(H431:AU431,"&lt;&gt;")=0,"",SUMPRODUCT(((Recommendations[ImplStatus]="Implemented")+(Recommendations[ImplStatus]="Compensated"))*ISNUMBER(MATCH(Recommendations[Id],H431:AU431,0)))/COUNTIF(H431:AU431,"&lt;&gt;"))</f>
        <v/>
      </c>
      <c r="H431" s="246"/>
      <c r="I431" s="246"/>
      <c r="J431" s="246"/>
      <c r="K431" s="246"/>
      <c r="L431" s="246"/>
      <c r="M431" s="246"/>
      <c r="N431" s="246"/>
      <c r="O431" s="246"/>
      <c r="P431" s="246"/>
      <c r="Q431" s="246"/>
      <c r="R431" s="246"/>
      <c r="S431" s="246"/>
      <c r="T431" s="246"/>
      <c r="U431" s="246"/>
      <c r="V431" s="246"/>
      <c r="W431" s="246"/>
      <c r="X431" s="246"/>
      <c r="Y431" s="246"/>
      <c r="Z431" s="246"/>
      <c r="AA431" s="246"/>
      <c r="AB431" s="246"/>
      <c r="AC431" s="246"/>
      <c r="AD431" s="246"/>
      <c r="AE431" s="246"/>
      <c r="AF431" s="246"/>
      <c r="AG431" s="246"/>
      <c r="AH431" s="246"/>
      <c r="AI431" s="246"/>
      <c r="AJ431" s="246"/>
      <c r="AK431" s="246"/>
      <c r="AL431" s="246"/>
      <c r="AM431" s="246"/>
      <c r="AN431" s="246"/>
      <c r="AO431" s="246"/>
      <c r="AP431" s="246"/>
      <c r="AQ431" s="246"/>
      <c r="AR431" s="246"/>
      <c r="AS431" s="246"/>
      <c r="AT431" s="246"/>
      <c r="AU431" s="260"/>
    </row>
    <row r="432" spans="1:47" ht="60" customHeight="1" x14ac:dyDescent="0.35">
      <c r="A432" s="256" t="s">
        <v>4336</v>
      </c>
      <c r="B432" s="234" t="s">
        <v>4337</v>
      </c>
      <c r="C432" s="235" t="s">
        <v>4350</v>
      </c>
      <c r="D432" s="238" t="s">
        <v>4351</v>
      </c>
      <c r="E432" s="239" t="s">
        <v>3762</v>
      </c>
      <c r="F432" s="242" t="s">
        <v>4300</v>
      </c>
      <c r="G432" s="245" t="str">
        <f>IF(COUNTIF(H432:AU432,"&lt;&gt;")=0,"",SUMPRODUCT(((Recommendations[ImplStatus]="Implemented")+(Recommendations[ImplStatus]="Compensated"))*ISNUMBER(MATCH(Recommendations[Id],H432:AU432,0)))/COUNTIF(H432:AU432,"&lt;&gt;"))</f>
        <v/>
      </c>
      <c r="H432" s="246"/>
      <c r="I432" s="246"/>
      <c r="J432" s="246"/>
      <c r="K432" s="246"/>
      <c r="L432" s="246"/>
      <c r="M432" s="246"/>
      <c r="N432" s="246"/>
      <c r="O432" s="246"/>
      <c r="P432" s="246"/>
      <c r="Q432" s="246"/>
      <c r="R432" s="246"/>
      <c r="S432" s="246"/>
      <c r="T432" s="246"/>
      <c r="U432" s="246"/>
      <c r="V432" s="246"/>
      <c r="W432" s="246"/>
      <c r="X432" s="246"/>
      <c r="Y432" s="246"/>
      <c r="Z432" s="246"/>
      <c r="AA432" s="246"/>
      <c r="AB432" s="246"/>
      <c r="AC432" s="246"/>
      <c r="AD432" s="246"/>
      <c r="AE432" s="246"/>
      <c r="AF432" s="246"/>
      <c r="AG432" s="246"/>
      <c r="AH432" s="246"/>
      <c r="AI432" s="246"/>
      <c r="AJ432" s="246"/>
      <c r="AK432" s="246"/>
      <c r="AL432" s="246"/>
      <c r="AM432" s="246"/>
      <c r="AN432" s="246"/>
      <c r="AO432" s="246"/>
      <c r="AP432" s="246"/>
      <c r="AQ432" s="246"/>
      <c r="AR432" s="246"/>
      <c r="AS432" s="246"/>
      <c r="AT432" s="246"/>
      <c r="AU432" s="260"/>
    </row>
    <row r="433" spans="1:47" ht="60" customHeight="1" x14ac:dyDescent="0.35">
      <c r="A433" s="256" t="s">
        <v>4336</v>
      </c>
      <c r="B433" s="234" t="s">
        <v>4337</v>
      </c>
      <c r="C433" s="235" t="s">
        <v>4352</v>
      </c>
      <c r="D433" s="238" t="s">
        <v>4353</v>
      </c>
      <c r="E433" s="239" t="s">
        <v>3579</v>
      </c>
      <c r="F433" s="242" t="s">
        <v>4300</v>
      </c>
      <c r="G433" s="245" t="str">
        <f>IF(COUNTIF(H433:AU433,"&lt;&gt;")=0,"",SUMPRODUCT(((Recommendations[ImplStatus]="Implemented")+(Recommendations[ImplStatus]="Compensated"))*ISNUMBER(MATCH(Recommendations[Id],H433:AU433,0)))/COUNTIF(H433:AU433,"&lt;&gt;"))</f>
        <v/>
      </c>
      <c r="H433" s="246"/>
      <c r="I433" s="246"/>
      <c r="J433" s="246"/>
      <c r="K433" s="246"/>
      <c r="L433" s="246"/>
      <c r="M433" s="246"/>
      <c r="N433" s="246"/>
      <c r="O433" s="246"/>
      <c r="P433" s="246"/>
      <c r="Q433" s="246"/>
      <c r="R433" s="246"/>
      <c r="S433" s="246"/>
      <c r="T433" s="246"/>
      <c r="U433" s="246"/>
      <c r="V433" s="246"/>
      <c r="W433" s="246"/>
      <c r="X433" s="246"/>
      <c r="Y433" s="246"/>
      <c r="Z433" s="246"/>
      <c r="AA433" s="246"/>
      <c r="AB433" s="246"/>
      <c r="AC433" s="246"/>
      <c r="AD433" s="246"/>
      <c r="AE433" s="246"/>
      <c r="AF433" s="246"/>
      <c r="AG433" s="246"/>
      <c r="AH433" s="246"/>
      <c r="AI433" s="246"/>
      <c r="AJ433" s="246"/>
      <c r="AK433" s="246"/>
      <c r="AL433" s="246"/>
      <c r="AM433" s="246"/>
      <c r="AN433" s="246"/>
      <c r="AO433" s="246"/>
      <c r="AP433" s="246"/>
      <c r="AQ433" s="246"/>
      <c r="AR433" s="246"/>
      <c r="AS433" s="246"/>
      <c r="AT433" s="246"/>
      <c r="AU433" s="260"/>
    </row>
    <row r="434" spans="1:47" ht="60" customHeight="1" x14ac:dyDescent="0.35">
      <c r="A434" s="256" t="s">
        <v>4336</v>
      </c>
      <c r="B434" s="234" t="s">
        <v>4337</v>
      </c>
      <c r="C434" s="235" t="s">
        <v>4354</v>
      </c>
      <c r="D434" s="238" t="s">
        <v>4355</v>
      </c>
      <c r="E434" s="239" t="s">
        <v>3579</v>
      </c>
      <c r="F434" s="242" t="s">
        <v>4300</v>
      </c>
      <c r="G434" s="245" t="str">
        <f>IF(COUNTIF(H434:AU434,"&lt;&gt;")=0,"",SUMPRODUCT(((Recommendations[ImplStatus]="Implemented")+(Recommendations[ImplStatus]="Compensated"))*ISNUMBER(MATCH(Recommendations[Id],H434:AU434,0)))/COUNTIF(H434:AU434,"&lt;&gt;"))</f>
        <v/>
      </c>
      <c r="H434" s="246"/>
      <c r="I434" s="246"/>
      <c r="J434" s="246"/>
      <c r="K434" s="246"/>
      <c r="L434" s="246"/>
      <c r="M434" s="246"/>
      <c r="N434" s="246"/>
      <c r="O434" s="246"/>
      <c r="P434" s="246"/>
      <c r="Q434" s="246"/>
      <c r="R434" s="246"/>
      <c r="S434" s="246"/>
      <c r="T434" s="246"/>
      <c r="U434" s="246"/>
      <c r="V434" s="246"/>
      <c r="W434" s="246"/>
      <c r="X434" s="246"/>
      <c r="Y434" s="246"/>
      <c r="Z434" s="246"/>
      <c r="AA434" s="246"/>
      <c r="AB434" s="246"/>
      <c r="AC434" s="246"/>
      <c r="AD434" s="246"/>
      <c r="AE434" s="246"/>
      <c r="AF434" s="246"/>
      <c r="AG434" s="246"/>
      <c r="AH434" s="246"/>
      <c r="AI434" s="246"/>
      <c r="AJ434" s="246"/>
      <c r="AK434" s="246"/>
      <c r="AL434" s="246"/>
      <c r="AM434" s="246"/>
      <c r="AN434" s="246"/>
      <c r="AO434" s="246"/>
      <c r="AP434" s="246"/>
      <c r="AQ434" s="246"/>
      <c r="AR434" s="246"/>
      <c r="AS434" s="246"/>
      <c r="AT434" s="246"/>
      <c r="AU434" s="260"/>
    </row>
    <row r="435" spans="1:47" ht="60" customHeight="1" x14ac:dyDescent="0.35">
      <c r="A435" s="256" t="s">
        <v>4336</v>
      </c>
      <c r="B435" s="234" t="s">
        <v>4337</v>
      </c>
      <c r="C435" s="235" t="s">
        <v>4356</v>
      </c>
      <c r="D435" s="238" t="s">
        <v>4357</v>
      </c>
      <c r="E435" s="239" t="s">
        <v>3512</v>
      </c>
      <c r="F435" s="242" t="s">
        <v>4300</v>
      </c>
      <c r="G435" s="245" t="str">
        <f>IF(COUNTIF(H435:AU435,"&lt;&gt;")=0,"",SUMPRODUCT(((Recommendations[ImplStatus]="Implemented")+(Recommendations[ImplStatus]="Compensated"))*ISNUMBER(MATCH(Recommendations[Id],H435:AU435,0)))/COUNTIF(H435:AU435,"&lt;&gt;"))</f>
        <v/>
      </c>
      <c r="H435" s="246"/>
      <c r="I435" s="246"/>
      <c r="J435" s="246"/>
      <c r="K435" s="246"/>
      <c r="L435" s="246"/>
      <c r="M435" s="246"/>
      <c r="N435" s="246"/>
      <c r="O435" s="246"/>
      <c r="P435" s="246"/>
      <c r="Q435" s="246"/>
      <c r="R435" s="246"/>
      <c r="S435" s="246"/>
      <c r="T435" s="246"/>
      <c r="U435" s="246"/>
      <c r="V435" s="246"/>
      <c r="W435" s="246"/>
      <c r="X435" s="246"/>
      <c r="Y435" s="246"/>
      <c r="Z435" s="246"/>
      <c r="AA435" s="246"/>
      <c r="AB435" s="246"/>
      <c r="AC435" s="246"/>
      <c r="AD435" s="246"/>
      <c r="AE435" s="246"/>
      <c r="AF435" s="246"/>
      <c r="AG435" s="246"/>
      <c r="AH435" s="246"/>
      <c r="AI435" s="246"/>
      <c r="AJ435" s="246"/>
      <c r="AK435" s="246"/>
      <c r="AL435" s="246"/>
      <c r="AM435" s="246"/>
      <c r="AN435" s="246"/>
      <c r="AO435" s="246"/>
      <c r="AP435" s="246"/>
      <c r="AQ435" s="246"/>
      <c r="AR435" s="246"/>
      <c r="AS435" s="246"/>
      <c r="AT435" s="246"/>
      <c r="AU435" s="260"/>
    </row>
    <row r="436" spans="1:47" ht="60" customHeight="1" x14ac:dyDescent="0.35">
      <c r="A436" s="256" t="s">
        <v>4336</v>
      </c>
      <c r="B436" s="234" t="s">
        <v>4337</v>
      </c>
      <c r="C436" s="235" t="s">
        <v>4358</v>
      </c>
      <c r="D436" s="238" t="s">
        <v>4359</v>
      </c>
      <c r="E436" s="239" t="s">
        <v>3579</v>
      </c>
      <c r="F436" s="242" t="s">
        <v>4300</v>
      </c>
      <c r="G436" s="245" t="str">
        <f>IF(COUNTIF(H436:AU436,"&lt;&gt;")=0,"",SUMPRODUCT(((Recommendations[ImplStatus]="Implemented")+(Recommendations[ImplStatus]="Compensated"))*ISNUMBER(MATCH(Recommendations[Id],H436:AU436,0)))/COUNTIF(H436:AU436,"&lt;&gt;"))</f>
        <v/>
      </c>
      <c r="H436" s="246"/>
      <c r="I436" s="246"/>
      <c r="J436" s="246"/>
      <c r="K436" s="246"/>
      <c r="L436" s="246"/>
      <c r="M436" s="246"/>
      <c r="N436" s="246"/>
      <c r="O436" s="246"/>
      <c r="P436" s="246"/>
      <c r="Q436" s="246"/>
      <c r="R436" s="246"/>
      <c r="S436" s="246"/>
      <c r="T436" s="246"/>
      <c r="U436" s="246"/>
      <c r="V436" s="246"/>
      <c r="W436" s="246"/>
      <c r="X436" s="246"/>
      <c r="Y436" s="246"/>
      <c r="Z436" s="246"/>
      <c r="AA436" s="246"/>
      <c r="AB436" s="246"/>
      <c r="AC436" s="246"/>
      <c r="AD436" s="246"/>
      <c r="AE436" s="246"/>
      <c r="AF436" s="246"/>
      <c r="AG436" s="246"/>
      <c r="AH436" s="246"/>
      <c r="AI436" s="246"/>
      <c r="AJ436" s="246"/>
      <c r="AK436" s="246"/>
      <c r="AL436" s="246"/>
      <c r="AM436" s="246"/>
      <c r="AN436" s="246"/>
      <c r="AO436" s="246"/>
      <c r="AP436" s="246"/>
      <c r="AQ436" s="246"/>
      <c r="AR436" s="246"/>
      <c r="AS436" s="246"/>
      <c r="AT436" s="246"/>
      <c r="AU436" s="260"/>
    </row>
    <row r="437" spans="1:47" ht="60" customHeight="1" x14ac:dyDescent="0.35">
      <c r="A437" s="256" t="s">
        <v>4336</v>
      </c>
      <c r="B437" s="234" t="s">
        <v>4337</v>
      </c>
      <c r="C437" s="235" t="s">
        <v>4360</v>
      </c>
      <c r="D437" s="238" t="s">
        <v>4361</v>
      </c>
      <c r="E437" s="239" t="s">
        <v>3512</v>
      </c>
      <c r="F437" s="242" t="s">
        <v>4300</v>
      </c>
      <c r="G437" s="245" t="str">
        <f>IF(COUNTIF(H437:AU437,"&lt;&gt;")=0,"",SUMPRODUCT(((Recommendations[ImplStatus]="Implemented")+(Recommendations[ImplStatus]="Compensated"))*ISNUMBER(MATCH(Recommendations[Id],H437:AU437,0)))/COUNTIF(H437:AU437,"&lt;&gt;"))</f>
        <v/>
      </c>
      <c r="H437" s="246"/>
      <c r="I437" s="246"/>
      <c r="J437" s="246"/>
      <c r="K437" s="246"/>
      <c r="L437" s="246"/>
      <c r="M437" s="246"/>
      <c r="N437" s="246"/>
      <c r="O437" s="246"/>
      <c r="P437" s="246"/>
      <c r="Q437" s="246"/>
      <c r="R437" s="246"/>
      <c r="S437" s="246"/>
      <c r="T437" s="246"/>
      <c r="U437" s="246"/>
      <c r="V437" s="246"/>
      <c r="W437" s="246"/>
      <c r="X437" s="246"/>
      <c r="Y437" s="246"/>
      <c r="Z437" s="246"/>
      <c r="AA437" s="246"/>
      <c r="AB437" s="246"/>
      <c r="AC437" s="246"/>
      <c r="AD437" s="246"/>
      <c r="AE437" s="246"/>
      <c r="AF437" s="246"/>
      <c r="AG437" s="246"/>
      <c r="AH437" s="246"/>
      <c r="AI437" s="246"/>
      <c r="AJ437" s="246"/>
      <c r="AK437" s="246"/>
      <c r="AL437" s="246"/>
      <c r="AM437" s="246"/>
      <c r="AN437" s="246"/>
      <c r="AO437" s="246"/>
      <c r="AP437" s="246"/>
      <c r="AQ437" s="246"/>
      <c r="AR437" s="246"/>
      <c r="AS437" s="246"/>
      <c r="AT437" s="246"/>
      <c r="AU437" s="260"/>
    </row>
    <row r="438" spans="1:47" ht="60" customHeight="1" outlineLevel="2" x14ac:dyDescent="0.35">
      <c r="A438" s="255" t="s">
        <v>4336</v>
      </c>
      <c r="B438" s="233" t="s">
        <v>4362</v>
      </c>
      <c r="C438" s="233"/>
      <c r="D438" s="237"/>
      <c r="E438" s="233"/>
      <c r="F438" s="241"/>
      <c r="G438" s="244" t="str">
        <f>IF(COUNTIF(H438:AU438,"&lt;&gt;")=0,"",SUMPRODUCT(((Recommendations[ImplStatus]="Implemented")+(Recommendations[ImplStatus]="Compensated"))*ISNUMBER(MATCH(Recommendations[Id],H438:AU438,0)))/COUNTIF(H438:AU438,"&lt;&gt;"))</f>
        <v/>
      </c>
      <c r="H438" s="241"/>
      <c r="I438" s="241"/>
      <c r="J438" s="241"/>
      <c r="K438" s="241"/>
      <c r="L438" s="241"/>
      <c r="M438" s="241"/>
      <c r="N438" s="241"/>
      <c r="O438" s="241"/>
      <c r="P438" s="241"/>
      <c r="Q438" s="241"/>
      <c r="R438" s="241"/>
      <c r="S438" s="241"/>
      <c r="T438" s="241"/>
      <c r="U438" s="241"/>
      <c r="V438" s="241"/>
      <c r="W438" s="241"/>
      <c r="X438" s="241"/>
      <c r="Y438" s="241"/>
      <c r="Z438" s="241"/>
      <c r="AA438" s="241"/>
      <c r="AB438" s="241"/>
      <c r="AC438" s="241"/>
      <c r="AD438" s="241"/>
      <c r="AE438" s="241"/>
      <c r="AF438" s="241"/>
      <c r="AG438" s="241"/>
      <c r="AH438" s="241"/>
      <c r="AI438" s="241"/>
      <c r="AJ438" s="241"/>
      <c r="AK438" s="241"/>
      <c r="AL438" s="241"/>
      <c r="AM438" s="241"/>
      <c r="AN438" s="241"/>
      <c r="AO438" s="241"/>
      <c r="AP438" s="241"/>
      <c r="AQ438" s="241"/>
      <c r="AR438" s="241"/>
      <c r="AS438" s="241"/>
      <c r="AT438" s="241"/>
      <c r="AU438" s="259"/>
    </row>
    <row r="439" spans="1:47" ht="60" customHeight="1" x14ac:dyDescent="0.35">
      <c r="A439" s="256" t="s">
        <v>4336</v>
      </c>
      <c r="B439" s="234" t="s">
        <v>4362</v>
      </c>
      <c r="C439" s="235" t="s">
        <v>4363</v>
      </c>
      <c r="D439" s="238" t="s">
        <v>4364</v>
      </c>
      <c r="E439" s="239" t="s">
        <v>3483</v>
      </c>
      <c r="F439" s="242" t="s">
        <v>4365</v>
      </c>
      <c r="G439" s="245" t="str">
        <f>IF(COUNTIF(H439:AU439,"&lt;&gt;")=0,"",SUMPRODUCT(((Recommendations[ImplStatus]="Implemented")+(Recommendations[ImplStatus]="Compensated"))*ISNUMBER(MATCH(Recommendations[Id],H439:AU439,0)))/COUNTIF(H439:AU439,"&lt;&gt;"))</f>
        <v/>
      </c>
      <c r="H439" s="246"/>
      <c r="I439" s="246"/>
      <c r="J439" s="246"/>
      <c r="K439" s="246"/>
      <c r="L439" s="246"/>
      <c r="M439" s="246"/>
      <c r="N439" s="246"/>
      <c r="O439" s="246"/>
      <c r="P439" s="246"/>
      <c r="Q439" s="246"/>
      <c r="R439" s="246"/>
      <c r="S439" s="246"/>
      <c r="T439" s="246"/>
      <c r="U439" s="246"/>
      <c r="V439" s="246"/>
      <c r="W439" s="246"/>
      <c r="X439" s="246"/>
      <c r="Y439" s="246"/>
      <c r="Z439" s="246"/>
      <c r="AA439" s="246"/>
      <c r="AB439" s="246"/>
      <c r="AC439" s="246"/>
      <c r="AD439" s="246"/>
      <c r="AE439" s="246"/>
      <c r="AF439" s="246"/>
      <c r="AG439" s="246"/>
      <c r="AH439" s="246"/>
      <c r="AI439" s="246"/>
      <c r="AJ439" s="246"/>
      <c r="AK439" s="246"/>
      <c r="AL439" s="246"/>
      <c r="AM439" s="246"/>
      <c r="AN439" s="246"/>
      <c r="AO439" s="246"/>
      <c r="AP439" s="246"/>
      <c r="AQ439" s="246"/>
      <c r="AR439" s="246"/>
      <c r="AS439" s="246"/>
      <c r="AT439" s="246"/>
      <c r="AU439" s="260"/>
    </row>
    <row r="440" spans="1:47" ht="60" customHeight="1" x14ac:dyDescent="0.35">
      <c r="A440" s="256" t="s">
        <v>4336</v>
      </c>
      <c r="B440" s="234" t="s">
        <v>4362</v>
      </c>
      <c r="C440" s="235" t="s">
        <v>4366</v>
      </c>
      <c r="D440" s="238" t="s">
        <v>4367</v>
      </c>
      <c r="E440" s="239" t="s">
        <v>3483</v>
      </c>
      <c r="F440" s="242" t="s">
        <v>4365</v>
      </c>
      <c r="G440" s="245" t="str">
        <f>IF(COUNTIF(H440:AU440,"&lt;&gt;")=0,"",SUMPRODUCT(((Recommendations[ImplStatus]="Implemented")+(Recommendations[ImplStatus]="Compensated"))*ISNUMBER(MATCH(Recommendations[Id],H440:AU440,0)))/COUNTIF(H440:AU440,"&lt;&gt;"))</f>
        <v/>
      </c>
      <c r="H440" s="246"/>
      <c r="I440" s="246"/>
      <c r="J440" s="246"/>
      <c r="K440" s="246"/>
      <c r="L440" s="246"/>
      <c r="M440" s="246"/>
      <c r="N440" s="246"/>
      <c r="O440" s="246"/>
      <c r="P440" s="246"/>
      <c r="Q440" s="246"/>
      <c r="R440" s="246"/>
      <c r="S440" s="246"/>
      <c r="T440" s="246"/>
      <c r="U440" s="246"/>
      <c r="V440" s="246"/>
      <c r="W440" s="246"/>
      <c r="X440" s="246"/>
      <c r="Y440" s="246"/>
      <c r="Z440" s="246"/>
      <c r="AA440" s="246"/>
      <c r="AB440" s="246"/>
      <c r="AC440" s="246"/>
      <c r="AD440" s="246"/>
      <c r="AE440" s="246"/>
      <c r="AF440" s="246"/>
      <c r="AG440" s="246"/>
      <c r="AH440" s="246"/>
      <c r="AI440" s="246"/>
      <c r="AJ440" s="246"/>
      <c r="AK440" s="246"/>
      <c r="AL440" s="246"/>
      <c r="AM440" s="246"/>
      <c r="AN440" s="246"/>
      <c r="AO440" s="246"/>
      <c r="AP440" s="246"/>
      <c r="AQ440" s="246"/>
      <c r="AR440" s="246"/>
      <c r="AS440" s="246"/>
      <c r="AT440" s="246"/>
      <c r="AU440" s="260"/>
    </row>
    <row r="441" spans="1:47" ht="60" customHeight="1" x14ac:dyDescent="0.35">
      <c r="A441" s="256" t="s">
        <v>4336</v>
      </c>
      <c r="B441" s="234" t="s">
        <v>4362</v>
      </c>
      <c r="C441" s="235" t="s">
        <v>4368</v>
      </c>
      <c r="D441" s="238" t="s">
        <v>4369</v>
      </c>
      <c r="E441" s="239" t="s">
        <v>3483</v>
      </c>
      <c r="F441" s="242" t="s">
        <v>4365</v>
      </c>
      <c r="G441" s="245" t="str">
        <f>IF(COUNTIF(H441:AU441,"&lt;&gt;")=0,"",SUMPRODUCT(((Recommendations[ImplStatus]="Implemented")+(Recommendations[ImplStatus]="Compensated"))*ISNUMBER(MATCH(Recommendations[Id],H441:AU441,0)))/COUNTIF(H441:AU441,"&lt;&gt;"))</f>
        <v/>
      </c>
      <c r="H441" s="246"/>
      <c r="I441" s="246"/>
      <c r="J441" s="246"/>
      <c r="K441" s="246"/>
      <c r="L441" s="246"/>
      <c r="M441" s="246"/>
      <c r="N441" s="246"/>
      <c r="O441" s="246"/>
      <c r="P441" s="246"/>
      <c r="Q441" s="246"/>
      <c r="R441" s="246"/>
      <c r="S441" s="246"/>
      <c r="T441" s="246"/>
      <c r="U441" s="246"/>
      <c r="V441" s="246"/>
      <c r="W441" s="246"/>
      <c r="X441" s="246"/>
      <c r="Y441" s="246"/>
      <c r="Z441" s="246"/>
      <c r="AA441" s="246"/>
      <c r="AB441" s="246"/>
      <c r="AC441" s="246"/>
      <c r="AD441" s="246"/>
      <c r="AE441" s="246"/>
      <c r="AF441" s="246"/>
      <c r="AG441" s="246"/>
      <c r="AH441" s="246"/>
      <c r="AI441" s="246"/>
      <c r="AJ441" s="246"/>
      <c r="AK441" s="246"/>
      <c r="AL441" s="246"/>
      <c r="AM441" s="246"/>
      <c r="AN441" s="246"/>
      <c r="AO441" s="246"/>
      <c r="AP441" s="246"/>
      <c r="AQ441" s="246"/>
      <c r="AR441" s="246"/>
      <c r="AS441" s="246"/>
      <c r="AT441" s="246"/>
      <c r="AU441" s="260"/>
    </row>
    <row r="442" spans="1:47" ht="60" customHeight="1" x14ac:dyDescent="0.35">
      <c r="A442" s="256" t="s">
        <v>4336</v>
      </c>
      <c r="B442" s="234" t="s">
        <v>4362</v>
      </c>
      <c r="C442" s="235" t="s">
        <v>4370</v>
      </c>
      <c r="D442" s="238" t="s">
        <v>4371</v>
      </c>
      <c r="E442" s="239" t="s">
        <v>3483</v>
      </c>
      <c r="F442" s="242" t="s">
        <v>4365</v>
      </c>
      <c r="G442" s="245" t="str">
        <f>IF(COUNTIF(H442:AU442,"&lt;&gt;")=0,"",SUMPRODUCT(((Recommendations[ImplStatus]="Implemented")+(Recommendations[ImplStatus]="Compensated"))*ISNUMBER(MATCH(Recommendations[Id],H442:AU442,0)))/COUNTIF(H442:AU442,"&lt;&gt;"))</f>
        <v/>
      </c>
      <c r="H442" s="246"/>
      <c r="I442" s="246"/>
      <c r="J442" s="246"/>
      <c r="K442" s="246"/>
      <c r="L442" s="246"/>
      <c r="M442" s="246"/>
      <c r="N442" s="246"/>
      <c r="O442" s="246"/>
      <c r="P442" s="246"/>
      <c r="Q442" s="246"/>
      <c r="R442" s="246"/>
      <c r="S442" s="246"/>
      <c r="T442" s="246"/>
      <c r="U442" s="246"/>
      <c r="V442" s="246"/>
      <c r="W442" s="246"/>
      <c r="X442" s="246"/>
      <c r="Y442" s="246"/>
      <c r="Z442" s="246"/>
      <c r="AA442" s="246"/>
      <c r="AB442" s="246"/>
      <c r="AC442" s="246"/>
      <c r="AD442" s="246"/>
      <c r="AE442" s="246"/>
      <c r="AF442" s="246"/>
      <c r="AG442" s="246"/>
      <c r="AH442" s="246"/>
      <c r="AI442" s="246"/>
      <c r="AJ442" s="246"/>
      <c r="AK442" s="246"/>
      <c r="AL442" s="246"/>
      <c r="AM442" s="246"/>
      <c r="AN442" s="246"/>
      <c r="AO442" s="246"/>
      <c r="AP442" s="246"/>
      <c r="AQ442" s="246"/>
      <c r="AR442" s="246"/>
      <c r="AS442" s="246"/>
      <c r="AT442" s="246"/>
      <c r="AU442" s="260"/>
    </row>
    <row r="443" spans="1:47" ht="60" customHeight="1" x14ac:dyDescent="0.35">
      <c r="A443" s="256" t="s">
        <v>4336</v>
      </c>
      <c r="B443" s="234" t="s">
        <v>4362</v>
      </c>
      <c r="C443" s="235" t="s">
        <v>4372</v>
      </c>
      <c r="D443" s="238" t="s">
        <v>4373</v>
      </c>
      <c r="E443" s="239" t="s">
        <v>3512</v>
      </c>
      <c r="F443" s="242" t="s">
        <v>4365</v>
      </c>
      <c r="G443" s="245" t="str">
        <f>IF(COUNTIF(H443:AU443,"&lt;&gt;")=0,"",SUMPRODUCT(((Recommendations[ImplStatus]="Implemented")+(Recommendations[ImplStatus]="Compensated"))*ISNUMBER(MATCH(Recommendations[Id],H443:AU443,0)))/COUNTIF(H443:AU443,"&lt;&gt;"))</f>
        <v/>
      </c>
      <c r="H443" s="246"/>
      <c r="I443" s="246"/>
      <c r="J443" s="246"/>
      <c r="K443" s="246"/>
      <c r="L443" s="246"/>
      <c r="M443" s="246"/>
      <c r="N443" s="246"/>
      <c r="O443" s="246"/>
      <c r="P443" s="246"/>
      <c r="Q443" s="246"/>
      <c r="R443" s="246"/>
      <c r="S443" s="246"/>
      <c r="T443" s="246"/>
      <c r="U443" s="246"/>
      <c r="V443" s="246"/>
      <c r="W443" s="246"/>
      <c r="X443" s="246"/>
      <c r="Y443" s="246"/>
      <c r="Z443" s="246"/>
      <c r="AA443" s="246"/>
      <c r="AB443" s="246"/>
      <c r="AC443" s="246"/>
      <c r="AD443" s="246"/>
      <c r="AE443" s="246"/>
      <c r="AF443" s="246"/>
      <c r="AG443" s="246"/>
      <c r="AH443" s="246"/>
      <c r="AI443" s="246"/>
      <c r="AJ443" s="246"/>
      <c r="AK443" s="246"/>
      <c r="AL443" s="246"/>
      <c r="AM443" s="246"/>
      <c r="AN443" s="246"/>
      <c r="AO443" s="246"/>
      <c r="AP443" s="246"/>
      <c r="AQ443" s="246"/>
      <c r="AR443" s="246"/>
      <c r="AS443" s="246"/>
      <c r="AT443" s="246"/>
      <c r="AU443" s="260"/>
    </row>
    <row r="444" spans="1:47" ht="60" customHeight="1" x14ac:dyDescent="0.35">
      <c r="A444" s="256" t="s">
        <v>4336</v>
      </c>
      <c r="B444" s="234" t="s">
        <v>4362</v>
      </c>
      <c r="C444" s="235" t="s">
        <v>4374</v>
      </c>
      <c r="D444" s="238" t="s">
        <v>4375</v>
      </c>
      <c r="E444" s="239" t="s">
        <v>3512</v>
      </c>
      <c r="F444" s="242" t="s">
        <v>4365</v>
      </c>
      <c r="G444" s="245" t="str">
        <f>IF(COUNTIF(H444:AU444,"&lt;&gt;")=0,"",SUMPRODUCT(((Recommendations[ImplStatus]="Implemented")+(Recommendations[ImplStatus]="Compensated"))*ISNUMBER(MATCH(Recommendations[Id],H444:AU444,0)))/COUNTIF(H444:AU444,"&lt;&gt;"))</f>
        <v/>
      </c>
      <c r="H444" s="246"/>
      <c r="I444" s="246"/>
      <c r="J444" s="246"/>
      <c r="K444" s="246"/>
      <c r="L444" s="246"/>
      <c r="M444" s="246"/>
      <c r="N444" s="246"/>
      <c r="O444" s="246"/>
      <c r="P444" s="246"/>
      <c r="Q444" s="246"/>
      <c r="R444" s="246"/>
      <c r="S444" s="246"/>
      <c r="T444" s="246"/>
      <c r="U444" s="246"/>
      <c r="V444" s="246"/>
      <c r="W444" s="246"/>
      <c r="X444" s="246"/>
      <c r="Y444" s="246"/>
      <c r="Z444" s="246"/>
      <c r="AA444" s="246"/>
      <c r="AB444" s="246"/>
      <c r="AC444" s="246"/>
      <c r="AD444" s="246"/>
      <c r="AE444" s="246"/>
      <c r="AF444" s="246"/>
      <c r="AG444" s="246"/>
      <c r="AH444" s="246"/>
      <c r="AI444" s="246"/>
      <c r="AJ444" s="246"/>
      <c r="AK444" s="246"/>
      <c r="AL444" s="246"/>
      <c r="AM444" s="246"/>
      <c r="AN444" s="246"/>
      <c r="AO444" s="246"/>
      <c r="AP444" s="246"/>
      <c r="AQ444" s="246"/>
      <c r="AR444" s="246"/>
      <c r="AS444" s="246"/>
      <c r="AT444" s="246"/>
      <c r="AU444" s="260"/>
    </row>
    <row r="445" spans="1:47" ht="60" customHeight="1" x14ac:dyDescent="0.35">
      <c r="A445" s="256" t="s">
        <v>4336</v>
      </c>
      <c r="B445" s="234" t="s">
        <v>4362</v>
      </c>
      <c r="C445" s="235" t="s">
        <v>4376</v>
      </c>
      <c r="D445" s="238" t="s">
        <v>4377</v>
      </c>
      <c r="E445" s="239" t="s">
        <v>3512</v>
      </c>
      <c r="F445" s="242" t="s">
        <v>4365</v>
      </c>
      <c r="G445" s="245" t="str">
        <f>IF(COUNTIF(H445:AU445,"&lt;&gt;")=0,"",SUMPRODUCT(((Recommendations[ImplStatus]="Implemented")+(Recommendations[ImplStatus]="Compensated"))*ISNUMBER(MATCH(Recommendations[Id],H445:AU445,0)))/COUNTIF(H445:AU445,"&lt;&gt;"))</f>
        <v/>
      </c>
      <c r="H445" s="246"/>
      <c r="I445" s="246"/>
      <c r="J445" s="246"/>
      <c r="K445" s="246"/>
      <c r="L445" s="246"/>
      <c r="M445" s="246"/>
      <c r="N445" s="246"/>
      <c r="O445" s="246"/>
      <c r="P445" s="246"/>
      <c r="Q445" s="246"/>
      <c r="R445" s="246"/>
      <c r="S445" s="246"/>
      <c r="T445" s="246"/>
      <c r="U445" s="246"/>
      <c r="V445" s="246"/>
      <c r="W445" s="246"/>
      <c r="X445" s="246"/>
      <c r="Y445" s="246"/>
      <c r="Z445" s="246"/>
      <c r="AA445" s="246"/>
      <c r="AB445" s="246"/>
      <c r="AC445" s="246"/>
      <c r="AD445" s="246"/>
      <c r="AE445" s="246"/>
      <c r="AF445" s="246"/>
      <c r="AG445" s="246"/>
      <c r="AH445" s="246"/>
      <c r="AI445" s="246"/>
      <c r="AJ445" s="246"/>
      <c r="AK445" s="246"/>
      <c r="AL445" s="246"/>
      <c r="AM445" s="246"/>
      <c r="AN445" s="246"/>
      <c r="AO445" s="246"/>
      <c r="AP445" s="246"/>
      <c r="AQ445" s="246"/>
      <c r="AR445" s="246"/>
      <c r="AS445" s="246"/>
      <c r="AT445" s="246"/>
      <c r="AU445" s="260"/>
    </row>
    <row r="446" spans="1:47" ht="60" customHeight="1" x14ac:dyDescent="0.35">
      <c r="A446" s="256" t="s">
        <v>4336</v>
      </c>
      <c r="B446" s="234" t="s">
        <v>4362</v>
      </c>
      <c r="C446" s="235" t="s">
        <v>4378</v>
      </c>
      <c r="D446" s="238" t="s">
        <v>4379</v>
      </c>
      <c r="E446" s="239" t="s">
        <v>3627</v>
      </c>
      <c r="F446" s="242" t="s">
        <v>4365</v>
      </c>
      <c r="G446" s="245" t="str">
        <f>IF(COUNTIF(H446:AU446,"&lt;&gt;")=0,"",SUMPRODUCT(((Recommendations[ImplStatus]="Implemented")+(Recommendations[ImplStatus]="Compensated"))*ISNUMBER(MATCH(Recommendations[Id],H446:AU446,0)))/COUNTIF(H446:AU446,"&lt;&gt;"))</f>
        <v/>
      </c>
      <c r="H446" s="246"/>
      <c r="I446" s="246"/>
      <c r="J446" s="246"/>
      <c r="K446" s="246"/>
      <c r="L446" s="246"/>
      <c r="M446" s="246"/>
      <c r="N446" s="246"/>
      <c r="O446" s="246"/>
      <c r="P446" s="246"/>
      <c r="Q446" s="246"/>
      <c r="R446" s="246"/>
      <c r="S446" s="246"/>
      <c r="T446" s="246"/>
      <c r="U446" s="246"/>
      <c r="V446" s="246"/>
      <c r="W446" s="246"/>
      <c r="X446" s="246"/>
      <c r="Y446" s="246"/>
      <c r="Z446" s="246"/>
      <c r="AA446" s="246"/>
      <c r="AB446" s="246"/>
      <c r="AC446" s="246"/>
      <c r="AD446" s="246"/>
      <c r="AE446" s="246"/>
      <c r="AF446" s="246"/>
      <c r="AG446" s="246"/>
      <c r="AH446" s="246"/>
      <c r="AI446" s="246"/>
      <c r="AJ446" s="246"/>
      <c r="AK446" s="246"/>
      <c r="AL446" s="246"/>
      <c r="AM446" s="246"/>
      <c r="AN446" s="246"/>
      <c r="AO446" s="246"/>
      <c r="AP446" s="246"/>
      <c r="AQ446" s="246"/>
      <c r="AR446" s="246"/>
      <c r="AS446" s="246"/>
      <c r="AT446" s="246"/>
      <c r="AU446" s="260"/>
    </row>
    <row r="447" spans="1:47" ht="60" customHeight="1" x14ac:dyDescent="0.35">
      <c r="A447" s="256" t="s">
        <v>4336</v>
      </c>
      <c r="B447" s="234" t="s">
        <v>4362</v>
      </c>
      <c r="C447" s="235" t="s">
        <v>4380</v>
      </c>
      <c r="D447" s="238" t="s">
        <v>4381</v>
      </c>
      <c r="E447" s="239" t="s">
        <v>3512</v>
      </c>
      <c r="F447" s="242" t="s">
        <v>4365</v>
      </c>
      <c r="G447" s="245" t="str">
        <f>IF(COUNTIF(H447:AU447,"&lt;&gt;")=0,"",SUMPRODUCT(((Recommendations[ImplStatus]="Implemented")+(Recommendations[ImplStatus]="Compensated"))*ISNUMBER(MATCH(Recommendations[Id],H447:AU447,0)))/COUNTIF(H447:AU447,"&lt;&gt;"))</f>
        <v/>
      </c>
      <c r="H447" s="246"/>
      <c r="I447" s="246"/>
      <c r="J447" s="246"/>
      <c r="K447" s="246"/>
      <c r="L447" s="246"/>
      <c r="M447" s="246"/>
      <c r="N447" s="246"/>
      <c r="O447" s="246"/>
      <c r="P447" s="246"/>
      <c r="Q447" s="246"/>
      <c r="R447" s="246"/>
      <c r="S447" s="246"/>
      <c r="T447" s="246"/>
      <c r="U447" s="246"/>
      <c r="V447" s="246"/>
      <c r="W447" s="246"/>
      <c r="X447" s="246"/>
      <c r="Y447" s="246"/>
      <c r="Z447" s="246"/>
      <c r="AA447" s="246"/>
      <c r="AB447" s="246"/>
      <c r="AC447" s="246"/>
      <c r="AD447" s="246"/>
      <c r="AE447" s="246"/>
      <c r="AF447" s="246"/>
      <c r="AG447" s="246"/>
      <c r="AH447" s="246"/>
      <c r="AI447" s="246"/>
      <c r="AJ447" s="246"/>
      <c r="AK447" s="246"/>
      <c r="AL447" s="246"/>
      <c r="AM447" s="246"/>
      <c r="AN447" s="246"/>
      <c r="AO447" s="246"/>
      <c r="AP447" s="246"/>
      <c r="AQ447" s="246"/>
      <c r="AR447" s="246"/>
      <c r="AS447" s="246"/>
      <c r="AT447" s="246"/>
      <c r="AU447" s="260"/>
    </row>
    <row r="448" spans="1:47" ht="60" customHeight="1" x14ac:dyDescent="0.35">
      <c r="A448" s="256" t="s">
        <v>4336</v>
      </c>
      <c r="B448" s="234" t="s">
        <v>4362</v>
      </c>
      <c r="C448" s="235" t="s">
        <v>4382</v>
      </c>
      <c r="D448" s="238" t="s">
        <v>4383</v>
      </c>
      <c r="E448" s="239" t="s">
        <v>3627</v>
      </c>
      <c r="F448" s="242" t="s">
        <v>4365</v>
      </c>
      <c r="G448" s="245" t="str">
        <f>IF(COUNTIF(H448:AU448,"&lt;&gt;")=0,"",SUMPRODUCT(((Recommendations[ImplStatus]="Implemented")+(Recommendations[ImplStatus]="Compensated"))*ISNUMBER(MATCH(Recommendations[Id],H448:AU448,0)))/COUNTIF(H448:AU448,"&lt;&gt;"))</f>
        <v/>
      </c>
      <c r="H448" s="246"/>
      <c r="I448" s="246"/>
      <c r="J448" s="246"/>
      <c r="K448" s="246"/>
      <c r="L448" s="246"/>
      <c r="M448" s="246"/>
      <c r="N448" s="246"/>
      <c r="O448" s="246"/>
      <c r="P448" s="246"/>
      <c r="Q448" s="246"/>
      <c r="R448" s="246"/>
      <c r="S448" s="246"/>
      <c r="T448" s="246"/>
      <c r="U448" s="246"/>
      <c r="V448" s="246"/>
      <c r="W448" s="246"/>
      <c r="X448" s="246"/>
      <c r="Y448" s="246"/>
      <c r="Z448" s="246"/>
      <c r="AA448" s="246"/>
      <c r="AB448" s="246"/>
      <c r="AC448" s="246"/>
      <c r="AD448" s="246"/>
      <c r="AE448" s="246"/>
      <c r="AF448" s="246"/>
      <c r="AG448" s="246"/>
      <c r="AH448" s="246"/>
      <c r="AI448" s="246"/>
      <c r="AJ448" s="246"/>
      <c r="AK448" s="246"/>
      <c r="AL448" s="246"/>
      <c r="AM448" s="246"/>
      <c r="AN448" s="246"/>
      <c r="AO448" s="246"/>
      <c r="AP448" s="246"/>
      <c r="AQ448" s="246"/>
      <c r="AR448" s="246"/>
      <c r="AS448" s="246"/>
      <c r="AT448" s="246"/>
      <c r="AU448" s="260"/>
    </row>
    <row r="449" spans="1:47" ht="60" customHeight="1" x14ac:dyDescent="0.35">
      <c r="A449" s="256" t="s">
        <v>4336</v>
      </c>
      <c r="B449" s="234" t="s">
        <v>4362</v>
      </c>
      <c r="C449" s="235" t="s">
        <v>4384</v>
      </c>
      <c r="D449" s="238" t="s">
        <v>4385</v>
      </c>
      <c r="E449" s="239" t="s">
        <v>3627</v>
      </c>
      <c r="F449" s="242" t="s">
        <v>4365</v>
      </c>
      <c r="G449" s="245" t="str">
        <f>IF(COUNTIF(H449:AU449,"&lt;&gt;")=0,"",SUMPRODUCT(((Recommendations[ImplStatus]="Implemented")+(Recommendations[ImplStatus]="Compensated"))*ISNUMBER(MATCH(Recommendations[Id],H449:AU449,0)))/COUNTIF(H449:AU449,"&lt;&gt;"))</f>
        <v/>
      </c>
      <c r="H449" s="246"/>
      <c r="I449" s="246"/>
      <c r="J449" s="246"/>
      <c r="K449" s="246"/>
      <c r="L449" s="246"/>
      <c r="M449" s="246"/>
      <c r="N449" s="246"/>
      <c r="O449" s="246"/>
      <c r="P449" s="246"/>
      <c r="Q449" s="246"/>
      <c r="R449" s="246"/>
      <c r="S449" s="246"/>
      <c r="T449" s="246"/>
      <c r="U449" s="246"/>
      <c r="V449" s="246"/>
      <c r="W449" s="246"/>
      <c r="X449" s="246"/>
      <c r="Y449" s="246"/>
      <c r="Z449" s="246"/>
      <c r="AA449" s="246"/>
      <c r="AB449" s="246"/>
      <c r="AC449" s="246"/>
      <c r="AD449" s="246"/>
      <c r="AE449" s="246"/>
      <c r="AF449" s="246"/>
      <c r="AG449" s="246"/>
      <c r="AH449" s="246"/>
      <c r="AI449" s="246"/>
      <c r="AJ449" s="246"/>
      <c r="AK449" s="246"/>
      <c r="AL449" s="246"/>
      <c r="AM449" s="246"/>
      <c r="AN449" s="246"/>
      <c r="AO449" s="246"/>
      <c r="AP449" s="246"/>
      <c r="AQ449" s="246"/>
      <c r="AR449" s="246"/>
      <c r="AS449" s="246"/>
      <c r="AT449" s="246"/>
      <c r="AU449" s="260"/>
    </row>
    <row r="450" spans="1:47" ht="60" customHeight="1" outlineLevel="1" x14ac:dyDescent="0.35">
      <c r="A450" s="254" t="s">
        <v>4386</v>
      </c>
      <c r="B450" s="232"/>
      <c r="C450" s="232"/>
      <c r="D450" s="236"/>
      <c r="E450" s="232"/>
      <c r="F450" s="240"/>
      <c r="G450" s="243" t="str">
        <f>IF(COUNTIF(H450:AU450,"&lt;&gt;")=0,"",SUMPRODUCT(((Recommendations[ImplStatus]="Implemented")+(Recommendations[ImplStatus]="Compensated"))*ISNUMBER(MATCH(Recommendations[Id],H450:AU450,0)))/COUNTIF(H450:AU450,"&lt;&gt;"))</f>
        <v/>
      </c>
      <c r="H450" s="240"/>
      <c r="I450" s="240"/>
      <c r="J450" s="240"/>
      <c r="K450" s="240"/>
      <c r="L450" s="240"/>
      <c r="M450" s="240"/>
      <c r="N450" s="240"/>
      <c r="O450" s="240"/>
      <c r="P450" s="240"/>
      <c r="Q450" s="240"/>
      <c r="R450" s="240"/>
      <c r="S450" s="240"/>
      <c r="T450" s="240"/>
      <c r="U450" s="240"/>
      <c r="V450" s="240"/>
      <c r="W450" s="240"/>
      <c r="X450" s="240"/>
      <c r="Y450" s="240"/>
      <c r="Z450" s="240"/>
      <c r="AA450" s="240"/>
      <c r="AB450" s="240"/>
      <c r="AC450" s="240"/>
      <c r="AD450" s="240"/>
      <c r="AE450" s="240"/>
      <c r="AF450" s="240"/>
      <c r="AG450" s="240"/>
      <c r="AH450" s="240"/>
      <c r="AI450" s="240"/>
      <c r="AJ450" s="240"/>
      <c r="AK450" s="240"/>
      <c r="AL450" s="240"/>
      <c r="AM450" s="240"/>
      <c r="AN450" s="240"/>
      <c r="AO450" s="240"/>
      <c r="AP450" s="240"/>
      <c r="AQ450" s="240"/>
      <c r="AR450" s="240"/>
      <c r="AS450" s="240"/>
      <c r="AT450" s="240"/>
      <c r="AU450" s="258"/>
    </row>
    <row r="451" spans="1:47" ht="60" customHeight="1" outlineLevel="2" x14ac:dyDescent="0.35">
      <c r="A451" s="255" t="s">
        <v>4386</v>
      </c>
      <c r="B451" s="233" t="s">
        <v>4387</v>
      </c>
      <c r="C451" s="233"/>
      <c r="D451" s="237"/>
      <c r="E451" s="233"/>
      <c r="F451" s="241"/>
      <c r="G451" s="244" t="str">
        <f>IF(COUNTIF(H451:AU451,"&lt;&gt;")=0,"",SUMPRODUCT(((Recommendations[ImplStatus]="Implemented")+(Recommendations[ImplStatus]="Compensated"))*ISNUMBER(MATCH(Recommendations[Id],H451:AU451,0)))/COUNTIF(H451:AU451,"&lt;&gt;"))</f>
        <v/>
      </c>
      <c r="H451" s="241"/>
      <c r="I451" s="241"/>
      <c r="J451" s="241"/>
      <c r="K451" s="241"/>
      <c r="L451" s="241"/>
      <c r="M451" s="241"/>
      <c r="N451" s="241"/>
      <c r="O451" s="241"/>
      <c r="P451" s="241"/>
      <c r="Q451" s="241"/>
      <c r="R451" s="241"/>
      <c r="S451" s="241"/>
      <c r="T451" s="241"/>
      <c r="U451" s="241"/>
      <c r="V451" s="241"/>
      <c r="W451" s="241"/>
      <c r="X451" s="241"/>
      <c r="Y451" s="241"/>
      <c r="Z451" s="241"/>
      <c r="AA451" s="241"/>
      <c r="AB451" s="241"/>
      <c r="AC451" s="241"/>
      <c r="AD451" s="241"/>
      <c r="AE451" s="241"/>
      <c r="AF451" s="241"/>
      <c r="AG451" s="241"/>
      <c r="AH451" s="241"/>
      <c r="AI451" s="241"/>
      <c r="AJ451" s="241"/>
      <c r="AK451" s="241"/>
      <c r="AL451" s="241"/>
      <c r="AM451" s="241"/>
      <c r="AN451" s="241"/>
      <c r="AO451" s="241"/>
      <c r="AP451" s="241"/>
      <c r="AQ451" s="241"/>
      <c r="AR451" s="241"/>
      <c r="AS451" s="241"/>
      <c r="AT451" s="241"/>
      <c r="AU451" s="259"/>
    </row>
    <row r="452" spans="1:47" ht="60" customHeight="1" x14ac:dyDescent="0.35">
      <c r="A452" s="256" t="s">
        <v>4386</v>
      </c>
      <c r="B452" s="234" t="s">
        <v>4387</v>
      </c>
      <c r="C452" s="235" t="s">
        <v>4388</v>
      </c>
      <c r="D452" s="238" t="s">
        <v>4389</v>
      </c>
      <c r="E452" s="239" t="s">
        <v>3483</v>
      </c>
      <c r="F452" s="242" t="s">
        <v>4390</v>
      </c>
      <c r="G452" s="245" t="str">
        <f>IF(COUNTIF(H452:AU452,"&lt;&gt;")=0,"",SUMPRODUCT(((Recommendations[ImplStatus]="Implemented")+(Recommendations[ImplStatus]="Compensated"))*ISNUMBER(MATCH(Recommendations[Id],H452:AU452,0)))/COUNTIF(H452:AU452,"&lt;&gt;"))</f>
        <v/>
      </c>
      <c r="H452" s="246"/>
      <c r="I452" s="246"/>
      <c r="J452" s="246"/>
      <c r="K452" s="246"/>
      <c r="L452" s="246"/>
      <c r="M452" s="246"/>
      <c r="N452" s="246"/>
      <c r="O452" s="246"/>
      <c r="P452" s="246"/>
      <c r="Q452" s="246"/>
      <c r="R452" s="246"/>
      <c r="S452" s="246"/>
      <c r="T452" s="246"/>
      <c r="U452" s="246"/>
      <c r="V452" s="246"/>
      <c r="W452" s="246"/>
      <c r="X452" s="246"/>
      <c r="Y452" s="246"/>
      <c r="Z452" s="246"/>
      <c r="AA452" s="246"/>
      <c r="AB452" s="246"/>
      <c r="AC452" s="246"/>
      <c r="AD452" s="246"/>
      <c r="AE452" s="246"/>
      <c r="AF452" s="246"/>
      <c r="AG452" s="246"/>
      <c r="AH452" s="246"/>
      <c r="AI452" s="246"/>
      <c r="AJ452" s="246"/>
      <c r="AK452" s="246"/>
      <c r="AL452" s="246"/>
      <c r="AM452" s="246"/>
      <c r="AN452" s="246"/>
      <c r="AO452" s="246"/>
      <c r="AP452" s="246"/>
      <c r="AQ452" s="246"/>
      <c r="AR452" s="246"/>
      <c r="AS452" s="246"/>
      <c r="AT452" s="246"/>
      <c r="AU452" s="260"/>
    </row>
    <row r="453" spans="1:47" ht="60" customHeight="1" x14ac:dyDescent="0.35">
      <c r="A453" s="256" t="s">
        <v>4386</v>
      </c>
      <c r="B453" s="234" t="s">
        <v>4387</v>
      </c>
      <c r="C453" s="235" t="s">
        <v>4391</v>
      </c>
      <c r="D453" s="238" t="s">
        <v>4392</v>
      </c>
      <c r="E453" s="239" t="s">
        <v>3483</v>
      </c>
      <c r="F453" s="242" t="s">
        <v>4390</v>
      </c>
      <c r="G453" s="245" t="str">
        <f>IF(COUNTIF(H453:AU453,"&lt;&gt;")=0,"",SUMPRODUCT(((Recommendations[ImplStatus]="Implemented")+(Recommendations[ImplStatus]="Compensated"))*ISNUMBER(MATCH(Recommendations[Id],H453:AU453,0)))/COUNTIF(H453:AU453,"&lt;&gt;"))</f>
        <v/>
      </c>
      <c r="H453" s="246"/>
      <c r="I453" s="246"/>
      <c r="J453" s="246"/>
      <c r="K453" s="246"/>
      <c r="L453" s="246"/>
      <c r="M453" s="246"/>
      <c r="N453" s="246"/>
      <c r="O453" s="246"/>
      <c r="P453" s="246"/>
      <c r="Q453" s="246"/>
      <c r="R453" s="246"/>
      <c r="S453" s="246"/>
      <c r="T453" s="246"/>
      <c r="U453" s="246"/>
      <c r="V453" s="246"/>
      <c r="W453" s="246"/>
      <c r="X453" s="246"/>
      <c r="Y453" s="246"/>
      <c r="Z453" s="246"/>
      <c r="AA453" s="246"/>
      <c r="AB453" s="246"/>
      <c r="AC453" s="246"/>
      <c r="AD453" s="246"/>
      <c r="AE453" s="246"/>
      <c r="AF453" s="246"/>
      <c r="AG453" s="246"/>
      <c r="AH453" s="246"/>
      <c r="AI453" s="246"/>
      <c r="AJ453" s="246"/>
      <c r="AK453" s="246"/>
      <c r="AL453" s="246"/>
      <c r="AM453" s="246"/>
      <c r="AN453" s="246"/>
      <c r="AO453" s="246"/>
      <c r="AP453" s="246"/>
      <c r="AQ453" s="246"/>
      <c r="AR453" s="246"/>
      <c r="AS453" s="246"/>
      <c r="AT453" s="246"/>
      <c r="AU453" s="260"/>
    </row>
    <row r="454" spans="1:47" ht="60" customHeight="1" x14ac:dyDescent="0.35">
      <c r="A454" s="256" t="s">
        <v>4386</v>
      </c>
      <c r="B454" s="234" t="s">
        <v>4387</v>
      </c>
      <c r="C454" s="235" t="s">
        <v>4393</v>
      </c>
      <c r="D454" s="238" t="s">
        <v>4394</v>
      </c>
      <c r="E454" s="239" t="s">
        <v>3483</v>
      </c>
      <c r="F454" s="242" t="s">
        <v>4390</v>
      </c>
      <c r="G454" s="245" t="str">
        <f>IF(COUNTIF(H454:AU454,"&lt;&gt;")=0,"",SUMPRODUCT(((Recommendations[ImplStatus]="Implemented")+(Recommendations[ImplStatus]="Compensated"))*ISNUMBER(MATCH(Recommendations[Id],H454:AU454,0)))/COUNTIF(H454:AU454,"&lt;&gt;"))</f>
        <v/>
      </c>
      <c r="H454" s="246"/>
      <c r="I454" s="246"/>
      <c r="J454" s="246"/>
      <c r="K454" s="246"/>
      <c r="L454" s="246"/>
      <c r="M454" s="246"/>
      <c r="N454" s="246"/>
      <c r="O454" s="246"/>
      <c r="P454" s="246"/>
      <c r="Q454" s="246"/>
      <c r="R454" s="246"/>
      <c r="S454" s="246"/>
      <c r="T454" s="246"/>
      <c r="U454" s="246"/>
      <c r="V454" s="246"/>
      <c r="W454" s="246"/>
      <c r="X454" s="246"/>
      <c r="Y454" s="246"/>
      <c r="Z454" s="246"/>
      <c r="AA454" s="246"/>
      <c r="AB454" s="246"/>
      <c r="AC454" s="246"/>
      <c r="AD454" s="246"/>
      <c r="AE454" s="246"/>
      <c r="AF454" s="246"/>
      <c r="AG454" s="246"/>
      <c r="AH454" s="246"/>
      <c r="AI454" s="246"/>
      <c r="AJ454" s="246"/>
      <c r="AK454" s="246"/>
      <c r="AL454" s="246"/>
      <c r="AM454" s="246"/>
      <c r="AN454" s="246"/>
      <c r="AO454" s="246"/>
      <c r="AP454" s="246"/>
      <c r="AQ454" s="246"/>
      <c r="AR454" s="246"/>
      <c r="AS454" s="246"/>
      <c r="AT454" s="246"/>
      <c r="AU454" s="260"/>
    </row>
    <row r="455" spans="1:47" ht="60" customHeight="1" x14ac:dyDescent="0.35">
      <c r="A455" s="256" t="s">
        <v>4386</v>
      </c>
      <c r="B455" s="234" t="s">
        <v>4387</v>
      </c>
      <c r="C455" s="235" t="s">
        <v>4395</v>
      </c>
      <c r="D455" s="238" t="s">
        <v>4396</v>
      </c>
      <c r="E455" s="239" t="s">
        <v>3483</v>
      </c>
      <c r="F455" s="242" t="s">
        <v>4390</v>
      </c>
      <c r="G455" s="245" t="str">
        <f>IF(COUNTIF(H455:AU455,"&lt;&gt;")=0,"",SUMPRODUCT(((Recommendations[ImplStatus]="Implemented")+(Recommendations[ImplStatus]="Compensated"))*ISNUMBER(MATCH(Recommendations[Id],H455:AU455,0)))/COUNTIF(H455:AU455,"&lt;&gt;"))</f>
        <v/>
      </c>
      <c r="H455" s="246"/>
      <c r="I455" s="246"/>
      <c r="J455" s="246"/>
      <c r="K455" s="246"/>
      <c r="L455" s="246"/>
      <c r="M455" s="246"/>
      <c r="N455" s="246"/>
      <c r="O455" s="246"/>
      <c r="P455" s="246"/>
      <c r="Q455" s="246"/>
      <c r="R455" s="246"/>
      <c r="S455" s="246"/>
      <c r="T455" s="246"/>
      <c r="U455" s="246"/>
      <c r="V455" s="246"/>
      <c r="W455" s="246"/>
      <c r="X455" s="246"/>
      <c r="Y455" s="246"/>
      <c r="Z455" s="246"/>
      <c r="AA455" s="246"/>
      <c r="AB455" s="246"/>
      <c r="AC455" s="246"/>
      <c r="AD455" s="246"/>
      <c r="AE455" s="246"/>
      <c r="AF455" s="246"/>
      <c r="AG455" s="246"/>
      <c r="AH455" s="246"/>
      <c r="AI455" s="246"/>
      <c r="AJ455" s="246"/>
      <c r="AK455" s="246"/>
      <c r="AL455" s="246"/>
      <c r="AM455" s="246"/>
      <c r="AN455" s="246"/>
      <c r="AO455" s="246"/>
      <c r="AP455" s="246"/>
      <c r="AQ455" s="246"/>
      <c r="AR455" s="246"/>
      <c r="AS455" s="246"/>
      <c r="AT455" s="246"/>
      <c r="AU455" s="260"/>
    </row>
    <row r="456" spans="1:47" ht="60" customHeight="1" x14ac:dyDescent="0.35">
      <c r="A456" s="256" t="s">
        <v>4386</v>
      </c>
      <c r="B456" s="234" t="s">
        <v>4387</v>
      </c>
      <c r="C456" s="235" t="s">
        <v>4397</v>
      </c>
      <c r="D456" s="238" t="s">
        <v>4398</v>
      </c>
      <c r="E456" s="239" t="s">
        <v>3483</v>
      </c>
      <c r="F456" s="242" t="s">
        <v>4390</v>
      </c>
      <c r="G456" s="245" t="str">
        <f>IF(COUNTIF(H456:AU456,"&lt;&gt;")=0,"",SUMPRODUCT(((Recommendations[ImplStatus]="Implemented")+(Recommendations[ImplStatus]="Compensated"))*ISNUMBER(MATCH(Recommendations[Id],H456:AU456,0)))/COUNTIF(H456:AU456,"&lt;&gt;"))</f>
        <v/>
      </c>
      <c r="H456" s="246"/>
      <c r="I456" s="246"/>
      <c r="J456" s="246"/>
      <c r="K456" s="246"/>
      <c r="L456" s="246"/>
      <c r="M456" s="246"/>
      <c r="N456" s="246"/>
      <c r="O456" s="246"/>
      <c r="P456" s="246"/>
      <c r="Q456" s="246"/>
      <c r="R456" s="246"/>
      <c r="S456" s="246"/>
      <c r="T456" s="246"/>
      <c r="U456" s="246"/>
      <c r="V456" s="246"/>
      <c r="W456" s="246"/>
      <c r="X456" s="246"/>
      <c r="Y456" s="246"/>
      <c r="Z456" s="246"/>
      <c r="AA456" s="246"/>
      <c r="AB456" s="246"/>
      <c r="AC456" s="246"/>
      <c r="AD456" s="246"/>
      <c r="AE456" s="246"/>
      <c r="AF456" s="246"/>
      <c r="AG456" s="246"/>
      <c r="AH456" s="246"/>
      <c r="AI456" s="246"/>
      <c r="AJ456" s="246"/>
      <c r="AK456" s="246"/>
      <c r="AL456" s="246"/>
      <c r="AM456" s="246"/>
      <c r="AN456" s="246"/>
      <c r="AO456" s="246"/>
      <c r="AP456" s="246"/>
      <c r="AQ456" s="246"/>
      <c r="AR456" s="246"/>
      <c r="AS456" s="246"/>
      <c r="AT456" s="246"/>
      <c r="AU456" s="260"/>
    </row>
    <row r="457" spans="1:47" ht="60" customHeight="1" x14ac:dyDescent="0.35">
      <c r="A457" s="256" t="s">
        <v>4386</v>
      </c>
      <c r="B457" s="234" t="s">
        <v>4387</v>
      </c>
      <c r="C457" s="235" t="s">
        <v>4399</v>
      </c>
      <c r="D457" s="238" t="s">
        <v>4400</v>
      </c>
      <c r="E457" s="239" t="s">
        <v>3512</v>
      </c>
      <c r="F457" s="242" t="s">
        <v>4390</v>
      </c>
      <c r="G457" s="245" t="str">
        <f>IF(COUNTIF(H457:AU457,"&lt;&gt;")=0,"",SUMPRODUCT(((Recommendations[ImplStatus]="Implemented")+(Recommendations[ImplStatus]="Compensated"))*ISNUMBER(MATCH(Recommendations[Id],H457:AU457,0)))/COUNTIF(H457:AU457,"&lt;&gt;"))</f>
        <v/>
      </c>
      <c r="H457" s="246"/>
      <c r="I457" s="246"/>
      <c r="J457" s="246"/>
      <c r="K457" s="246"/>
      <c r="L457" s="246"/>
      <c r="M457" s="246"/>
      <c r="N457" s="246"/>
      <c r="O457" s="246"/>
      <c r="P457" s="246"/>
      <c r="Q457" s="246"/>
      <c r="R457" s="246"/>
      <c r="S457" s="246"/>
      <c r="T457" s="246"/>
      <c r="U457" s="246"/>
      <c r="V457" s="246"/>
      <c r="W457" s="246"/>
      <c r="X457" s="246"/>
      <c r="Y457" s="246"/>
      <c r="Z457" s="246"/>
      <c r="AA457" s="246"/>
      <c r="AB457" s="246"/>
      <c r="AC457" s="246"/>
      <c r="AD457" s="246"/>
      <c r="AE457" s="246"/>
      <c r="AF457" s="246"/>
      <c r="AG457" s="246"/>
      <c r="AH457" s="246"/>
      <c r="AI457" s="246"/>
      <c r="AJ457" s="246"/>
      <c r="AK457" s="246"/>
      <c r="AL457" s="246"/>
      <c r="AM457" s="246"/>
      <c r="AN457" s="246"/>
      <c r="AO457" s="246"/>
      <c r="AP457" s="246"/>
      <c r="AQ457" s="246"/>
      <c r="AR457" s="246"/>
      <c r="AS457" s="246"/>
      <c r="AT457" s="246"/>
      <c r="AU457" s="260"/>
    </row>
    <row r="458" spans="1:47" ht="60" customHeight="1" x14ac:dyDescent="0.35">
      <c r="A458" s="256" t="s">
        <v>4386</v>
      </c>
      <c r="B458" s="234" t="s">
        <v>4387</v>
      </c>
      <c r="C458" s="235" t="s">
        <v>4401</v>
      </c>
      <c r="D458" s="238" t="s">
        <v>4402</v>
      </c>
      <c r="E458" s="239" t="s">
        <v>3512</v>
      </c>
      <c r="F458" s="242" t="s">
        <v>4390</v>
      </c>
      <c r="G458" s="245" t="str">
        <f>IF(COUNTIF(H458:AU458,"&lt;&gt;")=0,"",SUMPRODUCT(((Recommendations[ImplStatus]="Implemented")+(Recommendations[ImplStatus]="Compensated"))*ISNUMBER(MATCH(Recommendations[Id],H458:AU458,0)))/COUNTIF(H458:AU458,"&lt;&gt;"))</f>
        <v/>
      </c>
      <c r="H458" s="246"/>
      <c r="I458" s="246"/>
      <c r="J458" s="246"/>
      <c r="K458" s="246"/>
      <c r="L458" s="246"/>
      <c r="M458" s="246"/>
      <c r="N458" s="246"/>
      <c r="O458" s="246"/>
      <c r="P458" s="246"/>
      <c r="Q458" s="246"/>
      <c r="R458" s="246"/>
      <c r="S458" s="246"/>
      <c r="T458" s="246"/>
      <c r="U458" s="246"/>
      <c r="V458" s="246"/>
      <c r="W458" s="246"/>
      <c r="X458" s="246"/>
      <c r="Y458" s="246"/>
      <c r="Z458" s="246"/>
      <c r="AA458" s="246"/>
      <c r="AB458" s="246"/>
      <c r="AC458" s="246"/>
      <c r="AD458" s="246"/>
      <c r="AE458" s="246"/>
      <c r="AF458" s="246"/>
      <c r="AG458" s="246"/>
      <c r="AH458" s="246"/>
      <c r="AI458" s="246"/>
      <c r="AJ458" s="246"/>
      <c r="AK458" s="246"/>
      <c r="AL458" s="246"/>
      <c r="AM458" s="246"/>
      <c r="AN458" s="246"/>
      <c r="AO458" s="246"/>
      <c r="AP458" s="246"/>
      <c r="AQ458" s="246"/>
      <c r="AR458" s="246"/>
      <c r="AS458" s="246"/>
      <c r="AT458" s="246"/>
      <c r="AU458" s="260"/>
    </row>
    <row r="459" spans="1:47" ht="60" customHeight="1" x14ac:dyDescent="0.35">
      <c r="A459" s="256" t="s">
        <v>4386</v>
      </c>
      <c r="B459" s="234" t="s">
        <v>4387</v>
      </c>
      <c r="C459" s="235" t="s">
        <v>4403</v>
      </c>
      <c r="D459" s="238" t="s">
        <v>4404</v>
      </c>
      <c r="E459" s="239" t="s">
        <v>3512</v>
      </c>
      <c r="F459" s="242" t="s">
        <v>4390</v>
      </c>
      <c r="G459" s="245" t="str">
        <f>IF(COUNTIF(H459:AU459,"&lt;&gt;")=0,"",SUMPRODUCT(((Recommendations[ImplStatus]="Implemented")+(Recommendations[ImplStatus]="Compensated"))*ISNUMBER(MATCH(Recommendations[Id],H459:AU459,0)))/COUNTIF(H459:AU459,"&lt;&gt;"))</f>
        <v/>
      </c>
      <c r="H459" s="246"/>
      <c r="I459" s="246"/>
      <c r="J459" s="246"/>
      <c r="K459" s="246"/>
      <c r="L459" s="246"/>
      <c r="M459" s="246"/>
      <c r="N459" s="246"/>
      <c r="O459" s="246"/>
      <c r="P459" s="246"/>
      <c r="Q459" s="246"/>
      <c r="R459" s="246"/>
      <c r="S459" s="246"/>
      <c r="T459" s="246"/>
      <c r="U459" s="246"/>
      <c r="V459" s="246"/>
      <c r="W459" s="246"/>
      <c r="X459" s="246"/>
      <c r="Y459" s="246"/>
      <c r="Z459" s="246"/>
      <c r="AA459" s="246"/>
      <c r="AB459" s="246"/>
      <c r="AC459" s="246"/>
      <c r="AD459" s="246"/>
      <c r="AE459" s="246"/>
      <c r="AF459" s="246"/>
      <c r="AG459" s="246"/>
      <c r="AH459" s="246"/>
      <c r="AI459" s="246"/>
      <c r="AJ459" s="246"/>
      <c r="AK459" s="246"/>
      <c r="AL459" s="246"/>
      <c r="AM459" s="246"/>
      <c r="AN459" s="246"/>
      <c r="AO459" s="246"/>
      <c r="AP459" s="246"/>
      <c r="AQ459" s="246"/>
      <c r="AR459" s="246"/>
      <c r="AS459" s="246"/>
      <c r="AT459" s="246"/>
      <c r="AU459" s="260"/>
    </row>
    <row r="460" spans="1:47" ht="60" customHeight="1" x14ac:dyDescent="0.35">
      <c r="A460" s="256" t="s">
        <v>4386</v>
      </c>
      <c r="B460" s="234" t="s">
        <v>4387</v>
      </c>
      <c r="C460" s="235" t="s">
        <v>4405</v>
      </c>
      <c r="D460" s="238" t="s">
        <v>4406</v>
      </c>
      <c r="E460" s="239" t="s">
        <v>3512</v>
      </c>
      <c r="F460" s="242" t="s">
        <v>4390</v>
      </c>
      <c r="G460" s="245" t="str">
        <f>IF(COUNTIF(H460:AU460,"&lt;&gt;")=0,"",SUMPRODUCT(((Recommendations[ImplStatus]="Implemented")+(Recommendations[ImplStatus]="Compensated"))*ISNUMBER(MATCH(Recommendations[Id],H460:AU460,0)))/COUNTIF(H460:AU460,"&lt;&gt;"))</f>
        <v/>
      </c>
      <c r="H460" s="246"/>
      <c r="I460" s="246"/>
      <c r="J460" s="246"/>
      <c r="K460" s="246"/>
      <c r="L460" s="246"/>
      <c r="M460" s="246"/>
      <c r="N460" s="246"/>
      <c r="O460" s="246"/>
      <c r="P460" s="246"/>
      <c r="Q460" s="246"/>
      <c r="R460" s="246"/>
      <c r="S460" s="246"/>
      <c r="T460" s="246"/>
      <c r="U460" s="246"/>
      <c r="V460" s="246"/>
      <c r="W460" s="246"/>
      <c r="X460" s="246"/>
      <c r="Y460" s="246"/>
      <c r="Z460" s="246"/>
      <c r="AA460" s="246"/>
      <c r="AB460" s="246"/>
      <c r="AC460" s="246"/>
      <c r="AD460" s="246"/>
      <c r="AE460" s="246"/>
      <c r="AF460" s="246"/>
      <c r="AG460" s="246"/>
      <c r="AH460" s="246"/>
      <c r="AI460" s="246"/>
      <c r="AJ460" s="246"/>
      <c r="AK460" s="246"/>
      <c r="AL460" s="246"/>
      <c r="AM460" s="246"/>
      <c r="AN460" s="246"/>
      <c r="AO460" s="246"/>
      <c r="AP460" s="246"/>
      <c r="AQ460" s="246"/>
      <c r="AR460" s="246"/>
      <c r="AS460" s="246"/>
      <c r="AT460" s="246"/>
      <c r="AU460" s="260"/>
    </row>
    <row r="461" spans="1:47" ht="60" customHeight="1" x14ac:dyDescent="0.35">
      <c r="A461" s="256" t="s">
        <v>4386</v>
      </c>
      <c r="B461" s="234" t="s">
        <v>4387</v>
      </c>
      <c r="C461" s="235" t="s">
        <v>4407</v>
      </c>
      <c r="D461" s="238" t="s">
        <v>4408</v>
      </c>
      <c r="E461" s="239" t="s">
        <v>3512</v>
      </c>
      <c r="F461" s="242" t="s">
        <v>4390</v>
      </c>
      <c r="G461" s="245" t="str">
        <f>IF(COUNTIF(H461:AU461,"&lt;&gt;")=0,"",SUMPRODUCT(((Recommendations[ImplStatus]="Implemented")+(Recommendations[ImplStatus]="Compensated"))*ISNUMBER(MATCH(Recommendations[Id],H461:AU461,0)))/COUNTIF(H461:AU461,"&lt;&gt;"))</f>
        <v/>
      </c>
      <c r="H461" s="246"/>
      <c r="I461" s="246"/>
      <c r="J461" s="246"/>
      <c r="K461" s="246"/>
      <c r="L461" s="246"/>
      <c r="M461" s="246"/>
      <c r="N461" s="246"/>
      <c r="O461" s="246"/>
      <c r="P461" s="246"/>
      <c r="Q461" s="246"/>
      <c r="R461" s="246"/>
      <c r="S461" s="246"/>
      <c r="T461" s="246"/>
      <c r="U461" s="246"/>
      <c r="V461" s="246"/>
      <c r="W461" s="246"/>
      <c r="X461" s="246"/>
      <c r="Y461" s="246"/>
      <c r="Z461" s="246"/>
      <c r="AA461" s="246"/>
      <c r="AB461" s="246"/>
      <c r="AC461" s="246"/>
      <c r="AD461" s="246"/>
      <c r="AE461" s="246"/>
      <c r="AF461" s="246"/>
      <c r="AG461" s="246"/>
      <c r="AH461" s="246"/>
      <c r="AI461" s="246"/>
      <c r="AJ461" s="246"/>
      <c r="AK461" s="246"/>
      <c r="AL461" s="246"/>
      <c r="AM461" s="246"/>
      <c r="AN461" s="246"/>
      <c r="AO461" s="246"/>
      <c r="AP461" s="246"/>
      <c r="AQ461" s="246"/>
      <c r="AR461" s="246"/>
      <c r="AS461" s="246"/>
      <c r="AT461" s="246"/>
      <c r="AU461" s="260"/>
    </row>
    <row r="462" spans="1:47" ht="60" customHeight="1" x14ac:dyDescent="0.35">
      <c r="A462" s="256" t="s">
        <v>4386</v>
      </c>
      <c r="B462" s="234" t="s">
        <v>4387</v>
      </c>
      <c r="C462" s="235" t="s">
        <v>4409</v>
      </c>
      <c r="D462" s="238" t="s">
        <v>4410</v>
      </c>
      <c r="E462" s="239" t="s">
        <v>3512</v>
      </c>
      <c r="F462" s="242" t="s">
        <v>4390</v>
      </c>
      <c r="G462" s="245" t="str">
        <f>IF(COUNTIF(H462:AU462,"&lt;&gt;")=0,"",SUMPRODUCT(((Recommendations[ImplStatus]="Implemented")+(Recommendations[ImplStatus]="Compensated"))*ISNUMBER(MATCH(Recommendations[Id],H462:AU462,0)))/COUNTIF(H462:AU462,"&lt;&gt;"))</f>
        <v/>
      </c>
      <c r="H462" s="246"/>
      <c r="I462" s="246"/>
      <c r="J462" s="246"/>
      <c r="K462" s="246"/>
      <c r="L462" s="246"/>
      <c r="M462" s="246"/>
      <c r="N462" s="246"/>
      <c r="O462" s="246"/>
      <c r="P462" s="246"/>
      <c r="Q462" s="246"/>
      <c r="R462" s="246"/>
      <c r="S462" s="246"/>
      <c r="T462" s="246"/>
      <c r="U462" s="246"/>
      <c r="V462" s="246"/>
      <c r="W462" s="246"/>
      <c r="X462" s="246"/>
      <c r="Y462" s="246"/>
      <c r="Z462" s="246"/>
      <c r="AA462" s="246"/>
      <c r="AB462" s="246"/>
      <c r="AC462" s="246"/>
      <c r="AD462" s="246"/>
      <c r="AE462" s="246"/>
      <c r="AF462" s="246"/>
      <c r="AG462" s="246"/>
      <c r="AH462" s="246"/>
      <c r="AI462" s="246"/>
      <c r="AJ462" s="246"/>
      <c r="AK462" s="246"/>
      <c r="AL462" s="246"/>
      <c r="AM462" s="246"/>
      <c r="AN462" s="246"/>
      <c r="AO462" s="246"/>
      <c r="AP462" s="246"/>
      <c r="AQ462" s="246"/>
      <c r="AR462" s="246"/>
      <c r="AS462" s="246"/>
      <c r="AT462" s="246"/>
      <c r="AU462" s="260"/>
    </row>
    <row r="463" spans="1:47" ht="60" customHeight="1" x14ac:dyDescent="0.35">
      <c r="A463" s="256" t="s">
        <v>4386</v>
      </c>
      <c r="B463" s="234" t="s">
        <v>4387</v>
      </c>
      <c r="C463" s="235" t="s">
        <v>4411</v>
      </c>
      <c r="D463" s="238" t="s">
        <v>4412</v>
      </c>
      <c r="E463" s="239" t="s">
        <v>3512</v>
      </c>
      <c r="F463" s="242" t="s">
        <v>4390</v>
      </c>
      <c r="G463" s="245" t="str">
        <f>IF(COUNTIF(H463:AU463,"&lt;&gt;")=0,"",SUMPRODUCT(((Recommendations[ImplStatus]="Implemented")+(Recommendations[ImplStatus]="Compensated"))*ISNUMBER(MATCH(Recommendations[Id],H463:AU463,0)))/COUNTIF(H463:AU463,"&lt;&gt;"))</f>
        <v/>
      </c>
      <c r="H463" s="246"/>
      <c r="I463" s="246"/>
      <c r="J463" s="246"/>
      <c r="K463" s="246"/>
      <c r="L463" s="246"/>
      <c r="M463" s="246"/>
      <c r="N463" s="246"/>
      <c r="O463" s="246"/>
      <c r="P463" s="246"/>
      <c r="Q463" s="246"/>
      <c r="R463" s="246"/>
      <c r="S463" s="246"/>
      <c r="T463" s="246"/>
      <c r="U463" s="246"/>
      <c r="V463" s="246"/>
      <c r="W463" s="246"/>
      <c r="X463" s="246"/>
      <c r="Y463" s="246"/>
      <c r="Z463" s="246"/>
      <c r="AA463" s="246"/>
      <c r="AB463" s="246"/>
      <c r="AC463" s="246"/>
      <c r="AD463" s="246"/>
      <c r="AE463" s="246"/>
      <c r="AF463" s="246"/>
      <c r="AG463" s="246"/>
      <c r="AH463" s="246"/>
      <c r="AI463" s="246"/>
      <c r="AJ463" s="246"/>
      <c r="AK463" s="246"/>
      <c r="AL463" s="246"/>
      <c r="AM463" s="246"/>
      <c r="AN463" s="246"/>
      <c r="AO463" s="246"/>
      <c r="AP463" s="246"/>
      <c r="AQ463" s="246"/>
      <c r="AR463" s="246"/>
      <c r="AS463" s="246"/>
      <c r="AT463" s="246"/>
      <c r="AU463" s="260"/>
    </row>
    <row r="464" spans="1:47" ht="60" customHeight="1" x14ac:dyDescent="0.35">
      <c r="A464" s="256" t="s">
        <v>4386</v>
      </c>
      <c r="B464" s="234" t="s">
        <v>4387</v>
      </c>
      <c r="C464" s="235" t="s">
        <v>4413</v>
      </c>
      <c r="D464" s="238" t="s">
        <v>4414</v>
      </c>
      <c r="E464" s="239" t="s">
        <v>3512</v>
      </c>
      <c r="F464" s="242" t="s">
        <v>4390</v>
      </c>
      <c r="G464" s="245" t="str">
        <f>IF(COUNTIF(H464:AU464,"&lt;&gt;")=0,"",SUMPRODUCT(((Recommendations[ImplStatus]="Implemented")+(Recommendations[ImplStatus]="Compensated"))*ISNUMBER(MATCH(Recommendations[Id],H464:AU464,0)))/COUNTIF(H464:AU464,"&lt;&gt;"))</f>
        <v/>
      </c>
      <c r="H464" s="246"/>
      <c r="I464" s="246"/>
      <c r="J464" s="246"/>
      <c r="K464" s="246"/>
      <c r="L464" s="246"/>
      <c r="M464" s="246"/>
      <c r="N464" s="246"/>
      <c r="O464" s="246"/>
      <c r="P464" s="246"/>
      <c r="Q464" s="246"/>
      <c r="R464" s="246"/>
      <c r="S464" s="246"/>
      <c r="T464" s="246"/>
      <c r="U464" s="246"/>
      <c r="V464" s="246"/>
      <c r="W464" s="246"/>
      <c r="X464" s="246"/>
      <c r="Y464" s="246"/>
      <c r="Z464" s="246"/>
      <c r="AA464" s="246"/>
      <c r="AB464" s="246"/>
      <c r="AC464" s="246"/>
      <c r="AD464" s="246"/>
      <c r="AE464" s="246"/>
      <c r="AF464" s="246"/>
      <c r="AG464" s="246"/>
      <c r="AH464" s="246"/>
      <c r="AI464" s="246"/>
      <c r="AJ464" s="246"/>
      <c r="AK464" s="246"/>
      <c r="AL464" s="246"/>
      <c r="AM464" s="246"/>
      <c r="AN464" s="246"/>
      <c r="AO464" s="246"/>
      <c r="AP464" s="246"/>
      <c r="AQ464" s="246"/>
      <c r="AR464" s="246"/>
      <c r="AS464" s="246"/>
      <c r="AT464" s="246"/>
      <c r="AU464" s="260"/>
    </row>
    <row r="465" spans="1:47" ht="60" customHeight="1" x14ac:dyDescent="0.35">
      <c r="A465" s="256" t="s">
        <v>4386</v>
      </c>
      <c r="B465" s="234" t="s">
        <v>4387</v>
      </c>
      <c r="C465" s="235" t="s">
        <v>4415</v>
      </c>
      <c r="D465" s="238" t="s">
        <v>4416</v>
      </c>
      <c r="E465" s="239" t="s">
        <v>3512</v>
      </c>
      <c r="F465" s="242" t="s">
        <v>4390</v>
      </c>
      <c r="G465" s="245" t="str">
        <f>IF(COUNTIF(H465:AU465,"&lt;&gt;")=0,"",SUMPRODUCT(((Recommendations[ImplStatus]="Implemented")+(Recommendations[ImplStatus]="Compensated"))*ISNUMBER(MATCH(Recommendations[Id],H465:AU465,0)))/COUNTIF(H465:AU465,"&lt;&gt;"))</f>
        <v/>
      </c>
      <c r="H465" s="246"/>
      <c r="I465" s="246"/>
      <c r="J465" s="246"/>
      <c r="K465" s="246"/>
      <c r="L465" s="246"/>
      <c r="M465" s="246"/>
      <c r="N465" s="246"/>
      <c r="O465" s="246"/>
      <c r="P465" s="246"/>
      <c r="Q465" s="246"/>
      <c r="R465" s="246"/>
      <c r="S465" s="246"/>
      <c r="T465" s="246"/>
      <c r="U465" s="246"/>
      <c r="V465" s="246"/>
      <c r="W465" s="246"/>
      <c r="X465" s="246"/>
      <c r="Y465" s="246"/>
      <c r="Z465" s="246"/>
      <c r="AA465" s="246"/>
      <c r="AB465" s="246"/>
      <c r="AC465" s="246"/>
      <c r="AD465" s="246"/>
      <c r="AE465" s="246"/>
      <c r="AF465" s="246"/>
      <c r="AG465" s="246"/>
      <c r="AH465" s="246"/>
      <c r="AI465" s="246"/>
      <c r="AJ465" s="246"/>
      <c r="AK465" s="246"/>
      <c r="AL465" s="246"/>
      <c r="AM465" s="246"/>
      <c r="AN465" s="246"/>
      <c r="AO465" s="246"/>
      <c r="AP465" s="246"/>
      <c r="AQ465" s="246"/>
      <c r="AR465" s="246"/>
      <c r="AS465" s="246"/>
      <c r="AT465" s="246"/>
      <c r="AU465" s="260"/>
    </row>
    <row r="466" spans="1:47" ht="60" customHeight="1" outlineLevel="2" x14ac:dyDescent="0.35">
      <c r="A466" s="255" t="s">
        <v>4386</v>
      </c>
      <c r="B466" s="233" t="s">
        <v>4417</v>
      </c>
      <c r="C466" s="233"/>
      <c r="D466" s="237"/>
      <c r="E466" s="233"/>
      <c r="F466" s="241"/>
      <c r="G466" s="244" t="str">
        <f>IF(COUNTIF(H466:AU466,"&lt;&gt;")=0,"",SUMPRODUCT(((Recommendations[ImplStatus]="Implemented")+(Recommendations[ImplStatus]="Compensated"))*ISNUMBER(MATCH(Recommendations[Id],H466:AU466,0)))/COUNTIF(H466:AU466,"&lt;&gt;"))</f>
        <v/>
      </c>
      <c r="H466" s="241"/>
      <c r="I466" s="241"/>
      <c r="J466" s="241"/>
      <c r="K466" s="241"/>
      <c r="L466" s="241"/>
      <c r="M466" s="241"/>
      <c r="N466" s="241"/>
      <c r="O466" s="241"/>
      <c r="P466" s="241"/>
      <c r="Q466" s="241"/>
      <c r="R466" s="241"/>
      <c r="S466" s="241"/>
      <c r="T466" s="241"/>
      <c r="U466" s="241"/>
      <c r="V466" s="241"/>
      <c r="W466" s="241"/>
      <c r="X466" s="241"/>
      <c r="Y466" s="241"/>
      <c r="Z466" s="241"/>
      <c r="AA466" s="241"/>
      <c r="AB466" s="241"/>
      <c r="AC466" s="241"/>
      <c r="AD466" s="241"/>
      <c r="AE466" s="241"/>
      <c r="AF466" s="241"/>
      <c r="AG466" s="241"/>
      <c r="AH466" s="241"/>
      <c r="AI466" s="241"/>
      <c r="AJ466" s="241"/>
      <c r="AK466" s="241"/>
      <c r="AL466" s="241"/>
      <c r="AM466" s="241"/>
      <c r="AN466" s="241"/>
      <c r="AO466" s="241"/>
      <c r="AP466" s="241"/>
      <c r="AQ466" s="241"/>
      <c r="AR466" s="241"/>
      <c r="AS466" s="241"/>
      <c r="AT466" s="241"/>
      <c r="AU466" s="259"/>
    </row>
    <row r="467" spans="1:47" ht="60" customHeight="1" x14ac:dyDescent="0.35">
      <c r="A467" s="256" t="s">
        <v>4386</v>
      </c>
      <c r="B467" s="234" t="s">
        <v>4417</v>
      </c>
      <c r="C467" s="235" t="s">
        <v>4418</v>
      </c>
      <c r="D467" s="238" t="s">
        <v>4419</v>
      </c>
      <c r="E467" s="239" t="s">
        <v>3483</v>
      </c>
      <c r="F467" s="242" t="s">
        <v>3622</v>
      </c>
      <c r="G467" s="245" t="str">
        <f>IF(COUNTIF(H467:AU467,"&lt;&gt;")=0,"",SUMPRODUCT(((Recommendations[ImplStatus]="Implemented")+(Recommendations[ImplStatus]="Compensated"))*ISNUMBER(MATCH(Recommendations[Id],H467:AU467,0)))/COUNTIF(H467:AU467,"&lt;&gt;"))</f>
        <v/>
      </c>
      <c r="H467" s="246"/>
      <c r="I467" s="246"/>
      <c r="J467" s="246"/>
      <c r="K467" s="246"/>
      <c r="L467" s="246"/>
      <c r="M467" s="246"/>
      <c r="N467" s="246"/>
      <c r="O467" s="246"/>
      <c r="P467" s="246"/>
      <c r="Q467" s="246"/>
      <c r="R467" s="246"/>
      <c r="S467" s="246"/>
      <c r="T467" s="246"/>
      <c r="U467" s="246"/>
      <c r="V467" s="246"/>
      <c r="W467" s="246"/>
      <c r="X467" s="246"/>
      <c r="Y467" s="246"/>
      <c r="Z467" s="246"/>
      <c r="AA467" s="246"/>
      <c r="AB467" s="246"/>
      <c r="AC467" s="246"/>
      <c r="AD467" s="246"/>
      <c r="AE467" s="246"/>
      <c r="AF467" s="246"/>
      <c r="AG467" s="246"/>
      <c r="AH467" s="246"/>
      <c r="AI467" s="246"/>
      <c r="AJ467" s="246"/>
      <c r="AK467" s="246"/>
      <c r="AL467" s="246"/>
      <c r="AM467" s="246"/>
      <c r="AN467" s="246"/>
      <c r="AO467" s="246"/>
      <c r="AP467" s="246"/>
      <c r="AQ467" s="246"/>
      <c r="AR467" s="246"/>
      <c r="AS467" s="246"/>
      <c r="AT467" s="246"/>
      <c r="AU467" s="260"/>
    </row>
    <row r="468" spans="1:47" ht="60" customHeight="1" x14ac:dyDescent="0.35">
      <c r="A468" s="256" t="s">
        <v>4386</v>
      </c>
      <c r="B468" s="234" t="s">
        <v>4417</v>
      </c>
      <c r="C468" s="235" t="s">
        <v>4420</v>
      </c>
      <c r="D468" s="238" t="s">
        <v>4421</v>
      </c>
      <c r="E468" s="239" t="s">
        <v>3483</v>
      </c>
      <c r="F468" s="242" t="s">
        <v>3622</v>
      </c>
      <c r="G468" s="245" t="str">
        <f>IF(COUNTIF(H468:AU468,"&lt;&gt;")=0,"",SUMPRODUCT(((Recommendations[ImplStatus]="Implemented")+(Recommendations[ImplStatus]="Compensated"))*ISNUMBER(MATCH(Recommendations[Id],H468:AU468,0)))/COUNTIF(H468:AU468,"&lt;&gt;"))</f>
        <v/>
      </c>
      <c r="H468" s="246"/>
      <c r="I468" s="246"/>
      <c r="J468" s="246"/>
      <c r="K468" s="246"/>
      <c r="L468" s="246"/>
      <c r="M468" s="246"/>
      <c r="N468" s="246"/>
      <c r="O468" s="246"/>
      <c r="P468" s="246"/>
      <c r="Q468" s="246"/>
      <c r="R468" s="246"/>
      <c r="S468" s="246"/>
      <c r="T468" s="246"/>
      <c r="U468" s="246"/>
      <c r="V468" s="246"/>
      <c r="W468" s="246"/>
      <c r="X468" s="246"/>
      <c r="Y468" s="246"/>
      <c r="Z468" s="246"/>
      <c r="AA468" s="246"/>
      <c r="AB468" s="246"/>
      <c r="AC468" s="246"/>
      <c r="AD468" s="246"/>
      <c r="AE468" s="246"/>
      <c r="AF468" s="246"/>
      <c r="AG468" s="246"/>
      <c r="AH468" s="246"/>
      <c r="AI468" s="246"/>
      <c r="AJ468" s="246"/>
      <c r="AK468" s="246"/>
      <c r="AL468" s="246"/>
      <c r="AM468" s="246"/>
      <c r="AN468" s="246"/>
      <c r="AO468" s="246"/>
      <c r="AP468" s="246"/>
      <c r="AQ468" s="246"/>
      <c r="AR468" s="246"/>
      <c r="AS468" s="246"/>
      <c r="AT468" s="246"/>
      <c r="AU468" s="260"/>
    </row>
    <row r="469" spans="1:47" ht="60" customHeight="1" x14ac:dyDescent="0.35">
      <c r="A469" s="256" t="s">
        <v>4386</v>
      </c>
      <c r="B469" s="234" t="s">
        <v>4417</v>
      </c>
      <c r="C469" s="235" t="s">
        <v>4422</v>
      </c>
      <c r="D469" s="238" t="s">
        <v>4423</v>
      </c>
      <c r="E469" s="239" t="s">
        <v>3483</v>
      </c>
      <c r="F469" s="242" t="s">
        <v>3622</v>
      </c>
      <c r="G469" s="245" t="str">
        <f>IF(COUNTIF(H469:AU469,"&lt;&gt;")=0,"",SUMPRODUCT(((Recommendations[ImplStatus]="Implemented")+(Recommendations[ImplStatus]="Compensated"))*ISNUMBER(MATCH(Recommendations[Id],H469:AU469,0)))/COUNTIF(H469:AU469,"&lt;&gt;"))</f>
        <v/>
      </c>
      <c r="H469" s="246"/>
      <c r="I469" s="246"/>
      <c r="J469" s="246"/>
      <c r="K469" s="246"/>
      <c r="L469" s="246"/>
      <c r="M469" s="246"/>
      <c r="N469" s="246"/>
      <c r="O469" s="246"/>
      <c r="P469" s="246"/>
      <c r="Q469" s="246"/>
      <c r="R469" s="246"/>
      <c r="S469" s="246"/>
      <c r="T469" s="246"/>
      <c r="U469" s="246"/>
      <c r="V469" s="246"/>
      <c r="W469" s="246"/>
      <c r="X469" s="246"/>
      <c r="Y469" s="246"/>
      <c r="Z469" s="246"/>
      <c r="AA469" s="246"/>
      <c r="AB469" s="246"/>
      <c r="AC469" s="246"/>
      <c r="AD469" s="246"/>
      <c r="AE469" s="246"/>
      <c r="AF469" s="246"/>
      <c r="AG469" s="246"/>
      <c r="AH469" s="246"/>
      <c r="AI469" s="246"/>
      <c r="AJ469" s="246"/>
      <c r="AK469" s="246"/>
      <c r="AL469" s="246"/>
      <c r="AM469" s="246"/>
      <c r="AN469" s="246"/>
      <c r="AO469" s="246"/>
      <c r="AP469" s="246"/>
      <c r="AQ469" s="246"/>
      <c r="AR469" s="246"/>
      <c r="AS469" s="246"/>
      <c r="AT469" s="246"/>
      <c r="AU469" s="260"/>
    </row>
    <row r="470" spans="1:47" ht="60" customHeight="1" x14ac:dyDescent="0.35">
      <c r="A470" s="256" t="s">
        <v>4386</v>
      </c>
      <c r="B470" s="234" t="s">
        <v>4417</v>
      </c>
      <c r="C470" s="235" t="s">
        <v>4424</v>
      </c>
      <c r="D470" s="238" t="s">
        <v>4425</v>
      </c>
      <c r="E470" s="239" t="s">
        <v>3579</v>
      </c>
      <c r="F470" s="242" t="s">
        <v>3991</v>
      </c>
      <c r="G470" s="245" t="str">
        <f>IF(COUNTIF(H470:AU470,"&lt;&gt;")=0,"",SUMPRODUCT(((Recommendations[ImplStatus]="Implemented")+(Recommendations[ImplStatus]="Compensated"))*ISNUMBER(MATCH(Recommendations[Id],H470:AU470,0)))/COUNTIF(H470:AU470,"&lt;&gt;"))</f>
        <v/>
      </c>
      <c r="H470" s="246"/>
      <c r="I470" s="246"/>
      <c r="J470" s="246"/>
      <c r="K470" s="246"/>
      <c r="L470" s="246"/>
      <c r="M470" s="246"/>
      <c r="N470" s="246"/>
      <c r="O470" s="246"/>
      <c r="P470" s="246"/>
      <c r="Q470" s="246"/>
      <c r="R470" s="246"/>
      <c r="S470" s="246"/>
      <c r="T470" s="246"/>
      <c r="U470" s="246"/>
      <c r="V470" s="246"/>
      <c r="W470" s="246"/>
      <c r="X470" s="246"/>
      <c r="Y470" s="246"/>
      <c r="Z470" s="246"/>
      <c r="AA470" s="246"/>
      <c r="AB470" s="246"/>
      <c r="AC470" s="246"/>
      <c r="AD470" s="246"/>
      <c r="AE470" s="246"/>
      <c r="AF470" s="246"/>
      <c r="AG470" s="246"/>
      <c r="AH470" s="246"/>
      <c r="AI470" s="246"/>
      <c r="AJ470" s="246"/>
      <c r="AK470" s="246"/>
      <c r="AL470" s="246"/>
      <c r="AM470" s="246"/>
      <c r="AN470" s="246"/>
      <c r="AO470" s="246"/>
      <c r="AP470" s="246"/>
      <c r="AQ470" s="246"/>
      <c r="AR470" s="246"/>
      <c r="AS470" s="246"/>
      <c r="AT470" s="246"/>
      <c r="AU470" s="260"/>
    </row>
    <row r="471" spans="1:47" ht="60" customHeight="1" x14ac:dyDescent="0.35">
      <c r="A471" s="256" t="s">
        <v>4386</v>
      </c>
      <c r="B471" s="234" t="s">
        <v>4417</v>
      </c>
      <c r="C471" s="235" t="s">
        <v>4426</v>
      </c>
      <c r="D471" s="238" t="s">
        <v>4427</v>
      </c>
      <c r="E471" s="239" t="s">
        <v>3579</v>
      </c>
      <c r="F471" s="242" t="s">
        <v>3991</v>
      </c>
      <c r="G471" s="245" t="str">
        <f>IF(COUNTIF(H471:AU471,"&lt;&gt;")=0,"",SUMPRODUCT(((Recommendations[ImplStatus]="Implemented")+(Recommendations[ImplStatus]="Compensated"))*ISNUMBER(MATCH(Recommendations[Id],H471:AU471,0)))/COUNTIF(H471:AU471,"&lt;&gt;"))</f>
        <v/>
      </c>
      <c r="H471" s="246"/>
      <c r="I471" s="246"/>
      <c r="J471" s="246"/>
      <c r="K471" s="246"/>
      <c r="L471" s="246"/>
      <c r="M471" s="246"/>
      <c r="N471" s="246"/>
      <c r="O471" s="246"/>
      <c r="P471" s="246"/>
      <c r="Q471" s="246"/>
      <c r="R471" s="246"/>
      <c r="S471" s="246"/>
      <c r="T471" s="246"/>
      <c r="U471" s="246"/>
      <c r="V471" s="246"/>
      <c r="W471" s="246"/>
      <c r="X471" s="246"/>
      <c r="Y471" s="246"/>
      <c r="Z471" s="246"/>
      <c r="AA471" s="246"/>
      <c r="AB471" s="246"/>
      <c r="AC471" s="246"/>
      <c r="AD471" s="246"/>
      <c r="AE471" s="246"/>
      <c r="AF471" s="246"/>
      <c r="AG471" s="246"/>
      <c r="AH471" s="246"/>
      <c r="AI471" s="246"/>
      <c r="AJ471" s="246"/>
      <c r="AK471" s="246"/>
      <c r="AL471" s="246"/>
      <c r="AM471" s="246"/>
      <c r="AN471" s="246"/>
      <c r="AO471" s="246"/>
      <c r="AP471" s="246"/>
      <c r="AQ471" s="246"/>
      <c r="AR471" s="246"/>
      <c r="AS471" s="246"/>
      <c r="AT471" s="246"/>
      <c r="AU471" s="260"/>
    </row>
    <row r="472" spans="1:47" ht="60" customHeight="1" x14ac:dyDescent="0.35">
      <c r="A472" s="256" t="s">
        <v>4386</v>
      </c>
      <c r="B472" s="234" t="s">
        <v>4417</v>
      </c>
      <c r="C472" s="235" t="s">
        <v>4428</v>
      </c>
      <c r="D472" s="238" t="s">
        <v>4429</v>
      </c>
      <c r="E472" s="239" t="s">
        <v>3483</v>
      </c>
      <c r="F472" s="242" t="s">
        <v>3991</v>
      </c>
      <c r="G472" s="245" t="str">
        <f>IF(COUNTIF(H472:AU472,"&lt;&gt;")=0,"",SUMPRODUCT(((Recommendations[ImplStatus]="Implemented")+(Recommendations[ImplStatus]="Compensated"))*ISNUMBER(MATCH(Recommendations[Id],H472:AU472,0)))/COUNTIF(H472:AU472,"&lt;&gt;"))</f>
        <v/>
      </c>
      <c r="H472" s="246"/>
      <c r="I472" s="246"/>
      <c r="J472" s="246"/>
      <c r="K472" s="246"/>
      <c r="L472" s="246"/>
      <c r="M472" s="246"/>
      <c r="N472" s="246"/>
      <c r="O472" s="246"/>
      <c r="P472" s="246"/>
      <c r="Q472" s="246"/>
      <c r="R472" s="246"/>
      <c r="S472" s="246"/>
      <c r="T472" s="246"/>
      <c r="U472" s="246"/>
      <c r="V472" s="246"/>
      <c r="W472" s="246"/>
      <c r="X472" s="246"/>
      <c r="Y472" s="246"/>
      <c r="Z472" s="246"/>
      <c r="AA472" s="246"/>
      <c r="AB472" s="246"/>
      <c r="AC472" s="246"/>
      <c r="AD472" s="246"/>
      <c r="AE472" s="246"/>
      <c r="AF472" s="246"/>
      <c r="AG472" s="246"/>
      <c r="AH472" s="246"/>
      <c r="AI472" s="246"/>
      <c r="AJ472" s="246"/>
      <c r="AK472" s="246"/>
      <c r="AL472" s="246"/>
      <c r="AM472" s="246"/>
      <c r="AN472" s="246"/>
      <c r="AO472" s="246"/>
      <c r="AP472" s="246"/>
      <c r="AQ472" s="246"/>
      <c r="AR472" s="246"/>
      <c r="AS472" s="246"/>
      <c r="AT472" s="246"/>
      <c r="AU472" s="260"/>
    </row>
    <row r="473" spans="1:47" ht="60" customHeight="1" x14ac:dyDescent="0.35">
      <c r="A473" s="256" t="s">
        <v>4386</v>
      </c>
      <c r="B473" s="234" t="s">
        <v>4417</v>
      </c>
      <c r="C473" s="235" t="s">
        <v>4430</v>
      </c>
      <c r="D473" s="238" t="s">
        <v>4431</v>
      </c>
      <c r="E473" s="239" t="s">
        <v>3483</v>
      </c>
      <c r="F473" s="242" t="s">
        <v>3930</v>
      </c>
      <c r="G473" s="245" t="str">
        <f>IF(COUNTIF(H473:AU473,"&lt;&gt;")=0,"",SUMPRODUCT(((Recommendations[ImplStatus]="Implemented")+(Recommendations[ImplStatus]="Compensated"))*ISNUMBER(MATCH(Recommendations[Id],H473:AU473,0)))/COUNTIF(H473:AU473,"&lt;&gt;"))</f>
        <v/>
      </c>
      <c r="H473" s="246"/>
      <c r="I473" s="246"/>
      <c r="J473" s="246"/>
      <c r="K473" s="246"/>
      <c r="L473" s="246"/>
      <c r="M473" s="246"/>
      <c r="N473" s="246"/>
      <c r="O473" s="246"/>
      <c r="P473" s="246"/>
      <c r="Q473" s="246"/>
      <c r="R473" s="246"/>
      <c r="S473" s="246"/>
      <c r="T473" s="246"/>
      <c r="U473" s="246"/>
      <c r="V473" s="246"/>
      <c r="W473" s="246"/>
      <c r="X473" s="246"/>
      <c r="Y473" s="246"/>
      <c r="Z473" s="246"/>
      <c r="AA473" s="246"/>
      <c r="AB473" s="246"/>
      <c r="AC473" s="246"/>
      <c r="AD473" s="246"/>
      <c r="AE473" s="246"/>
      <c r="AF473" s="246"/>
      <c r="AG473" s="246"/>
      <c r="AH473" s="246"/>
      <c r="AI473" s="246"/>
      <c r="AJ473" s="246"/>
      <c r="AK473" s="246"/>
      <c r="AL473" s="246"/>
      <c r="AM473" s="246"/>
      <c r="AN473" s="246"/>
      <c r="AO473" s="246"/>
      <c r="AP473" s="246"/>
      <c r="AQ473" s="246"/>
      <c r="AR473" s="246"/>
      <c r="AS473" s="246"/>
      <c r="AT473" s="246"/>
      <c r="AU473" s="260"/>
    </row>
    <row r="474" spans="1:47" ht="60" customHeight="1" x14ac:dyDescent="0.35">
      <c r="A474" s="256" t="s">
        <v>4386</v>
      </c>
      <c r="B474" s="234" t="s">
        <v>4417</v>
      </c>
      <c r="C474" s="235" t="s">
        <v>4432</v>
      </c>
      <c r="D474" s="238" t="s">
        <v>4433</v>
      </c>
      <c r="E474" s="239" t="s">
        <v>3512</v>
      </c>
      <c r="F474" s="242" t="s">
        <v>3930</v>
      </c>
      <c r="G474" s="245" t="str">
        <f>IF(COUNTIF(H474:AU474,"&lt;&gt;")=0,"",SUMPRODUCT(((Recommendations[ImplStatus]="Implemented")+(Recommendations[ImplStatus]="Compensated"))*ISNUMBER(MATCH(Recommendations[Id],H474:AU474,0)))/COUNTIF(H474:AU474,"&lt;&gt;"))</f>
        <v/>
      </c>
      <c r="H474" s="246"/>
      <c r="I474" s="246"/>
      <c r="J474" s="246"/>
      <c r="K474" s="246"/>
      <c r="L474" s="246"/>
      <c r="M474" s="246"/>
      <c r="N474" s="246"/>
      <c r="O474" s="246"/>
      <c r="P474" s="246"/>
      <c r="Q474" s="246"/>
      <c r="R474" s="246"/>
      <c r="S474" s="246"/>
      <c r="T474" s="246"/>
      <c r="U474" s="246"/>
      <c r="V474" s="246"/>
      <c r="W474" s="246"/>
      <c r="X474" s="246"/>
      <c r="Y474" s="246"/>
      <c r="Z474" s="246"/>
      <c r="AA474" s="246"/>
      <c r="AB474" s="246"/>
      <c r="AC474" s="246"/>
      <c r="AD474" s="246"/>
      <c r="AE474" s="246"/>
      <c r="AF474" s="246"/>
      <c r="AG474" s="246"/>
      <c r="AH474" s="246"/>
      <c r="AI474" s="246"/>
      <c r="AJ474" s="246"/>
      <c r="AK474" s="246"/>
      <c r="AL474" s="246"/>
      <c r="AM474" s="246"/>
      <c r="AN474" s="246"/>
      <c r="AO474" s="246"/>
      <c r="AP474" s="246"/>
      <c r="AQ474" s="246"/>
      <c r="AR474" s="246"/>
      <c r="AS474" s="246"/>
      <c r="AT474" s="246"/>
      <c r="AU474" s="260"/>
    </row>
    <row r="475" spans="1:47" ht="60" customHeight="1" x14ac:dyDescent="0.35">
      <c r="A475" s="256" t="s">
        <v>4386</v>
      </c>
      <c r="B475" s="234" t="s">
        <v>4417</v>
      </c>
      <c r="C475" s="235" t="s">
        <v>4434</v>
      </c>
      <c r="D475" s="238" t="s">
        <v>4435</v>
      </c>
      <c r="E475" s="239" t="s">
        <v>3512</v>
      </c>
      <c r="F475" s="242" t="s">
        <v>3930</v>
      </c>
      <c r="G475" s="245" t="str">
        <f>IF(COUNTIF(H475:AU475,"&lt;&gt;")=0,"",SUMPRODUCT(((Recommendations[ImplStatus]="Implemented")+(Recommendations[ImplStatus]="Compensated"))*ISNUMBER(MATCH(Recommendations[Id],H475:AU475,0)))/COUNTIF(H475:AU475,"&lt;&gt;"))</f>
        <v/>
      </c>
      <c r="H475" s="246"/>
      <c r="I475" s="246"/>
      <c r="J475" s="246"/>
      <c r="K475" s="246"/>
      <c r="L475" s="246"/>
      <c r="M475" s="246"/>
      <c r="N475" s="246"/>
      <c r="O475" s="246"/>
      <c r="P475" s="246"/>
      <c r="Q475" s="246"/>
      <c r="R475" s="246"/>
      <c r="S475" s="246"/>
      <c r="T475" s="246"/>
      <c r="U475" s="246"/>
      <c r="V475" s="246"/>
      <c r="W475" s="246"/>
      <c r="X475" s="246"/>
      <c r="Y475" s="246"/>
      <c r="Z475" s="246"/>
      <c r="AA475" s="246"/>
      <c r="AB475" s="246"/>
      <c r="AC475" s="246"/>
      <c r="AD475" s="246"/>
      <c r="AE475" s="246"/>
      <c r="AF475" s="246"/>
      <c r="AG475" s="246"/>
      <c r="AH475" s="246"/>
      <c r="AI475" s="246"/>
      <c r="AJ475" s="246"/>
      <c r="AK475" s="246"/>
      <c r="AL475" s="246"/>
      <c r="AM475" s="246"/>
      <c r="AN475" s="246"/>
      <c r="AO475" s="246"/>
      <c r="AP475" s="246"/>
      <c r="AQ475" s="246"/>
      <c r="AR475" s="246"/>
      <c r="AS475" s="246"/>
      <c r="AT475" s="246"/>
      <c r="AU475" s="260"/>
    </row>
    <row r="476" spans="1:47" ht="60" customHeight="1" x14ac:dyDescent="0.35">
      <c r="A476" s="256" t="s">
        <v>4386</v>
      </c>
      <c r="B476" s="234" t="s">
        <v>4417</v>
      </c>
      <c r="C476" s="235" t="s">
        <v>4436</v>
      </c>
      <c r="D476" s="238" t="s">
        <v>4437</v>
      </c>
      <c r="E476" s="239" t="s">
        <v>3512</v>
      </c>
      <c r="F476" s="242" t="s">
        <v>3930</v>
      </c>
      <c r="G476" s="245" t="str">
        <f>IF(COUNTIF(H476:AU476,"&lt;&gt;")=0,"",SUMPRODUCT(((Recommendations[ImplStatus]="Implemented")+(Recommendations[ImplStatus]="Compensated"))*ISNUMBER(MATCH(Recommendations[Id],H476:AU476,0)))/COUNTIF(H476:AU476,"&lt;&gt;"))</f>
        <v/>
      </c>
      <c r="H476" s="246"/>
      <c r="I476" s="246"/>
      <c r="J476" s="246"/>
      <c r="K476" s="246"/>
      <c r="L476" s="246"/>
      <c r="M476" s="246"/>
      <c r="N476" s="246"/>
      <c r="O476" s="246"/>
      <c r="P476" s="246"/>
      <c r="Q476" s="246"/>
      <c r="R476" s="246"/>
      <c r="S476" s="246"/>
      <c r="T476" s="246"/>
      <c r="U476" s="246"/>
      <c r="V476" s="246"/>
      <c r="W476" s="246"/>
      <c r="X476" s="246"/>
      <c r="Y476" s="246"/>
      <c r="Z476" s="246"/>
      <c r="AA476" s="246"/>
      <c r="AB476" s="246"/>
      <c r="AC476" s="246"/>
      <c r="AD476" s="246"/>
      <c r="AE476" s="246"/>
      <c r="AF476" s="246"/>
      <c r="AG476" s="246"/>
      <c r="AH476" s="246"/>
      <c r="AI476" s="246"/>
      <c r="AJ476" s="246"/>
      <c r="AK476" s="246"/>
      <c r="AL476" s="246"/>
      <c r="AM476" s="246"/>
      <c r="AN476" s="246"/>
      <c r="AO476" s="246"/>
      <c r="AP476" s="246"/>
      <c r="AQ476" s="246"/>
      <c r="AR476" s="246"/>
      <c r="AS476" s="246"/>
      <c r="AT476" s="246"/>
      <c r="AU476" s="260"/>
    </row>
    <row r="477" spans="1:47" ht="60" customHeight="1" x14ac:dyDescent="0.35">
      <c r="A477" s="256" t="s">
        <v>4386</v>
      </c>
      <c r="B477" s="234" t="s">
        <v>4417</v>
      </c>
      <c r="C477" s="235" t="s">
        <v>4438</v>
      </c>
      <c r="D477" s="238" t="s">
        <v>4439</v>
      </c>
      <c r="E477" s="239" t="s">
        <v>3512</v>
      </c>
      <c r="F477" s="242" t="s">
        <v>3930</v>
      </c>
      <c r="G477" s="245" t="str">
        <f>IF(COUNTIF(H477:AU477,"&lt;&gt;")=0,"",SUMPRODUCT(((Recommendations[ImplStatus]="Implemented")+(Recommendations[ImplStatus]="Compensated"))*ISNUMBER(MATCH(Recommendations[Id],H477:AU477,0)))/COUNTIF(H477:AU477,"&lt;&gt;"))</f>
        <v/>
      </c>
      <c r="H477" s="246"/>
      <c r="I477" s="246"/>
      <c r="J477" s="246"/>
      <c r="K477" s="246"/>
      <c r="L477" s="246"/>
      <c r="M477" s="246"/>
      <c r="N477" s="246"/>
      <c r="O477" s="246"/>
      <c r="P477" s="246"/>
      <c r="Q477" s="246"/>
      <c r="R477" s="246"/>
      <c r="S477" s="246"/>
      <c r="T477" s="246"/>
      <c r="U477" s="246"/>
      <c r="V477" s="246"/>
      <c r="W477" s="246"/>
      <c r="X477" s="246"/>
      <c r="Y477" s="246"/>
      <c r="Z477" s="246"/>
      <c r="AA477" s="246"/>
      <c r="AB477" s="246"/>
      <c r="AC477" s="246"/>
      <c r="AD477" s="246"/>
      <c r="AE477" s="246"/>
      <c r="AF477" s="246"/>
      <c r="AG477" s="246"/>
      <c r="AH477" s="246"/>
      <c r="AI477" s="246"/>
      <c r="AJ477" s="246"/>
      <c r="AK477" s="246"/>
      <c r="AL477" s="246"/>
      <c r="AM477" s="246"/>
      <c r="AN477" s="246"/>
      <c r="AO477" s="246"/>
      <c r="AP477" s="246"/>
      <c r="AQ477" s="246"/>
      <c r="AR477" s="246"/>
      <c r="AS477" s="246"/>
      <c r="AT477" s="246"/>
      <c r="AU477" s="260"/>
    </row>
    <row r="478" spans="1:47" ht="60" customHeight="1" x14ac:dyDescent="0.35">
      <c r="A478" s="256" t="s">
        <v>4386</v>
      </c>
      <c r="B478" s="234" t="s">
        <v>4417</v>
      </c>
      <c r="C478" s="235" t="s">
        <v>4440</v>
      </c>
      <c r="D478" s="238" t="s">
        <v>4441</v>
      </c>
      <c r="E478" s="239" t="s">
        <v>3512</v>
      </c>
      <c r="F478" s="242" t="s">
        <v>3991</v>
      </c>
      <c r="G478" s="245" t="str">
        <f>IF(COUNTIF(H478:AU478,"&lt;&gt;")=0,"",SUMPRODUCT(((Recommendations[ImplStatus]="Implemented")+(Recommendations[ImplStatus]="Compensated"))*ISNUMBER(MATCH(Recommendations[Id],H478:AU478,0)))/COUNTIF(H478:AU478,"&lt;&gt;"))</f>
        <v/>
      </c>
      <c r="H478" s="246"/>
      <c r="I478" s="246"/>
      <c r="J478" s="246"/>
      <c r="K478" s="246"/>
      <c r="L478" s="246"/>
      <c r="M478" s="246"/>
      <c r="N478" s="246"/>
      <c r="O478" s="246"/>
      <c r="P478" s="246"/>
      <c r="Q478" s="246"/>
      <c r="R478" s="246"/>
      <c r="S478" s="246"/>
      <c r="T478" s="246"/>
      <c r="U478" s="246"/>
      <c r="V478" s="246"/>
      <c r="W478" s="246"/>
      <c r="X478" s="246"/>
      <c r="Y478" s="246"/>
      <c r="Z478" s="246"/>
      <c r="AA478" s="246"/>
      <c r="AB478" s="246"/>
      <c r="AC478" s="246"/>
      <c r="AD478" s="246"/>
      <c r="AE478" s="246"/>
      <c r="AF478" s="246"/>
      <c r="AG478" s="246"/>
      <c r="AH478" s="246"/>
      <c r="AI478" s="246"/>
      <c r="AJ478" s="246"/>
      <c r="AK478" s="246"/>
      <c r="AL478" s="246"/>
      <c r="AM478" s="246"/>
      <c r="AN478" s="246"/>
      <c r="AO478" s="246"/>
      <c r="AP478" s="246"/>
      <c r="AQ478" s="246"/>
      <c r="AR478" s="246"/>
      <c r="AS478" s="246"/>
      <c r="AT478" s="246"/>
      <c r="AU478" s="260"/>
    </row>
    <row r="479" spans="1:47" ht="60" customHeight="1" x14ac:dyDescent="0.35">
      <c r="A479" s="256" t="s">
        <v>4386</v>
      </c>
      <c r="B479" s="234" t="s">
        <v>4417</v>
      </c>
      <c r="C479" s="235" t="s">
        <v>4442</v>
      </c>
      <c r="D479" s="238" t="s">
        <v>4443</v>
      </c>
      <c r="E479" s="239" t="s">
        <v>3627</v>
      </c>
      <c r="F479" s="242" t="s">
        <v>3991</v>
      </c>
      <c r="G479" s="245" t="str">
        <f>IF(COUNTIF(H479:AU479,"&lt;&gt;")=0,"",SUMPRODUCT(((Recommendations[ImplStatus]="Implemented")+(Recommendations[ImplStatus]="Compensated"))*ISNUMBER(MATCH(Recommendations[Id],H479:AU479,0)))/COUNTIF(H479:AU479,"&lt;&gt;"))</f>
        <v/>
      </c>
      <c r="H479" s="246"/>
      <c r="I479" s="246"/>
      <c r="J479" s="246"/>
      <c r="K479" s="246"/>
      <c r="L479" s="246"/>
      <c r="M479" s="246"/>
      <c r="N479" s="246"/>
      <c r="O479" s="246"/>
      <c r="P479" s="246"/>
      <c r="Q479" s="246"/>
      <c r="R479" s="246"/>
      <c r="S479" s="246"/>
      <c r="T479" s="246"/>
      <c r="U479" s="246"/>
      <c r="V479" s="246"/>
      <c r="W479" s="246"/>
      <c r="X479" s="246"/>
      <c r="Y479" s="246"/>
      <c r="Z479" s="246"/>
      <c r="AA479" s="246"/>
      <c r="AB479" s="246"/>
      <c r="AC479" s="246"/>
      <c r="AD479" s="246"/>
      <c r="AE479" s="246"/>
      <c r="AF479" s="246"/>
      <c r="AG479" s="246"/>
      <c r="AH479" s="246"/>
      <c r="AI479" s="246"/>
      <c r="AJ479" s="246"/>
      <c r="AK479" s="246"/>
      <c r="AL479" s="246"/>
      <c r="AM479" s="246"/>
      <c r="AN479" s="246"/>
      <c r="AO479" s="246"/>
      <c r="AP479" s="246"/>
      <c r="AQ479" s="246"/>
      <c r="AR479" s="246"/>
      <c r="AS479" s="246"/>
      <c r="AT479" s="246"/>
      <c r="AU479" s="260"/>
    </row>
    <row r="480" spans="1:47" ht="60" customHeight="1" x14ac:dyDescent="0.35">
      <c r="A480" s="256" t="s">
        <v>4386</v>
      </c>
      <c r="B480" s="234" t="s">
        <v>4417</v>
      </c>
      <c r="C480" s="235" t="s">
        <v>4444</v>
      </c>
      <c r="D480" s="238" t="s">
        <v>4445</v>
      </c>
      <c r="E480" s="239" t="s">
        <v>3627</v>
      </c>
      <c r="F480" s="242" t="s">
        <v>3991</v>
      </c>
      <c r="G480" s="245" t="str">
        <f>IF(COUNTIF(H480:AU480,"&lt;&gt;")=0,"",SUMPRODUCT(((Recommendations[ImplStatus]="Implemented")+(Recommendations[ImplStatus]="Compensated"))*ISNUMBER(MATCH(Recommendations[Id],H480:AU480,0)))/COUNTIF(H480:AU480,"&lt;&gt;"))</f>
        <v/>
      </c>
      <c r="H480" s="246"/>
      <c r="I480" s="246"/>
      <c r="J480" s="246"/>
      <c r="K480" s="246"/>
      <c r="L480" s="246"/>
      <c r="M480" s="246"/>
      <c r="N480" s="246"/>
      <c r="O480" s="246"/>
      <c r="P480" s="246"/>
      <c r="Q480" s="246"/>
      <c r="R480" s="246"/>
      <c r="S480" s="246"/>
      <c r="T480" s="246"/>
      <c r="U480" s="246"/>
      <c r="V480" s="246"/>
      <c r="W480" s="246"/>
      <c r="X480" s="246"/>
      <c r="Y480" s="246"/>
      <c r="Z480" s="246"/>
      <c r="AA480" s="246"/>
      <c r="AB480" s="246"/>
      <c r="AC480" s="246"/>
      <c r="AD480" s="246"/>
      <c r="AE480" s="246"/>
      <c r="AF480" s="246"/>
      <c r="AG480" s="246"/>
      <c r="AH480" s="246"/>
      <c r="AI480" s="246"/>
      <c r="AJ480" s="246"/>
      <c r="AK480" s="246"/>
      <c r="AL480" s="246"/>
      <c r="AM480" s="246"/>
      <c r="AN480" s="246"/>
      <c r="AO480" s="246"/>
      <c r="AP480" s="246"/>
      <c r="AQ480" s="246"/>
      <c r="AR480" s="246"/>
      <c r="AS480" s="246"/>
      <c r="AT480" s="246"/>
      <c r="AU480" s="260"/>
    </row>
    <row r="481" spans="1:47" ht="60" customHeight="1" x14ac:dyDescent="0.35">
      <c r="A481" s="257" t="s">
        <v>4386</v>
      </c>
      <c r="B481" s="247" t="s">
        <v>4417</v>
      </c>
      <c r="C481" s="248" t="s">
        <v>4446</v>
      </c>
      <c r="D481" s="249" t="s">
        <v>4447</v>
      </c>
      <c r="E481" s="250" t="s">
        <v>3627</v>
      </c>
      <c r="F481" s="251" t="s">
        <v>3622</v>
      </c>
      <c r="G481" s="252" t="str">
        <f>IF(COUNTIF(H481:AU481,"&lt;&gt;")=0,"",SUMPRODUCT(((Recommendations[ImplStatus]="Implemented")+(Recommendations[ImplStatus]="Compensated"))*ISNUMBER(MATCH(Recommendations[Id],H481:AU481,0)))/COUNTIF(H481:AU481,"&lt;&gt;"))</f>
        <v/>
      </c>
      <c r="H481" s="253"/>
      <c r="I481" s="253"/>
      <c r="J481" s="253"/>
      <c r="K481" s="253"/>
      <c r="L481" s="253"/>
      <c r="M481" s="253"/>
      <c r="N481" s="253"/>
      <c r="O481" s="253"/>
      <c r="P481" s="253"/>
      <c r="Q481" s="253"/>
      <c r="R481" s="253"/>
      <c r="S481" s="253"/>
      <c r="T481" s="253"/>
      <c r="U481" s="253"/>
      <c r="V481" s="253"/>
      <c r="W481" s="253"/>
      <c r="X481" s="253"/>
      <c r="Y481" s="253"/>
      <c r="Z481" s="253"/>
      <c r="AA481" s="253"/>
      <c r="AB481" s="253"/>
      <c r="AC481" s="253"/>
      <c r="AD481" s="253"/>
      <c r="AE481" s="253"/>
      <c r="AF481" s="253"/>
      <c r="AG481" s="253"/>
      <c r="AH481" s="253"/>
      <c r="AI481" s="253"/>
      <c r="AJ481" s="253"/>
      <c r="AK481" s="253"/>
      <c r="AL481" s="253"/>
      <c r="AM481" s="253"/>
      <c r="AN481" s="253"/>
      <c r="AO481" s="253"/>
      <c r="AP481" s="253"/>
      <c r="AQ481" s="253"/>
      <c r="AR481" s="253"/>
      <c r="AS481" s="253"/>
      <c r="AT481" s="253"/>
      <c r="AU481" s="261"/>
    </row>
    <row r="485" spans="1:47" ht="32" customHeight="1" x14ac:dyDescent="0.35">
      <c r="A485" s="265" t="s">
        <v>430</v>
      </c>
      <c r="B485" s="265"/>
      <c r="C485" s="265"/>
      <c r="D485" s="265"/>
      <c r="E485" s="265"/>
      <c r="F485" s="265"/>
    </row>
  </sheetData>
  <mergeCells count="1">
    <mergeCell ref="A485:F485"/>
  </mergeCells>
  <hyperlinks>
    <hyperlink ref="A485"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AND(H2&lt;&gt;"", IFERROR(INDEX('Recommendations'!$G$2:$G$84, MATCH(H2,'Recommendations'!$A$2:$A$84,0))="Implemented", FALSE))</xm:f>
            <x14:dxf>
              <font>
                <color rgb="FF000000"/>
              </font>
              <fill>
                <patternFill>
                  <bgColor rgb="FF3C7D22"/>
                </patternFill>
              </fill>
            </x14:dxf>
          </x14:cfRule>
          <x14:cfRule type="expression" priority="2" id="{00000000-000E-0000-0A00-000002000000}">
            <xm:f>AND(H2&lt;&gt;"", IFERROR(INDEX('Recommendations'!$G$2:$G$84, MATCH(H2,'Recommendations'!$A$2:$A$84,0))="Compensated", FALSE))</xm:f>
            <x14:dxf>
              <font>
                <color rgb="FF000000"/>
              </font>
              <fill>
                <patternFill>
                  <bgColor rgb="FFC6E0B4"/>
                </patternFill>
              </fill>
            </x14:dxf>
          </x14:cfRule>
          <x14:cfRule type="expression" priority="3" id="{00000000-000E-0000-0A00-000003000000}">
            <xm:f>AND(H2&lt;&gt;"", IFERROR(INDEX('Recommendations'!$G$2:$G$84, MATCH(H2,'Recommendations'!$A$2:$A$84,0))="Testing", FALSE))</xm:f>
            <x14:dxf>
              <font>
                <color rgb="FF000000"/>
              </font>
              <fill>
                <patternFill>
                  <bgColor rgb="FFFFC000"/>
                </patternFill>
              </fill>
            </x14:dxf>
          </x14:cfRule>
          <x14:cfRule type="expression" priority="4" id="{00000000-000E-0000-0A00-000004000000}">
            <xm:f>AND(H2&lt;&gt;"", IFERROR(INDEX('Recommendations'!$G$2:$G$84, MATCH(H2,'Recommendations'!$A$2:$A$84,0))="Failed", FALSE))</xm:f>
            <x14:dxf>
              <font>
                <color rgb="FF000000"/>
              </font>
              <fill>
                <patternFill>
                  <bgColor rgb="FFD82891"/>
                </patternFill>
              </fill>
            </x14:dxf>
          </x14:cfRule>
          <x14:cfRule type="expression" priority="5" id="{00000000-000E-0000-0A00-000005000000}">
            <xm:f>AND(H2&lt;&gt;"", IFERROR(INDEX('Recommendations'!$G$2:$G$84, MATCH(H2,'Recommendations'!$A$2:$A$84,0))="Risk Accepted", FALSE))</xm:f>
            <x14:dxf>
              <font>
                <color rgb="FF000000"/>
              </font>
              <fill>
                <patternFill>
                  <bgColor rgb="FFD9D9D9"/>
                </patternFill>
              </fill>
            </x14:dxf>
          </x14:cfRule>
          <x14:cfRule type="expression" priority="6" id="{00000000-000E-0000-0A00-000006000000}">
            <xm:f>AND(H2&lt;&gt;"", IFERROR(INDEX('Recommendations'!$G$2:$G$84, MATCH(H2,'Recommendations'!$A$2:$A$84,0))="N/A",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266" t="s">
        <v>507</v>
      </c>
      <c r="C2" s="267"/>
      <c r="D2" s="267"/>
      <c r="E2" s="267"/>
      <c r="F2" s="267"/>
      <c r="G2" s="267"/>
      <c r="H2" s="267"/>
      <c r="I2" s="267"/>
    </row>
    <row r="4" spans="2:15" ht="18.5" x14ac:dyDescent="0.45">
      <c r="B4" s="39" t="s">
        <v>508</v>
      </c>
    </row>
    <row r="5" spans="2:15" x14ac:dyDescent="0.35">
      <c r="B5" s="41" t="s">
        <v>19</v>
      </c>
      <c r="C5" s="41" t="s">
        <v>509</v>
      </c>
      <c r="D5" s="41" t="s">
        <v>510</v>
      </c>
      <c r="F5" s="268" t="s">
        <v>511</v>
      </c>
      <c r="G5" s="268"/>
      <c r="H5" s="268"/>
      <c r="I5" s="269" t="s">
        <v>512</v>
      </c>
      <c r="J5" s="269"/>
      <c r="K5" s="269"/>
      <c r="L5" s="269"/>
      <c r="M5" s="269"/>
      <c r="N5" s="269"/>
      <c r="O5" s="269"/>
    </row>
    <row r="6" spans="2:15" x14ac:dyDescent="0.35">
      <c r="B6" s="47" t="s">
        <v>513</v>
      </c>
      <c r="C6" s="48">
        <v>83</v>
      </c>
      <c r="D6" s="49" t="s">
        <v>19</v>
      </c>
      <c r="F6" s="268" t="s">
        <v>514</v>
      </c>
      <c r="G6" s="268"/>
      <c r="H6" s="268"/>
      <c r="I6" s="270" t="s">
        <v>515</v>
      </c>
      <c r="J6" s="270"/>
      <c r="K6" s="270"/>
      <c r="L6" s="270"/>
      <c r="M6" s="270"/>
      <c r="N6" s="270"/>
      <c r="O6" s="270"/>
    </row>
    <row r="7" spans="2:15" x14ac:dyDescent="0.35">
      <c r="B7" s="50" t="s">
        <v>516</v>
      </c>
      <c r="C7" s="51">
        <f>C6-C8-C9</f>
        <v>83</v>
      </c>
      <c r="D7" s="52">
        <f>IF(C6&gt;0,C7/C6,0)</f>
        <v>1</v>
      </c>
      <c r="F7" s="268" t="s">
        <v>517</v>
      </c>
      <c r="G7" s="268"/>
      <c r="H7" s="268"/>
      <c r="I7" s="270" t="s">
        <v>515</v>
      </c>
      <c r="J7" s="270"/>
      <c r="K7" s="270"/>
      <c r="L7" s="270"/>
      <c r="M7" s="270"/>
      <c r="N7" s="270"/>
      <c r="O7" s="270"/>
    </row>
    <row r="8" spans="2:15" x14ac:dyDescent="0.35">
      <c r="B8" s="43" t="s">
        <v>518</v>
      </c>
      <c r="C8" s="44">
        <f>COUNTIF('Recommendations'!G:G,"Risk Accepted")</f>
        <v>0</v>
      </c>
      <c r="D8" s="45">
        <f>IF(C6&gt;0,C8/C6,0)</f>
        <v>0</v>
      </c>
      <c r="F8" s="268" t="s">
        <v>519</v>
      </c>
      <c r="G8" s="268"/>
      <c r="H8" s="268"/>
      <c r="I8" s="270" t="s">
        <v>515</v>
      </c>
      <c r="J8" s="270"/>
      <c r="K8" s="270"/>
      <c r="L8" s="270"/>
      <c r="M8" s="270"/>
      <c r="N8" s="270"/>
      <c r="O8" s="270"/>
    </row>
    <row r="9" spans="2:15" x14ac:dyDescent="0.35">
      <c r="B9" s="43" t="s">
        <v>520</v>
      </c>
      <c r="C9" s="44">
        <f>COUNTIF('Recommendations'!G:G,"N/A")</f>
        <v>0</v>
      </c>
      <c r="D9" s="45">
        <f>IF(C6&gt;0,C9/C6,0)</f>
        <v>0</v>
      </c>
      <c r="F9" s="268" t="s">
        <v>521</v>
      </c>
      <c r="G9" s="268"/>
      <c r="H9" s="268"/>
      <c r="I9" s="270" t="s">
        <v>515</v>
      </c>
      <c r="J9" s="270"/>
      <c r="K9" s="270"/>
      <c r="L9" s="270"/>
      <c r="M9" s="270"/>
      <c r="N9" s="270"/>
      <c r="O9" s="270"/>
    </row>
    <row r="12" spans="2:15" ht="18.5" x14ac:dyDescent="0.45">
      <c r="B12" s="39" t="s">
        <v>522</v>
      </c>
    </row>
    <row r="14" spans="2:15" x14ac:dyDescent="0.35">
      <c r="B14" s="53" t="s">
        <v>523</v>
      </c>
    </row>
    <row r="15" spans="2:15" x14ac:dyDescent="0.35">
      <c r="B15" s="41" t="s">
        <v>19</v>
      </c>
      <c r="C15" s="41" t="s">
        <v>524</v>
      </c>
      <c r="D15" s="41" t="s">
        <v>525</v>
      </c>
      <c r="E15" s="41" t="s">
        <v>526</v>
      </c>
      <c r="F15" s="41" t="s">
        <v>527</v>
      </c>
    </row>
    <row r="16" spans="2:15" x14ac:dyDescent="0.35">
      <c r="B16" s="43" t="s">
        <v>528</v>
      </c>
      <c r="C16" s="44">
        <f>COUNTIF('Recommendations'!L:L,"Resolved")</f>
        <v>0</v>
      </c>
      <c r="D16" s="44">
        <f>COUNTIF('Recommendations'!L:L,"Testing")</f>
        <v>0</v>
      </c>
      <c r="E16" s="44">
        <f>COUNTIF('Recommendations'!L:L,"Outstanding")</f>
        <v>83</v>
      </c>
      <c r="F16" s="44">
        <f>SUM(C16:E16)</f>
        <v>83</v>
      </c>
    </row>
    <row r="18" spans="2:6" x14ac:dyDescent="0.35">
      <c r="B18" s="53" t="s">
        <v>529</v>
      </c>
    </row>
    <row r="19" spans="2:6" x14ac:dyDescent="0.35">
      <c r="B19" s="54" t="s">
        <v>19</v>
      </c>
      <c r="C19" s="54" t="s">
        <v>524</v>
      </c>
      <c r="D19" s="54" t="s">
        <v>525</v>
      </c>
      <c r="E19" s="54" t="s">
        <v>526</v>
      </c>
      <c r="F19" s="54" t="s">
        <v>19</v>
      </c>
    </row>
    <row r="20" spans="2:6" x14ac:dyDescent="0.35">
      <c r="B20" s="43" t="s">
        <v>528</v>
      </c>
      <c r="C20" s="45">
        <f>IF(F16&gt;0, C16/F16, 0)</f>
        <v>0</v>
      </c>
      <c r="D20" s="45">
        <f>IF(F16&gt;0, D16/F16, 0)</f>
        <v>0</v>
      </c>
      <c r="E20" s="45">
        <f>IF(F16&gt;0, E16/F16, 0)</f>
        <v>1</v>
      </c>
      <c r="F20" s="46" t="s">
        <v>19</v>
      </c>
    </row>
    <row r="25" spans="2:6" ht="18.5" x14ac:dyDescent="0.45">
      <c r="B25" s="39" t="s">
        <v>530</v>
      </c>
    </row>
    <row r="27" spans="2:6" x14ac:dyDescent="0.35">
      <c r="B27" s="53" t="s">
        <v>523</v>
      </c>
    </row>
    <row r="28" spans="2:6" x14ac:dyDescent="0.35">
      <c r="B28" s="41" t="s">
        <v>5</v>
      </c>
      <c r="C28" s="41" t="s">
        <v>524</v>
      </c>
      <c r="D28" s="41" t="s">
        <v>525</v>
      </c>
      <c r="E28" s="41" t="s">
        <v>526</v>
      </c>
      <c r="F28" s="41" t="s">
        <v>527</v>
      </c>
    </row>
    <row r="29" spans="2:6" x14ac:dyDescent="0.35">
      <c r="B29" s="43" t="s">
        <v>531</v>
      </c>
      <c r="C29" s="44">
        <f>COUNTIFS('Recommendations'!F:F,"Phase1",'Recommendations'!L:L,"=Resolved")</f>
        <v>0</v>
      </c>
      <c r="D29" s="44">
        <f>COUNTIFS('Recommendations'!F:F,"=Phase1",'Recommendations'!L:L,"=Testing")</f>
        <v>0</v>
      </c>
      <c r="E29" s="44">
        <f>COUNTIFS('Recommendations'!F:F,"=Phase1",'Recommendations'!L:L,"=Outstanding")</f>
        <v>0</v>
      </c>
      <c r="F29" s="44">
        <f t="shared" ref="F29:F34" si="0">SUM(C29:E29)</f>
        <v>0</v>
      </c>
    </row>
    <row r="30" spans="2:6" x14ac:dyDescent="0.35">
      <c r="B30" s="43" t="s">
        <v>532</v>
      </c>
      <c r="C30" s="44">
        <f>COUNTIFS('Recommendations'!F:F,"Phase2",'Recommendations'!L:L,"=Resolved")</f>
        <v>0</v>
      </c>
      <c r="D30" s="44">
        <f>COUNTIFS('Recommendations'!F:F,"=Phase2",'Recommendations'!L:L,"=Testing")</f>
        <v>0</v>
      </c>
      <c r="E30" s="44">
        <f>COUNTIFS('Recommendations'!F:F,"=Phase2",'Recommendations'!L:L,"=Outstanding")</f>
        <v>0</v>
      </c>
      <c r="F30" s="44">
        <f t="shared" si="0"/>
        <v>0</v>
      </c>
    </row>
    <row r="31" spans="2:6" x14ac:dyDescent="0.35">
      <c r="B31" s="43" t="s">
        <v>533</v>
      </c>
      <c r="C31" s="44">
        <f>COUNTIFS('Recommendations'!F:F,"Phase3",'Recommendations'!L:L,"=Resolved")</f>
        <v>0</v>
      </c>
      <c r="D31" s="44">
        <f>COUNTIFS('Recommendations'!F:F,"=Phase3",'Recommendations'!L:L,"=Testing")</f>
        <v>0</v>
      </c>
      <c r="E31" s="44">
        <f>COUNTIFS('Recommendations'!F:F,"=Phase3",'Recommendations'!L:L,"=Outstanding")</f>
        <v>0</v>
      </c>
      <c r="F31" s="44">
        <f t="shared" si="0"/>
        <v>0</v>
      </c>
    </row>
    <row r="32" spans="2:6" x14ac:dyDescent="0.35">
      <c r="B32" s="43" t="s">
        <v>534</v>
      </c>
      <c r="C32" s="44">
        <f>COUNTIFS('Recommendations'!F:F,"Phase4",'Recommendations'!L:L,"=Resolved")</f>
        <v>0</v>
      </c>
      <c r="D32" s="44">
        <f>COUNTIFS('Recommendations'!F:F,"=Phase4",'Recommendations'!L:L,"=Testing")</f>
        <v>0</v>
      </c>
      <c r="E32" s="44">
        <f>COUNTIFS('Recommendations'!F:F,"=Phase4",'Recommendations'!L:L,"=Outstanding")</f>
        <v>0</v>
      </c>
      <c r="F32" s="44">
        <f t="shared" si="0"/>
        <v>0</v>
      </c>
    </row>
    <row r="33" spans="2:6" x14ac:dyDescent="0.35">
      <c r="B33" s="43" t="s">
        <v>535</v>
      </c>
      <c r="C33" s="44">
        <f>COUNTIFS('Recommendations'!F:F,"Phase5",'Recommendations'!L:L,"=Resolved")</f>
        <v>0</v>
      </c>
      <c r="D33" s="44">
        <f>COUNTIFS('Recommendations'!F:F,"=Phase5",'Recommendations'!L:L,"=Testing")</f>
        <v>0</v>
      </c>
      <c r="E33" s="44">
        <f>COUNTIFS('Recommendations'!F:F,"=Phase5",'Recommendations'!L:L,"=Outstanding")</f>
        <v>0</v>
      </c>
      <c r="F33" s="44">
        <f t="shared" si="0"/>
        <v>0</v>
      </c>
    </row>
    <row r="34" spans="2:6" x14ac:dyDescent="0.35">
      <c r="B34" s="43" t="s">
        <v>18</v>
      </c>
      <c r="C34" s="44">
        <f>COUNTIFS('Recommendations'!F:F,"Pending",'Recommendations'!L:L,"=Resolved")</f>
        <v>0</v>
      </c>
      <c r="D34" s="44">
        <f>COUNTIFS('Recommendations'!F:F,"=Pending",'Recommendations'!L:L,"=Testing")</f>
        <v>0</v>
      </c>
      <c r="E34" s="44">
        <f>COUNTIFS('Recommendations'!F:F,"=Pending",'Recommendations'!L:L,"=Outstanding")</f>
        <v>83</v>
      </c>
      <c r="F34" s="44">
        <f t="shared" si="0"/>
        <v>83</v>
      </c>
    </row>
    <row r="36" spans="2:6" x14ac:dyDescent="0.35">
      <c r="B36" s="53" t="s">
        <v>529</v>
      </c>
    </row>
    <row r="37" spans="2:6" x14ac:dyDescent="0.35">
      <c r="B37" s="54" t="s">
        <v>5</v>
      </c>
      <c r="C37" s="54" t="s">
        <v>524</v>
      </c>
      <c r="D37" s="54" t="s">
        <v>525</v>
      </c>
      <c r="E37" s="54" t="s">
        <v>526</v>
      </c>
      <c r="F37" s="54" t="s">
        <v>19</v>
      </c>
    </row>
    <row r="38" spans="2:6" x14ac:dyDescent="0.35">
      <c r="B38" s="43" t="s">
        <v>531</v>
      </c>
      <c r="C38" s="45">
        <f t="shared" ref="C38:C43" si="1">IF(F29&gt;0, C29/F29, 0)</f>
        <v>0</v>
      </c>
      <c r="D38" s="45">
        <f t="shared" ref="D38:D43" si="2">IF(F29&gt;0, D29/F29, 0)</f>
        <v>0</v>
      </c>
      <c r="E38" s="45">
        <f t="shared" ref="E38:E43" si="3">IF(F29&gt;0, E29/F29, 0)</f>
        <v>0</v>
      </c>
      <c r="F38" s="46" t="s">
        <v>19</v>
      </c>
    </row>
    <row r="39" spans="2:6" x14ac:dyDescent="0.35">
      <c r="B39" s="43" t="s">
        <v>532</v>
      </c>
      <c r="C39" s="45">
        <f t="shared" si="1"/>
        <v>0</v>
      </c>
      <c r="D39" s="45">
        <f t="shared" si="2"/>
        <v>0</v>
      </c>
      <c r="E39" s="45">
        <f t="shared" si="3"/>
        <v>0</v>
      </c>
      <c r="F39" s="46" t="s">
        <v>19</v>
      </c>
    </row>
    <row r="40" spans="2:6" x14ac:dyDescent="0.35">
      <c r="B40" s="43" t="s">
        <v>533</v>
      </c>
      <c r="C40" s="45">
        <f t="shared" si="1"/>
        <v>0</v>
      </c>
      <c r="D40" s="45">
        <f t="shared" si="2"/>
        <v>0</v>
      </c>
      <c r="E40" s="45">
        <f t="shared" si="3"/>
        <v>0</v>
      </c>
      <c r="F40" s="46" t="s">
        <v>19</v>
      </c>
    </row>
    <row r="41" spans="2:6" x14ac:dyDescent="0.35">
      <c r="B41" s="43" t="s">
        <v>534</v>
      </c>
      <c r="C41" s="45">
        <f t="shared" si="1"/>
        <v>0</v>
      </c>
      <c r="D41" s="45">
        <f t="shared" si="2"/>
        <v>0</v>
      </c>
      <c r="E41" s="45">
        <f t="shared" si="3"/>
        <v>0</v>
      </c>
      <c r="F41" s="46" t="s">
        <v>19</v>
      </c>
    </row>
    <row r="42" spans="2:6" x14ac:dyDescent="0.35">
      <c r="B42" s="43" t="s">
        <v>535</v>
      </c>
      <c r="C42" s="45">
        <f t="shared" si="1"/>
        <v>0</v>
      </c>
      <c r="D42" s="45">
        <f t="shared" si="2"/>
        <v>0</v>
      </c>
      <c r="E42" s="45">
        <f t="shared" si="3"/>
        <v>0</v>
      </c>
      <c r="F42" s="46" t="s">
        <v>19</v>
      </c>
    </row>
    <row r="43" spans="2:6" x14ac:dyDescent="0.35">
      <c r="B43" s="43" t="s">
        <v>18</v>
      </c>
      <c r="C43" s="45">
        <f t="shared" si="1"/>
        <v>0</v>
      </c>
      <c r="D43" s="45">
        <f t="shared" si="2"/>
        <v>0</v>
      </c>
      <c r="E43" s="45">
        <f t="shared" si="3"/>
        <v>1</v>
      </c>
      <c r="F43" s="46" t="s">
        <v>19</v>
      </c>
    </row>
    <row r="48" spans="2:6" ht="18.5" x14ac:dyDescent="0.45">
      <c r="B48" s="39" t="s">
        <v>536</v>
      </c>
    </row>
    <row r="50" spans="2:6" x14ac:dyDescent="0.35">
      <c r="B50" s="53" t="s">
        <v>523</v>
      </c>
    </row>
    <row r="51" spans="2:6" x14ac:dyDescent="0.35">
      <c r="B51" s="41" t="s">
        <v>2</v>
      </c>
      <c r="C51" s="41" t="s">
        <v>524</v>
      </c>
      <c r="D51" s="41" t="s">
        <v>525</v>
      </c>
      <c r="E51" s="41" t="s">
        <v>526</v>
      </c>
      <c r="F51" s="41" t="s">
        <v>527</v>
      </c>
    </row>
    <row r="52" spans="2:6" x14ac:dyDescent="0.35">
      <c r="B52" s="43" t="s">
        <v>58</v>
      </c>
      <c r="C52" s="44">
        <f>COUNTIFS('Recommendations'!C:C,"CAT I (High)",'Recommendations'!L:L,"=Resolved")</f>
        <v>0</v>
      </c>
      <c r="D52" s="44">
        <f>COUNTIFS('Recommendations'!C:C,"=CAT I (High)",'Recommendations'!L:L,"=Testing")</f>
        <v>0</v>
      </c>
      <c r="E52" s="44">
        <f>COUNTIFS('Recommendations'!C:C,"=CAT I (High)",'Recommendations'!L:L,"=Outstanding")</f>
        <v>7</v>
      </c>
      <c r="F52" s="44">
        <f>SUM(C52:E52)</f>
        <v>7</v>
      </c>
    </row>
    <row r="53" spans="2:6" x14ac:dyDescent="0.35">
      <c r="B53" s="43" t="s">
        <v>15</v>
      </c>
      <c r="C53" s="44">
        <f>COUNTIFS('Recommendations'!C:C,"CAT II (Medium)",'Recommendations'!L:L,"=Resolved")</f>
        <v>0</v>
      </c>
      <c r="D53" s="44">
        <f>COUNTIFS('Recommendations'!C:C,"=CAT II (Medium)",'Recommendations'!L:L,"=Testing")</f>
        <v>0</v>
      </c>
      <c r="E53" s="44">
        <f>COUNTIFS('Recommendations'!C:C,"=CAT II (Medium)",'Recommendations'!L:L,"=Outstanding")</f>
        <v>73</v>
      </c>
      <c r="F53" s="44">
        <f>SUM(C53:E53)</f>
        <v>73</v>
      </c>
    </row>
    <row r="54" spans="2:6" x14ac:dyDescent="0.35">
      <c r="B54" s="43" t="s">
        <v>74</v>
      </c>
      <c r="C54" s="44">
        <f>COUNTIFS('Recommendations'!C:C,"CAT III (Low)",'Recommendations'!L:L,"=Resolved")</f>
        <v>0</v>
      </c>
      <c r="D54" s="44">
        <f>COUNTIFS('Recommendations'!C:C,"=CAT III (Low)",'Recommendations'!L:L,"=Testing")</f>
        <v>0</v>
      </c>
      <c r="E54" s="44">
        <f>COUNTIFS('Recommendations'!C:C,"=CAT III (Low)",'Recommendations'!L:L,"=Outstanding")</f>
        <v>3</v>
      </c>
      <c r="F54" s="44">
        <f>SUM(C54:E54)</f>
        <v>3</v>
      </c>
    </row>
    <row r="56" spans="2:6" x14ac:dyDescent="0.35">
      <c r="B56" s="53" t="s">
        <v>529</v>
      </c>
    </row>
    <row r="57" spans="2:6" x14ac:dyDescent="0.35">
      <c r="B57" s="54" t="s">
        <v>2</v>
      </c>
      <c r="C57" s="54" t="s">
        <v>524</v>
      </c>
      <c r="D57" s="54" t="s">
        <v>525</v>
      </c>
      <c r="E57" s="54" t="s">
        <v>526</v>
      </c>
      <c r="F57" s="54" t="s">
        <v>19</v>
      </c>
    </row>
    <row r="58" spans="2:6" x14ac:dyDescent="0.35">
      <c r="B58" s="43" t="s">
        <v>58</v>
      </c>
      <c r="C58" s="45">
        <f>IF(F52&gt;0, C52/F52, 0)</f>
        <v>0</v>
      </c>
      <c r="D58" s="45">
        <f>IF(F52&gt;0, D52/F52, 0)</f>
        <v>0</v>
      </c>
      <c r="E58" s="45">
        <f>IF(F52&gt;0, E52/F52, 0)</f>
        <v>1</v>
      </c>
      <c r="F58" s="46" t="s">
        <v>19</v>
      </c>
    </row>
    <row r="59" spans="2:6" x14ac:dyDescent="0.35">
      <c r="B59" s="43" t="s">
        <v>15</v>
      </c>
      <c r="C59" s="45">
        <f>IF(F53&gt;0, C53/F53, 0)</f>
        <v>0</v>
      </c>
      <c r="D59" s="45">
        <f>IF(F53&gt;0, D53/F53, 0)</f>
        <v>0</v>
      </c>
      <c r="E59" s="45">
        <f>IF(F53&gt;0, E53/F53, 0)</f>
        <v>1</v>
      </c>
      <c r="F59" s="46" t="s">
        <v>19</v>
      </c>
    </row>
    <row r="60" spans="2:6" x14ac:dyDescent="0.35">
      <c r="B60" s="43" t="s">
        <v>74</v>
      </c>
      <c r="C60" s="45">
        <f>IF(F54&gt;0, C54/F54, 0)</f>
        <v>0</v>
      </c>
      <c r="D60" s="45">
        <f>IF(F54&gt;0, D54/F54, 0)</f>
        <v>0</v>
      </c>
      <c r="E60" s="45">
        <f>IF(F54&gt;0, E54/F54, 0)</f>
        <v>1</v>
      </c>
      <c r="F60" s="46" t="s">
        <v>19</v>
      </c>
    </row>
    <row r="65" spans="2:6" ht="18.5" x14ac:dyDescent="0.45">
      <c r="B65" s="39" t="s">
        <v>537</v>
      </c>
    </row>
    <row r="67" spans="2:6" x14ac:dyDescent="0.35">
      <c r="B67" s="53" t="s">
        <v>523</v>
      </c>
    </row>
    <row r="68" spans="2:6" x14ac:dyDescent="0.35">
      <c r="B68" s="41" t="s">
        <v>3</v>
      </c>
      <c r="C68" s="41" t="s">
        <v>524</v>
      </c>
      <c r="D68" s="41" t="s">
        <v>525</v>
      </c>
      <c r="E68" s="41" t="s">
        <v>526</v>
      </c>
      <c r="F68" s="41" t="s">
        <v>527</v>
      </c>
    </row>
    <row r="69" spans="2:6" x14ac:dyDescent="0.35">
      <c r="B69" s="43" t="s">
        <v>538</v>
      </c>
      <c r="C69" s="44">
        <f>COUNTIFS('Recommendations'!D:D,"Must",'Recommendations'!L:L,"=Resolved")</f>
        <v>0</v>
      </c>
      <c r="D69" s="44">
        <f>COUNTIFS('Recommendations'!D:D,"=Must",'Recommendations'!L:L,"=Testing")</f>
        <v>0</v>
      </c>
      <c r="E69" s="44">
        <f>COUNTIFS('Recommendations'!D:D,"=Must",'Recommendations'!L:L,"=Outstanding")</f>
        <v>0</v>
      </c>
      <c r="F69" s="44">
        <f>SUM(C69:E69)</f>
        <v>0</v>
      </c>
    </row>
    <row r="70" spans="2:6" x14ac:dyDescent="0.35">
      <c r="B70" s="43" t="s">
        <v>539</v>
      </c>
      <c r="C70" s="44">
        <f>COUNTIFS('Recommendations'!D:D,"Should",'Recommendations'!L:L,"=Resolved")</f>
        <v>0</v>
      </c>
      <c r="D70" s="44">
        <f>COUNTIFS('Recommendations'!D:D,"=Should",'Recommendations'!L:L,"=Testing")</f>
        <v>0</v>
      </c>
      <c r="E70" s="44">
        <f>COUNTIFS('Recommendations'!D:D,"=Should",'Recommendations'!L:L,"=Outstanding")</f>
        <v>0</v>
      </c>
      <c r="F70" s="44">
        <f>SUM(C70:E70)</f>
        <v>0</v>
      </c>
    </row>
    <row r="71" spans="2:6" x14ac:dyDescent="0.35">
      <c r="B71" s="43" t="s">
        <v>540</v>
      </c>
      <c r="C71" s="44">
        <f>COUNTIFS('Recommendations'!D:D,"Could",'Recommendations'!L:L,"=Resolved")</f>
        <v>0</v>
      </c>
      <c r="D71" s="44">
        <f>COUNTIFS('Recommendations'!D:D,"=Could",'Recommendations'!L:L,"=Testing")</f>
        <v>0</v>
      </c>
      <c r="E71" s="44">
        <f>COUNTIFS('Recommendations'!D:D,"=Could",'Recommendations'!L:L,"=Outstanding")</f>
        <v>0</v>
      </c>
      <c r="F71" s="44">
        <f>SUM(C71:E71)</f>
        <v>0</v>
      </c>
    </row>
    <row r="72" spans="2:6" x14ac:dyDescent="0.35">
      <c r="B72" s="43" t="s">
        <v>541</v>
      </c>
      <c r="C72" s="44">
        <f>COUNTIFS('Recommendations'!D:D,"Won't",'Recommendations'!L:L,"=Resolved")</f>
        <v>0</v>
      </c>
      <c r="D72" s="44">
        <f>COUNTIFS('Recommendations'!D:D,"=Won't",'Recommendations'!L:L,"=Testing")</f>
        <v>0</v>
      </c>
      <c r="E72" s="44">
        <f>COUNTIFS('Recommendations'!D:D,"=Won't",'Recommendations'!L:L,"=Outstanding")</f>
        <v>0</v>
      </c>
      <c r="F72" s="44">
        <f>SUM(C72:E72)</f>
        <v>0</v>
      </c>
    </row>
    <row r="73" spans="2:6" x14ac:dyDescent="0.35">
      <c r="B73" s="43" t="s">
        <v>16</v>
      </c>
      <c r="C73" s="44">
        <f>COUNTIFS('Recommendations'!D:D,"Unassigned",'Recommendations'!L:L,"=Resolved")</f>
        <v>0</v>
      </c>
      <c r="D73" s="44">
        <f>COUNTIFS('Recommendations'!D:D,"=Unassigned",'Recommendations'!L:L,"=Testing")</f>
        <v>0</v>
      </c>
      <c r="E73" s="44">
        <f>COUNTIFS('Recommendations'!D:D,"=Unassigned",'Recommendations'!L:L,"=Outstanding")</f>
        <v>83</v>
      </c>
      <c r="F73" s="44">
        <f>SUM(C73:E73)</f>
        <v>83</v>
      </c>
    </row>
    <row r="75" spans="2:6" x14ac:dyDescent="0.35">
      <c r="B75" s="53" t="s">
        <v>529</v>
      </c>
    </row>
    <row r="76" spans="2:6" x14ac:dyDescent="0.35">
      <c r="B76" s="54" t="s">
        <v>3</v>
      </c>
      <c r="C76" s="54" t="s">
        <v>524</v>
      </c>
      <c r="D76" s="54" t="s">
        <v>525</v>
      </c>
      <c r="E76" s="54" t="s">
        <v>526</v>
      </c>
      <c r="F76" s="54" t="s">
        <v>19</v>
      </c>
    </row>
    <row r="77" spans="2:6" x14ac:dyDescent="0.35">
      <c r="B77" s="43" t="s">
        <v>538</v>
      </c>
      <c r="C77" s="45">
        <f>IF(F69&gt;0, C69/F69, 0)</f>
        <v>0</v>
      </c>
      <c r="D77" s="45">
        <f>IF(F69&gt;0, D69/F69, 0)</f>
        <v>0</v>
      </c>
      <c r="E77" s="45">
        <f>IF(F69&gt;0, E69/F69, 0)</f>
        <v>0</v>
      </c>
      <c r="F77" s="46" t="s">
        <v>19</v>
      </c>
    </row>
    <row r="78" spans="2:6" x14ac:dyDescent="0.35">
      <c r="B78" s="43" t="s">
        <v>539</v>
      </c>
      <c r="C78" s="45">
        <f>IF(F70&gt;0, C70/F70, 0)</f>
        <v>0</v>
      </c>
      <c r="D78" s="45">
        <f>IF(F70&gt;0, D70/F70, 0)</f>
        <v>0</v>
      </c>
      <c r="E78" s="45">
        <f>IF(F70&gt;0, E70/F70, 0)</f>
        <v>0</v>
      </c>
      <c r="F78" s="46" t="s">
        <v>19</v>
      </c>
    </row>
    <row r="79" spans="2:6" x14ac:dyDescent="0.35">
      <c r="B79" s="43" t="s">
        <v>540</v>
      </c>
      <c r="C79" s="45">
        <f>IF(F71&gt;0, C71/F71, 0)</f>
        <v>0</v>
      </c>
      <c r="D79" s="45">
        <f>IF(F71&gt;0, D71/F71, 0)</f>
        <v>0</v>
      </c>
      <c r="E79" s="45">
        <f>IF(F71&gt;0, E71/F71, 0)</f>
        <v>0</v>
      </c>
      <c r="F79" s="46" t="s">
        <v>19</v>
      </c>
    </row>
    <row r="80" spans="2:6" x14ac:dyDescent="0.35">
      <c r="B80" s="43" t="s">
        <v>541</v>
      </c>
      <c r="C80" s="45">
        <f>IF(F72&gt;0, C72/F72, 0)</f>
        <v>0</v>
      </c>
      <c r="D80" s="45">
        <f>IF(F72&gt;0, D72/F72, 0)</f>
        <v>0</v>
      </c>
      <c r="E80" s="45">
        <f>IF(F72&gt;0, E72/F72, 0)</f>
        <v>0</v>
      </c>
      <c r="F80" s="46" t="s">
        <v>19</v>
      </c>
    </row>
    <row r="81" spans="2:6" x14ac:dyDescent="0.35">
      <c r="B81" s="43" t="s">
        <v>16</v>
      </c>
      <c r="C81" s="45">
        <f>IF(F73&gt;0, C73/F73, 0)</f>
        <v>0</v>
      </c>
      <c r="D81" s="45">
        <f>IF(F73&gt;0, D73/F73, 0)</f>
        <v>0</v>
      </c>
      <c r="E81" s="45">
        <f>IF(F73&gt;0, E73/F73, 0)</f>
        <v>1</v>
      </c>
      <c r="F81" s="46" t="s">
        <v>19</v>
      </c>
    </row>
    <row r="86" spans="2:6" ht="18.5" x14ac:dyDescent="0.45">
      <c r="B86" s="39" t="s">
        <v>542</v>
      </c>
    </row>
    <row r="88" spans="2:6" x14ac:dyDescent="0.35">
      <c r="B88" s="53" t="s">
        <v>523</v>
      </c>
    </row>
    <row r="89" spans="2:6" x14ac:dyDescent="0.35">
      <c r="B89" s="41" t="s">
        <v>543</v>
      </c>
      <c r="C89" s="41" t="s">
        <v>524</v>
      </c>
      <c r="D89" s="41" t="s">
        <v>525</v>
      </c>
      <c r="E89" s="41" t="s">
        <v>526</v>
      </c>
      <c r="F89" s="41" t="s">
        <v>527</v>
      </c>
    </row>
    <row r="90" spans="2:6" x14ac:dyDescent="0.35">
      <c r="B90" s="43" t="s">
        <v>544</v>
      </c>
      <c r="C90" s="44">
        <f>COUNTIFS('Recommendations'!E:E,"Low",'Recommendations'!L:L,"=Resolved")</f>
        <v>0</v>
      </c>
      <c r="D90" s="44">
        <f>COUNTIFS('Recommendations'!E:E,"=Low",'Recommendations'!L:L,"=Testing")</f>
        <v>0</v>
      </c>
      <c r="E90" s="44">
        <f>COUNTIFS('Recommendations'!E:E,"=Low",'Recommendations'!L:L,"=Outstanding")</f>
        <v>0</v>
      </c>
      <c r="F90" s="44">
        <f>SUM(C90:E90)</f>
        <v>0</v>
      </c>
    </row>
    <row r="91" spans="2:6" x14ac:dyDescent="0.35">
      <c r="B91" s="43" t="s">
        <v>545</v>
      </c>
      <c r="C91" s="44">
        <f>COUNTIFS('Recommendations'!E:E,"Medium",'Recommendations'!L:L,"=Resolved")</f>
        <v>0</v>
      </c>
      <c r="D91" s="44">
        <f>COUNTIFS('Recommendations'!E:E,"=Medium",'Recommendations'!L:L,"=Testing")</f>
        <v>0</v>
      </c>
      <c r="E91" s="44">
        <f>COUNTIFS('Recommendations'!E:E,"=Medium",'Recommendations'!L:L,"=Outstanding")</f>
        <v>0</v>
      </c>
      <c r="F91" s="44">
        <f>SUM(C91:E91)</f>
        <v>0</v>
      </c>
    </row>
    <row r="92" spans="2:6" x14ac:dyDescent="0.35">
      <c r="B92" s="43" t="s">
        <v>546</v>
      </c>
      <c r="C92" s="44">
        <f>COUNTIFS('Recommendations'!E:E,"High",'Recommendations'!L:L,"=Resolved")</f>
        <v>0</v>
      </c>
      <c r="D92" s="44">
        <f>COUNTIFS('Recommendations'!E:E,"=High",'Recommendations'!L:L,"=Testing")</f>
        <v>0</v>
      </c>
      <c r="E92" s="44">
        <f>COUNTIFS('Recommendations'!E:E,"=High",'Recommendations'!L:L,"=Outstanding")</f>
        <v>0</v>
      </c>
      <c r="F92" s="44">
        <f>SUM(C92:E92)</f>
        <v>0</v>
      </c>
    </row>
    <row r="93" spans="2:6" x14ac:dyDescent="0.35">
      <c r="B93" s="43" t="s">
        <v>17</v>
      </c>
      <c r="C93" s="44">
        <f>COUNTIFS('Recommendations'!E:E,"Unassessed",'Recommendations'!L:L,"=Resolved")</f>
        <v>0</v>
      </c>
      <c r="D93" s="44">
        <f>COUNTIFS('Recommendations'!E:E,"=Unassessed",'Recommendations'!L:L,"=Testing")</f>
        <v>0</v>
      </c>
      <c r="E93" s="44">
        <f>COUNTIFS('Recommendations'!E:E,"=Unassessed",'Recommendations'!L:L,"=Outstanding")</f>
        <v>83</v>
      </c>
      <c r="F93" s="44">
        <f>SUM(C93:E93)</f>
        <v>83</v>
      </c>
    </row>
    <row r="95" spans="2:6" x14ac:dyDescent="0.35">
      <c r="B95" s="53" t="s">
        <v>529</v>
      </c>
    </row>
    <row r="96" spans="2:6" x14ac:dyDescent="0.35">
      <c r="B96" s="54" t="s">
        <v>543</v>
      </c>
      <c r="C96" s="54" t="s">
        <v>524</v>
      </c>
      <c r="D96" s="54" t="s">
        <v>525</v>
      </c>
      <c r="E96" s="54" t="s">
        <v>526</v>
      </c>
      <c r="F96" s="54" t="s">
        <v>19</v>
      </c>
    </row>
    <row r="97" spans="2:15" x14ac:dyDescent="0.35">
      <c r="B97" s="43" t="s">
        <v>544</v>
      </c>
      <c r="C97" s="45">
        <f>IF(F90&gt;0, C90/F90, 0)</f>
        <v>0</v>
      </c>
      <c r="D97" s="45">
        <f>IF(F90&gt;0, D90/F90, 0)</f>
        <v>0</v>
      </c>
      <c r="E97" s="45">
        <f>IF(F90&gt;0, E90/F90, 0)</f>
        <v>0</v>
      </c>
      <c r="F97" s="46" t="s">
        <v>19</v>
      </c>
    </row>
    <row r="98" spans="2:15" x14ac:dyDescent="0.35">
      <c r="B98" s="43" t="s">
        <v>545</v>
      </c>
      <c r="C98" s="45">
        <f>IF(F91&gt;0, C91/F91, 0)</f>
        <v>0</v>
      </c>
      <c r="D98" s="45">
        <f>IF(F91&gt;0, D91/F91, 0)</f>
        <v>0</v>
      </c>
      <c r="E98" s="45">
        <f>IF(F91&gt;0, E91/F91, 0)</f>
        <v>0</v>
      </c>
      <c r="F98" s="46" t="s">
        <v>19</v>
      </c>
    </row>
    <row r="99" spans="2:15" x14ac:dyDescent="0.35">
      <c r="B99" s="43" t="s">
        <v>546</v>
      </c>
      <c r="C99" s="45">
        <f>IF(F92&gt;0, C92/F92, 0)</f>
        <v>0</v>
      </c>
      <c r="D99" s="45">
        <f>IF(F92&gt;0, D92/F92, 0)</f>
        <v>0</v>
      </c>
      <c r="E99" s="45">
        <f>IF(F92&gt;0, E92/F92, 0)</f>
        <v>0</v>
      </c>
      <c r="F99" s="46" t="s">
        <v>19</v>
      </c>
    </row>
    <row r="100" spans="2:15" x14ac:dyDescent="0.35">
      <c r="B100" s="43" t="s">
        <v>17</v>
      </c>
      <c r="C100" s="45">
        <f>IF(F93&gt;0, C93/F93, 0)</f>
        <v>0</v>
      </c>
      <c r="D100" s="45">
        <f>IF(F93&gt;0, D93/F93, 0)</f>
        <v>0</v>
      </c>
      <c r="E100" s="45">
        <f>IF(F93&gt;0, E93/F93, 0)</f>
        <v>1</v>
      </c>
      <c r="F100" s="46" t="s">
        <v>19</v>
      </c>
    </row>
    <row r="105" spans="2:15" ht="18.5" x14ac:dyDescent="0.45">
      <c r="B105" s="39" t="s">
        <v>547</v>
      </c>
      <c r="J105" s="39" t="s">
        <v>548</v>
      </c>
    </row>
    <row r="106" spans="2:15" x14ac:dyDescent="0.35">
      <c r="B106" s="41" t="s">
        <v>5</v>
      </c>
      <c r="C106" s="271" t="s">
        <v>549</v>
      </c>
      <c r="D106" s="271"/>
      <c r="E106" s="41" t="s">
        <v>516</v>
      </c>
      <c r="F106" s="41" t="s">
        <v>524</v>
      </c>
      <c r="G106" s="271" t="s">
        <v>550</v>
      </c>
      <c r="H106" s="271"/>
      <c r="J106" s="41" t="s">
        <v>5</v>
      </c>
      <c r="K106" s="41" t="s">
        <v>538</v>
      </c>
      <c r="L106" s="41" t="s">
        <v>539</v>
      </c>
      <c r="M106" s="41" t="s">
        <v>540</v>
      </c>
      <c r="N106" s="41" t="s">
        <v>541</v>
      </c>
      <c r="O106" s="41" t="s">
        <v>16</v>
      </c>
    </row>
    <row r="107" spans="2:15" x14ac:dyDescent="0.35">
      <c r="B107" s="47" t="s">
        <v>531</v>
      </c>
      <c r="C107" s="272" t="s">
        <v>19</v>
      </c>
      <c r="D107" s="272"/>
      <c r="E107" s="44">
        <f>COUNTIF('Recommendations'!F:F,"Phase1")-COUNTIFS('Recommendations'!F:F,"Phase1",'Recommendations'!G:G,"Risk Accepted")-COUNTIFS('Recommendations'!F:F,"Phase1",'Recommendations'!G:G,"N/A")</f>
        <v>0</v>
      </c>
      <c r="F107" s="44">
        <f>COUNTIFS('Recommendations'!F:F,"Phase1",'Recommendations'!L:L,"Resolved")</f>
        <v>0</v>
      </c>
      <c r="G107" s="273">
        <f t="shared" ref="G107:G112" si="4">IF(E107&gt;0,F107/E107,0)</f>
        <v>0</v>
      </c>
      <c r="H107" s="273"/>
      <c r="J107" s="47" t="s">
        <v>531</v>
      </c>
      <c r="K107" s="44">
        <f>COUNTIFS('Recommendations'!F:F,"Phase1",'Recommendations'!D:D,"Must")</f>
        <v>0</v>
      </c>
      <c r="L107" s="44">
        <f>COUNTIFS('Recommendations'!F:F,"Phase1",'Recommendations'!D:D,"Should")</f>
        <v>0</v>
      </c>
      <c r="M107" s="44">
        <f>COUNTIFS('Recommendations'!F:F,"Phase1",'Recommendations'!D:D,"Could")</f>
        <v>0</v>
      </c>
      <c r="N107" s="44">
        <f>COUNTIFS('Recommendations'!F:F,"Phase1",'Recommendations'!D:D,"Won't")</f>
        <v>0</v>
      </c>
      <c r="O107" s="44">
        <f>COUNTIFS('Recommendations'!F:F,"Phase1",'Recommendations'!D:D,"Unassigned")</f>
        <v>0</v>
      </c>
    </row>
    <row r="108" spans="2:15" x14ac:dyDescent="0.35">
      <c r="B108" s="47" t="s">
        <v>532</v>
      </c>
      <c r="C108" s="272" t="s">
        <v>19</v>
      </c>
      <c r="D108" s="272"/>
      <c r="E108" s="44">
        <f>COUNTIF('Recommendations'!F:F,"Phase2")-COUNTIFS('Recommendations'!F:F,"Phase2",'Recommendations'!G:G,"Risk Accepted")-COUNTIFS('Recommendations'!F:F,"Phase2",'Recommendations'!G:G,"N/A")</f>
        <v>0</v>
      </c>
      <c r="F108" s="44">
        <f>COUNTIFS('Recommendations'!F:F,"Phase2",'Recommendations'!L:L,"Resolved")</f>
        <v>0</v>
      </c>
      <c r="G108" s="273">
        <f t="shared" si="4"/>
        <v>0</v>
      </c>
      <c r="H108" s="273"/>
      <c r="J108" s="47" t="s">
        <v>532</v>
      </c>
      <c r="K108" s="44">
        <f>COUNTIFS('Recommendations'!F:F,"Phase2",'Recommendations'!D:D,"Must")</f>
        <v>0</v>
      </c>
      <c r="L108" s="44">
        <f>COUNTIFS('Recommendations'!F:F,"Phase2",'Recommendations'!D:D,"Should")</f>
        <v>0</v>
      </c>
      <c r="M108" s="44">
        <f>COUNTIFS('Recommendations'!F:F,"Phase2",'Recommendations'!D:D,"Could")</f>
        <v>0</v>
      </c>
      <c r="N108" s="44">
        <f>COUNTIFS('Recommendations'!F:F,"Phase2",'Recommendations'!D:D,"Won't")</f>
        <v>0</v>
      </c>
      <c r="O108" s="44">
        <f>COUNTIFS('Recommendations'!F:F,"Phase2",'Recommendations'!D:D,"Unassigned")</f>
        <v>0</v>
      </c>
    </row>
    <row r="109" spans="2:15" x14ac:dyDescent="0.35">
      <c r="B109" s="47" t="s">
        <v>533</v>
      </c>
      <c r="C109" s="272" t="s">
        <v>19</v>
      </c>
      <c r="D109" s="272"/>
      <c r="E109" s="44">
        <f>COUNTIF('Recommendations'!F:F,"Phase3")-COUNTIFS('Recommendations'!F:F,"Phase3",'Recommendations'!G:G,"Risk Accepted")-COUNTIFS('Recommendations'!F:F,"Phase3",'Recommendations'!G:G,"N/A")</f>
        <v>0</v>
      </c>
      <c r="F109" s="44">
        <f>COUNTIFS('Recommendations'!F:F,"Phase3",'Recommendations'!L:L,"Resolved")</f>
        <v>0</v>
      </c>
      <c r="G109" s="273">
        <f t="shared" si="4"/>
        <v>0</v>
      </c>
      <c r="H109" s="273"/>
      <c r="J109" s="47" t="s">
        <v>533</v>
      </c>
      <c r="K109" s="44">
        <f>COUNTIFS('Recommendations'!F:F,"Phase3",'Recommendations'!D:D,"Must")</f>
        <v>0</v>
      </c>
      <c r="L109" s="44">
        <f>COUNTIFS('Recommendations'!F:F,"Phase3",'Recommendations'!D:D,"Should")</f>
        <v>0</v>
      </c>
      <c r="M109" s="44">
        <f>COUNTIFS('Recommendations'!F:F,"Phase3",'Recommendations'!D:D,"Could")</f>
        <v>0</v>
      </c>
      <c r="N109" s="44">
        <f>COUNTIFS('Recommendations'!F:F,"Phase3",'Recommendations'!D:D,"Won't")</f>
        <v>0</v>
      </c>
      <c r="O109" s="44">
        <f>COUNTIFS('Recommendations'!F:F,"Phase3",'Recommendations'!D:D,"Unassigned")</f>
        <v>0</v>
      </c>
    </row>
    <row r="110" spans="2:15" x14ac:dyDescent="0.35">
      <c r="B110" s="47" t="s">
        <v>534</v>
      </c>
      <c r="C110" s="272" t="s">
        <v>19</v>
      </c>
      <c r="D110" s="272"/>
      <c r="E110" s="44">
        <f>COUNTIF('Recommendations'!F:F,"Phase4")-COUNTIFS('Recommendations'!F:F,"Phase4",'Recommendations'!G:G,"Risk Accepted")-COUNTIFS('Recommendations'!F:F,"Phase4",'Recommendations'!G:G,"N/A")</f>
        <v>0</v>
      </c>
      <c r="F110" s="44">
        <f>COUNTIFS('Recommendations'!F:F,"Phase4",'Recommendations'!L:L,"Resolved")</f>
        <v>0</v>
      </c>
      <c r="G110" s="273">
        <f t="shared" si="4"/>
        <v>0</v>
      </c>
      <c r="H110" s="273"/>
      <c r="J110" s="47" t="s">
        <v>534</v>
      </c>
      <c r="K110" s="44">
        <f>COUNTIFS('Recommendations'!F:F,"Phase4",'Recommendations'!D:D,"Must")</f>
        <v>0</v>
      </c>
      <c r="L110" s="44">
        <f>COUNTIFS('Recommendations'!F:F,"Phase4",'Recommendations'!D:D,"Should")</f>
        <v>0</v>
      </c>
      <c r="M110" s="44">
        <f>COUNTIFS('Recommendations'!F:F,"Phase4",'Recommendations'!D:D,"Could")</f>
        <v>0</v>
      </c>
      <c r="N110" s="44">
        <f>COUNTIFS('Recommendations'!F:F,"Phase4",'Recommendations'!D:D,"Won't")</f>
        <v>0</v>
      </c>
      <c r="O110" s="44">
        <f>COUNTIFS('Recommendations'!F:F,"Phase4",'Recommendations'!D:D,"Unassigned")</f>
        <v>0</v>
      </c>
    </row>
    <row r="111" spans="2:15" x14ac:dyDescent="0.35">
      <c r="B111" s="47" t="s">
        <v>535</v>
      </c>
      <c r="C111" s="272" t="s">
        <v>19</v>
      </c>
      <c r="D111" s="272"/>
      <c r="E111" s="44">
        <f>COUNTIF('Recommendations'!F:F,"Phase5")-COUNTIFS('Recommendations'!F:F,"Phase5",'Recommendations'!G:G,"Risk Accepted")-COUNTIFS('Recommendations'!F:F,"Phase5",'Recommendations'!G:G,"N/A")</f>
        <v>0</v>
      </c>
      <c r="F111" s="44">
        <f>COUNTIFS('Recommendations'!F:F,"Phase5",'Recommendations'!L:L,"Resolved")</f>
        <v>0</v>
      </c>
      <c r="G111" s="273">
        <f t="shared" si="4"/>
        <v>0</v>
      </c>
      <c r="H111" s="273"/>
      <c r="J111" s="47" t="s">
        <v>535</v>
      </c>
      <c r="K111" s="44">
        <f>COUNTIFS('Recommendations'!F:F,"Phase5",'Recommendations'!D:D,"Must")</f>
        <v>0</v>
      </c>
      <c r="L111" s="44">
        <f>COUNTIFS('Recommendations'!F:F,"Phase5",'Recommendations'!D:D,"Should")</f>
        <v>0</v>
      </c>
      <c r="M111" s="44">
        <f>COUNTIFS('Recommendations'!F:F,"Phase5",'Recommendations'!D:D,"Could")</f>
        <v>0</v>
      </c>
      <c r="N111" s="44">
        <f>COUNTIFS('Recommendations'!F:F,"Phase5",'Recommendations'!D:D,"Won't")</f>
        <v>0</v>
      </c>
      <c r="O111" s="44">
        <f>COUNTIFS('Recommendations'!F:F,"Phase5",'Recommendations'!D:D,"Unassigned")</f>
        <v>0</v>
      </c>
    </row>
    <row r="112" spans="2:15" x14ac:dyDescent="0.35">
      <c r="B112" s="47" t="s">
        <v>18</v>
      </c>
      <c r="C112" s="272" t="s">
        <v>19</v>
      </c>
      <c r="D112" s="272"/>
      <c r="E112" s="44">
        <f>COUNTIF('Recommendations'!F:F,"Pending")-COUNTIFS('Recommendations'!F:F,"Pending",'Recommendations'!G:G,"Risk Accepted")-COUNTIFS('Recommendations'!F:F,"Pending",'Recommendations'!G:G,"N/A")</f>
        <v>83</v>
      </c>
      <c r="F112" s="44">
        <f>COUNTIFS('Recommendations'!F:F,"Pending",'Recommendations'!L:L,"Resolved")</f>
        <v>0</v>
      </c>
      <c r="G112" s="273">
        <f t="shared" si="4"/>
        <v>0</v>
      </c>
      <c r="H112" s="273"/>
      <c r="J112" s="47" t="s">
        <v>18</v>
      </c>
      <c r="K112" s="44">
        <f>COUNTIFS('Recommendations'!F:F,"Pending",'Recommendations'!D:D,"Must")</f>
        <v>0</v>
      </c>
      <c r="L112" s="44">
        <f>COUNTIFS('Recommendations'!F:F,"Pending",'Recommendations'!D:D,"Should")</f>
        <v>0</v>
      </c>
      <c r="M112" s="44">
        <f>COUNTIFS('Recommendations'!F:F,"Pending",'Recommendations'!D:D,"Could")</f>
        <v>0</v>
      </c>
      <c r="N112" s="44">
        <f>COUNTIFS('Recommendations'!F:F,"Pending",'Recommendations'!D:D,"Won't")</f>
        <v>0</v>
      </c>
      <c r="O112" s="44">
        <f>COUNTIFS('Recommendations'!F:F,"Pending",'Recommendations'!D:D,"Unassigned")</f>
        <v>83</v>
      </c>
    </row>
    <row r="119" spans="2:24" ht="21" x14ac:dyDescent="0.5">
      <c r="B119" s="39" t="s">
        <v>551</v>
      </c>
      <c r="P119" s="56" t="s">
        <v>552</v>
      </c>
    </row>
    <row r="121" spans="2:24" ht="60" customHeight="1" x14ac:dyDescent="0.35">
      <c r="B121" s="274" t="s">
        <v>553</v>
      </c>
      <c r="C121" s="267"/>
      <c r="D121" s="267"/>
      <c r="E121" s="267"/>
      <c r="F121" s="267"/>
      <c r="P121" s="274" t="s">
        <v>554</v>
      </c>
      <c r="Q121" s="267"/>
      <c r="R121" s="267"/>
      <c r="S121" s="267"/>
      <c r="T121" s="267"/>
      <c r="U121" s="267"/>
      <c r="V121" s="267"/>
      <c r="W121" s="267"/>
    </row>
    <row r="123" spans="2:24" ht="30" customHeight="1" x14ac:dyDescent="0.35">
      <c r="P123" s="57" t="s">
        <v>555</v>
      </c>
      <c r="Q123" s="58">
        <f>C16</f>
        <v>0</v>
      </c>
      <c r="R123" s="59"/>
      <c r="S123" s="58">
        <f>C69</f>
        <v>0</v>
      </c>
      <c r="T123" s="59"/>
      <c r="U123" s="58">
        <f>C70</f>
        <v>0</v>
      </c>
      <c r="V123" s="59"/>
      <c r="W123" s="58">
        <f>C71</f>
        <v>0</v>
      </c>
      <c r="X123" s="59"/>
    </row>
    <row r="124" spans="2:24" ht="35" customHeight="1" x14ac:dyDescent="0.35">
      <c r="P124" s="60" t="s">
        <v>556</v>
      </c>
      <c r="Q124" s="60" t="s">
        <v>557</v>
      </c>
      <c r="R124" s="60" t="s">
        <v>558</v>
      </c>
      <c r="S124" s="60" t="s">
        <v>559</v>
      </c>
      <c r="T124" s="60" t="s">
        <v>560</v>
      </c>
      <c r="U124" s="60" t="s">
        <v>561</v>
      </c>
      <c r="V124" s="60" t="s">
        <v>562</v>
      </c>
      <c r="W124" s="60" t="s">
        <v>563</v>
      </c>
      <c r="X124" s="60" t="s">
        <v>564</v>
      </c>
    </row>
    <row r="125" spans="2:24" x14ac:dyDescent="0.35">
      <c r="O125" s="61" t="s">
        <v>565</v>
      </c>
      <c r="P125" s="62" t="s">
        <v>566</v>
      </c>
      <c r="Q125" s="63">
        <v>0</v>
      </c>
      <c r="R125" s="64">
        <f>IF(Dashboard!F16&gt;0, Q125/Dashboard!F16, "")</f>
        <v>0</v>
      </c>
      <c r="S125" s="63">
        <v>0</v>
      </c>
      <c r="T125" s="64" t="str">
        <f>IF(AND(NOT(ISBLANK(S125)),Dashboard!F69&gt;0), S125/Dashboard!F69, "")</f>
        <v/>
      </c>
      <c r="U125" s="63">
        <v>0</v>
      </c>
      <c r="V125" s="64" t="str">
        <f>IF(AND(NOT(ISBLANK(U125)),Dashboard!F70&gt;0), U125/Dashboard!F70, "")</f>
        <v/>
      </c>
      <c r="W125" s="63">
        <v>0</v>
      </c>
      <c r="X125" s="64" t="str">
        <f>IF(AND(NOT(ISBLANK(W125)),Dashboard!F71&gt;0), W125/Dashboard!F71, "")</f>
        <v/>
      </c>
    </row>
    <row r="126" spans="2:24" x14ac:dyDescent="0.35">
      <c r="P126" s="55"/>
      <c r="Q126" s="42"/>
      <c r="R126" s="45" t="str">
        <f>IF(AND(NOT(ISBLANK(Q126)),Dashboard!F16&gt;0), Q126/Dashboard!F16, "")</f>
        <v/>
      </c>
      <c r="S126" s="42"/>
      <c r="T126" s="45" t="str">
        <f>IF(AND(NOT(ISBLANK(S126)),Dashboard!F69&gt;0), S126/Dashboard!F69, "")</f>
        <v/>
      </c>
      <c r="U126" s="42"/>
      <c r="V126" s="45" t="str">
        <f>IF(AND(NOT(ISBLANK(U126)),Dashboard!F70&gt;0), U126/Dashboard!F70, "")</f>
        <v/>
      </c>
      <c r="W126" s="42"/>
      <c r="X126" s="45" t="str">
        <f>IF(AND(NOT(ISBLANK(W126)),Dashboard!F71&gt;0), W126/Dashboard!F71, "")</f>
        <v/>
      </c>
    </row>
    <row r="127" spans="2:24" x14ac:dyDescent="0.35">
      <c r="P127" s="55"/>
      <c r="Q127" s="42"/>
      <c r="R127" s="45" t="str">
        <f>IF(AND(NOT(ISBLANK(Q127)),Dashboard!F16&gt;0), Q127/Dashboard!F16, "")</f>
        <v/>
      </c>
      <c r="S127" s="42"/>
      <c r="T127" s="45" t="str">
        <f>IF(AND(NOT(ISBLANK(S127)),Dashboard!F69&gt;0), S127/Dashboard!F69, "")</f>
        <v/>
      </c>
      <c r="U127" s="42"/>
      <c r="V127" s="45" t="str">
        <f>IF(AND(NOT(ISBLANK(U127)),Dashboard!F70&gt;0), U127/Dashboard!F70, "")</f>
        <v/>
      </c>
      <c r="W127" s="42"/>
      <c r="X127" s="45" t="str">
        <f>IF(AND(NOT(ISBLANK(W127)),Dashboard!F71&gt;0), W127/Dashboard!F71, "")</f>
        <v/>
      </c>
    </row>
    <row r="128" spans="2:24" x14ac:dyDescent="0.35">
      <c r="P128" s="55"/>
      <c r="Q128" s="42"/>
      <c r="R128" s="45" t="str">
        <f>IF(AND(NOT(ISBLANK(Q128)),Dashboard!F16&gt;0), Q128/Dashboard!F16, "")</f>
        <v/>
      </c>
      <c r="S128" s="42"/>
      <c r="T128" s="45" t="str">
        <f>IF(AND(NOT(ISBLANK(S128)),Dashboard!F69&gt;0), S128/Dashboard!F69, "")</f>
        <v/>
      </c>
      <c r="U128" s="42"/>
      <c r="V128" s="45" t="str">
        <f>IF(AND(NOT(ISBLANK(U128)),Dashboard!F70&gt;0), U128/Dashboard!F70, "")</f>
        <v/>
      </c>
      <c r="W128" s="42"/>
      <c r="X128" s="45" t="str">
        <f>IF(AND(NOT(ISBLANK(W128)),Dashboard!F71&gt;0), W128/Dashboard!F71, "")</f>
        <v/>
      </c>
    </row>
    <row r="129" spans="16:24" x14ac:dyDescent="0.35">
      <c r="P129" s="55"/>
      <c r="Q129" s="42"/>
      <c r="R129" s="45" t="str">
        <f>IF(AND(NOT(ISBLANK(Q129)),Dashboard!F16&gt;0), Q129/Dashboard!F16, "")</f>
        <v/>
      </c>
      <c r="S129" s="42"/>
      <c r="T129" s="45" t="str">
        <f>IF(AND(NOT(ISBLANK(S129)),Dashboard!F69&gt;0), S129/Dashboard!F69, "")</f>
        <v/>
      </c>
      <c r="U129" s="42"/>
      <c r="V129" s="45" t="str">
        <f>IF(AND(NOT(ISBLANK(U129)),Dashboard!F70&gt;0), U129/Dashboard!F70, "")</f>
        <v/>
      </c>
      <c r="W129" s="42"/>
      <c r="X129" s="45" t="str">
        <f>IF(AND(NOT(ISBLANK(W129)),Dashboard!F71&gt;0), W129/Dashboard!F71, "")</f>
        <v/>
      </c>
    </row>
    <row r="130" spans="16:24" x14ac:dyDescent="0.35">
      <c r="P130" s="55"/>
      <c r="Q130" s="42"/>
      <c r="R130" s="45" t="str">
        <f>IF(AND(NOT(ISBLANK(Q130)),Dashboard!F16&gt;0), Q130/Dashboard!F16, "")</f>
        <v/>
      </c>
      <c r="S130" s="42"/>
      <c r="T130" s="45" t="str">
        <f>IF(AND(NOT(ISBLANK(S130)),Dashboard!F69&gt;0), S130/Dashboard!F69, "")</f>
        <v/>
      </c>
      <c r="U130" s="42"/>
      <c r="V130" s="45" t="str">
        <f>IF(AND(NOT(ISBLANK(U130)),Dashboard!F70&gt;0), U130/Dashboard!F70, "")</f>
        <v/>
      </c>
      <c r="W130" s="42"/>
      <c r="X130" s="45" t="str">
        <f>IF(AND(NOT(ISBLANK(W130)),Dashboard!F71&gt;0), W130/Dashboard!F71, "")</f>
        <v/>
      </c>
    </row>
    <row r="131" spans="16:24" x14ac:dyDescent="0.35">
      <c r="P131" s="55"/>
      <c r="Q131" s="42"/>
      <c r="R131" s="45" t="str">
        <f>IF(AND(NOT(ISBLANK(Q131)),Dashboard!F16&gt;0), Q131/Dashboard!F16, "")</f>
        <v/>
      </c>
      <c r="S131" s="42"/>
      <c r="T131" s="45" t="str">
        <f>IF(AND(NOT(ISBLANK(S131)),Dashboard!F69&gt;0), S131/Dashboard!F69, "")</f>
        <v/>
      </c>
      <c r="U131" s="42"/>
      <c r="V131" s="45" t="str">
        <f>IF(AND(NOT(ISBLANK(U131)),Dashboard!F70&gt;0), U131/Dashboard!F70, "")</f>
        <v/>
      </c>
      <c r="W131" s="42"/>
      <c r="X131" s="45" t="str">
        <f>IF(AND(NOT(ISBLANK(W131)),Dashboard!F71&gt;0), W131/Dashboard!F71, "")</f>
        <v/>
      </c>
    </row>
    <row r="132" spans="16:24" x14ac:dyDescent="0.35">
      <c r="P132" s="55"/>
      <c r="Q132" s="42"/>
      <c r="R132" s="45" t="str">
        <f>IF(AND(NOT(ISBLANK(Q132)),Dashboard!F16&gt;0), Q132/Dashboard!F16, "")</f>
        <v/>
      </c>
      <c r="S132" s="42"/>
      <c r="T132" s="45" t="str">
        <f>IF(AND(NOT(ISBLANK(S132)),Dashboard!F69&gt;0), S132/Dashboard!F69, "")</f>
        <v/>
      </c>
      <c r="U132" s="42"/>
      <c r="V132" s="45" t="str">
        <f>IF(AND(NOT(ISBLANK(U132)),Dashboard!F70&gt;0), U132/Dashboard!F70, "")</f>
        <v/>
      </c>
      <c r="W132" s="42"/>
      <c r="X132" s="45" t="str">
        <f>IF(AND(NOT(ISBLANK(W132)),Dashboard!F71&gt;0), W132/Dashboard!F71, "")</f>
        <v/>
      </c>
    </row>
    <row r="133" spans="16:24" x14ac:dyDescent="0.35">
      <c r="P133" s="55"/>
      <c r="Q133" s="42"/>
      <c r="R133" s="45" t="str">
        <f>IF(AND(NOT(ISBLANK(Q133)),Dashboard!F16&gt;0), Q133/Dashboard!F16, "")</f>
        <v/>
      </c>
      <c r="S133" s="42"/>
      <c r="T133" s="45" t="str">
        <f>IF(AND(NOT(ISBLANK(S133)),Dashboard!F69&gt;0), S133/Dashboard!F69, "")</f>
        <v/>
      </c>
      <c r="U133" s="42"/>
      <c r="V133" s="45" t="str">
        <f>IF(AND(NOT(ISBLANK(U133)),Dashboard!F70&gt;0), U133/Dashboard!F70, "")</f>
        <v/>
      </c>
      <c r="W133" s="42"/>
      <c r="X133" s="45" t="str">
        <f>IF(AND(NOT(ISBLANK(W133)),Dashboard!F71&gt;0), W133/Dashboard!F71, "")</f>
        <v/>
      </c>
    </row>
    <row r="134" spans="16:24" x14ac:dyDescent="0.35">
      <c r="P134" s="55"/>
      <c r="Q134" s="42"/>
      <c r="R134" s="45" t="str">
        <f>IF(AND(NOT(ISBLANK(Q134)),Dashboard!F16&gt;0), Q134/Dashboard!F16, "")</f>
        <v/>
      </c>
      <c r="S134" s="42"/>
      <c r="T134" s="45" t="str">
        <f>IF(AND(NOT(ISBLANK(S134)),Dashboard!F69&gt;0), S134/Dashboard!F69, "")</f>
        <v/>
      </c>
      <c r="U134" s="42"/>
      <c r="V134" s="45" t="str">
        <f>IF(AND(NOT(ISBLANK(U134)),Dashboard!F70&gt;0), U134/Dashboard!F70, "")</f>
        <v/>
      </c>
      <c r="W134" s="42"/>
      <c r="X134" s="45" t="str">
        <f>IF(AND(NOT(ISBLANK(W134)),Dashboard!F71&gt;0), W134/Dashboard!F71, "")</f>
        <v/>
      </c>
    </row>
    <row r="135" spans="16:24" x14ac:dyDescent="0.35">
      <c r="P135" s="55"/>
      <c r="Q135" s="42"/>
      <c r="R135" s="45" t="str">
        <f>IF(AND(NOT(ISBLANK(Q135)),Dashboard!F16&gt;0), Q135/Dashboard!F16, "")</f>
        <v/>
      </c>
      <c r="S135" s="42"/>
      <c r="T135" s="45" t="str">
        <f>IF(AND(NOT(ISBLANK(S135)),Dashboard!F69&gt;0), S135/Dashboard!F69, "")</f>
        <v/>
      </c>
      <c r="U135" s="42"/>
      <c r="V135" s="45" t="str">
        <f>IF(AND(NOT(ISBLANK(U135)),Dashboard!F70&gt;0), U135/Dashboard!F70, "")</f>
        <v/>
      </c>
      <c r="W135" s="42"/>
      <c r="X135" s="45" t="str">
        <f>IF(AND(NOT(ISBLANK(W135)),Dashboard!F71&gt;0), W135/Dashboard!F71, "")</f>
        <v/>
      </c>
    </row>
    <row r="136" spans="16:24" x14ac:dyDescent="0.35">
      <c r="P136" s="55"/>
      <c r="Q136" s="42"/>
      <c r="R136" s="45" t="str">
        <f>IF(AND(NOT(ISBLANK(Q136)),Dashboard!F16&gt;0), Q136/Dashboard!F16, "")</f>
        <v/>
      </c>
      <c r="S136" s="42"/>
      <c r="T136" s="45" t="str">
        <f>IF(AND(NOT(ISBLANK(S136)),Dashboard!F69&gt;0), S136/Dashboard!F69, "")</f>
        <v/>
      </c>
      <c r="U136" s="42"/>
      <c r="V136" s="45" t="str">
        <f>IF(AND(NOT(ISBLANK(U136)),Dashboard!F70&gt;0), U136/Dashboard!F70, "")</f>
        <v/>
      </c>
      <c r="W136" s="42"/>
      <c r="X136" s="45" t="str">
        <f>IF(AND(NOT(ISBLANK(W136)),Dashboard!F71&gt;0), W136/Dashboard!F71, "")</f>
        <v/>
      </c>
    </row>
    <row r="137" spans="16:24" x14ac:dyDescent="0.35">
      <c r="P137" s="55"/>
      <c r="Q137" s="42"/>
      <c r="R137" s="45" t="str">
        <f>IF(AND(NOT(ISBLANK(Q137)),Dashboard!F16&gt;0), Q137/Dashboard!F16, "")</f>
        <v/>
      </c>
      <c r="S137" s="42"/>
      <c r="T137" s="45" t="str">
        <f>IF(AND(NOT(ISBLANK(S137)),Dashboard!F69&gt;0), S137/Dashboard!F69, "")</f>
        <v/>
      </c>
      <c r="U137" s="42"/>
      <c r="V137" s="45" t="str">
        <f>IF(AND(NOT(ISBLANK(U137)),Dashboard!F70&gt;0), U137/Dashboard!F70, "")</f>
        <v/>
      </c>
      <c r="W137" s="42"/>
      <c r="X137" s="45" t="str">
        <f>IF(AND(NOT(ISBLANK(W137)),Dashboard!F71&gt;0), W137/Dashboard!F71, "")</f>
        <v/>
      </c>
    </row>
    <row r="138" spans="16:24" x14ac:dyDescent="0.35">
      <c r="P138" s="55"/>
      <c r="Q138" s="42"/>
      <c r="R138" s="45" t="str">
        <f>IF(AND(NOT(ISBLANK(Q138)),Dashboard!F16&gt;0), Q138/Dashboard!F16, "")</f>
        <v/>
      </c>
      <c r="S138" s="42"/>
      <c r="T138" s="45" t="str">
        <f>IF(AND(NOT(ISBLANK(S138)),Dashboard!F69&gt;0), S138/Dashboard!F69, "")</f>
        <v/>
      </c>
      <c r="U138" s="42"/>
      <c r="V138" s="45" t="str">
        <f>IF(AND(NOT(ISBLANK(U138)),Dashboard!F70&gt;0), U138/Dashboard!F70, "")</f>
        <v/>
      </c>
      <c r="W138" s="42"/>
      <c r="X138" s="45" t="str">
        <f>IF(AND(NOT(ISBLANK(W138)),Dashboard!F71&gt;0), W138/Dashboard!F71, "")</f>
        <v/>
      </c>
    </row>
    <row r="139" spans="16:24" x14ac:dyDescent="0.35">
      <c r="P139" s="55"/>
      <c r="Q139" s="42"/>
      <c r="R139" s="45" t="str">
        <f>IF(AND(NOT(ISBLANK(Q139)),Dashboard!F16&gt;0), Q139/Dashboard!F16, "")</f>
        <v/>
      </c>
      <c r="S139" s="42"/>
      <c r="T139" s="45" t="str">
        <f>IF(AND(NOT(ISBLANK(S139)),Dashboard!F69&gt;0), S139/Dashboard!F69, "")</f>
        <v/>
      </c>
      <c r="U139" s="42"/>
      <c r="V139" s="45" t="str">
        <f>IF(AND(NOT(ISBLANK(U139)),Dashboard!F70&gt;0), U139/Dashboard!F70, "")</f>
        <v/>
      </c>
      <c r="W139" s="42"/>
      <c r="X139" s="45" t="str">
        <f>IF(AND(NOT(ISBLANK(W139)),Dashboard!F71&gt;0), W139/Dashboard!F71, "")</f>
        <v/>
      </c>
    </row>
    <row r="140" spans="16:24" x14ac:dyDescent="0.35">
      <c r="P140" s="55"/>
      <c r="Q140" s="42"/>
      <c r="R140" s="45" t="str">
        <f>IF(AND(NOT(ISBLANK(Q140)),Dashboard!F16&gt;0), Q140/Dashboard!F16, "")</f>
        <v/>
      </c>
      <c r="S140" s="42"/>
      <c r="T140" s="45" t="str">
        <f>IF(AND(NOT(ISBLANK(S140)),Dashboard!F69&gt;0), S140/Dashboard!F69, "")</f>
        <v/>
      </c>
      <c r="U140" s="42"/>
      <c r="V140" s="45" t="str">
        <f>IF(AND(NOT(ISBLANK(U140)),Dashboard!F70&gt;0), U140/Dashboard!F70, "")</f>
        <v/>
      </c>
      <c r="W140" s="42"/>
      <c r="X140" s="45" t="str">
        <f>IF(AND(NOT(ISBLANK(W140)),Dashboard!F71&gt;0), W140/Dashboard!F71, "")</f>
        <v/>
      </c>
    </row>
    <row r="141" spans="16:24" x14ac:dyDescent="0.35">
      <c r="P141" s="55"/>
      <c r="Q141" s="42"/>
      <c r="R141" s="45" t="str">
        <f>IF(AND(NOT(ISBLANK(Q141)),Dashboard!F16&gt;0), Q141/Dashboard!F16, "")</f>
        <v/>
      </c>
      <c r="S141" s="42"/>
      <c r="T141" s="45" t="str">
        <f>IF(AND(NOT(ISBLANK(S141)),Dashboard!F69&gt;0), S141/Dashboard!F69, "")</f>
        <v/>
      </c>
      <c r="U141" s="42"/>
      <c r="V141" s="45" t="str">
        <f>IF(AND(NOT(ISBLANK(U141)),Dashboard!F70&gt;0), U141/Dashboard!F70, "")</f>
        <v/>
      </c>
      <c r="W141" s="42"/>
      <c r="X141" s="45" t="str">
        <f>IF(AND(NOT(ISBLANK(W141)),Dashboard!F71&gt;0), W141/Dashboard!F71, "")</f>
        <v/>
      </c>
    </row>
    <row r="142" spans="16:24" x14ac:dyDescent="0.35">
      <c r="P142" s="55"/>
      <c r="Q142" s="42"/>
      <c r="R142" s="45" t="str">
        <f>IF(AND(NOT(ISBLANK(Q142)),Dashboard!F16&gt;0), Q142/Dashboard!F16, "")</f>
        <v/>
      </c>
      <c r="S142" s="42"/>
      <c r="T142" s="45" t="str">
        <f>IF(AND(NOT(ISBLANK(S142)),Dashboard!F69&gt;0), S142/Dashboard!F69, "")</f>
        <v/>
      </c>
      <c r="U142" s="42"/>
      <c r="V142" s="45" t="str">
        <f>IF(AND(NOT(ISBLANK(U142)),Dashboard!F70&gt;0), U142/Dashboard!F70, "")</f>
        <v/>
      </c>
      <c r="W142" s="42"/>
      <c r="X142" s="45" t="str">
        <f>IF(AND(NOT(ISBLANK(W142)),Dashboard!F71&gt;0), W142/Dashboard!F71, "")</f>
        <v/>
      </c>
    </row>
    <row r="143" spans="16:24" x14ac:dyDescent="0.35">
      <c r="P143" s="55"/>
      <c r="Q143" s="42"/>
      <c r="R143" s="45" t="str">
        <f>IF(AND(NOT(ISBLANK(Q143)),Dashboard!F16&gt;0), Q143/Dashboard!F16, "")</f>
        <v/>
      </c>
      <c r="S143" s="42"/>
      <c r="T143" s="45" t="str">
        <f>IF(AND(NOT(ISBLANK(S143)),Dashboard!F69&gt;0), S143/Dashboard!F69, "")</f>
        <v/>
      </c>
      <c r="U143" s="42"/>
      <c r="V143" s="45" t="str">
        <f>IF(AND(NOT(ISBLANK(U143)),Dashboard!F70&gt;0), U143/Dashboard!F70, "")</f>
        <v/>
      </c>
      <c r="W143" s="42"/>
      <c r="X143" s="45" t="str">
        <f>IF(AND(NOT(ISBLANK(W143)),Dashboard!F71&gt;0), W143/Dashboard!F71, "")</f>
        <v/>
      </c>
    </row>
    <row r="144" spans="16:24" x14ac:dyDescent="0.35">
      <c r="P144" s="55"/>
      <c r="Q144" s="42"/>
      <c r="R144" s="45" t="str">
        <f>IF(AND(NOT(ISBLANK(Q144)),Dashboard!F16&gt;0), Q144/Dashboard!F16, "")</f>
        <v/>
      </c>
      <c r="S144" s="42"/>
      <c r="T144" s="45" t="str">
        <f>IF(AND(NOT(ISBLANK(S144)),Dashboard!F69&gt;0), S144/Dashboard!F69, "")</f>
        <v/>
      </c>
      <c r="U144" s="42"/>
      <c r="V144" s="45" t="str">
        <f>IF(AND(NOT(ISBLANK(U144)),Dashboard!F70&gt;0), U144/Dashboard!F70, "")</f>
        <v/>
      </c>
      <c r="W144" s="42"/>
      <c r="X144" s="45" t="str">
        <f>IF(AND(NOT(ISBLANK(W144)),Dashboard!F71&gt;0), W144/Dashboard!F71, "")</f>
        <v/>
      </c>
    </row>
    <row r="145" spans="2:24" x14ac:dyDescent="0.35">
      <c r="P145" s="55"/>
      <c r="Q145" s="42"/>
      <c r="R145" s="45" t="str">
        <f>IF(AND(NOT(ISBLANK(Q145)),Dashboard!F16&gt;0), Q145/Dashboard!F16, "")</f>
        <v/>
      </c>
      <c r="S145" s="42"/>
      <c r="T145" s="45" t="str">
        <f>IF(AND(NOT(ISBLANK(S145)),Dashboard!F69&gt;0), S145/Dashboard!F69, "")</f>
        <v/>
      </c>
      <c r="U145" s="42"/>
      <c r="V145" s="45" t="str">
        <f>IF(AND(NOT(ISBLANK(U145)),Dashboard!F70&gt;0), U145/Dashboard!F70, "")</f>
        <v/>
      </c>
      <c r="W145" s="42"/>
      <c r="X145" s="45" t="str">
        <f>IF(AND(NOT(ISBLANK(W145)),Dashboard!F71&gt;0), W145/Dashboard!F71, "")</f>
        <v/>
      </c>
    </row>
    <row r="146" spans="2:24" x14ac:dyDescent="0.35">
      <c r="P146" s="55"/>
      <c r="Q146" s="42"/>
      <c r="R146" s="45" t="str">
        <f>IF(AND(NOT(ISBLANK(Q146)),Dashboard!F16&gt;0), Q146/Dashboard!F16, "")</f>
        <v/>
      </c>
      <c r="S146" s="42"/>
      <c r="T146" s="45" t="str">
        <f>IF(AND(NOT(ISBLANK(S146)),Dashboard!F69&gt;0), S146/Dashboard!F69, "")</f>
        <v/>
      </c>
      <c r="U146" s="42"/>
      <c r="V146" s="45" t="str">
        <f>IF(AND(NOT(ISBLANK(U146)),Dashboard!F70&gt;0), U146/Dashboard!F70, "")</f>
        <v/>
      </c>
      <c r="W146" s="42"/>
      <c r="X146" s="45" t="str">
        <f>IF(AND(NOT(ISBLANK(W146)),Dashboard!F71&gt;0), W146/Dashboard!F71, "")</f>
        <v/>
      </c>
    </row>
    <row r="147" spans="2:24" x14ac:dyDescent="0.35">
      <c r="P147" s="55"/>
      <c r="Q147" s="42"/>
      <c r="R147" s="45" t="str">
        <f>IF(AND(NOT(ISBLANK(Q147)),Dashboard!F16&gt;0), Q147/Dashboard!F16, "")</f>
        <v/>
      </c>
      <c r="S147" s="42"/>
      <c r="T147" s="45" t="str">
        <f>IF(AND(NOT(ISBLANK(S147)),Dashboard!F69&gt;0), S147/Dashboard!F69, "")</f>
        <v/>
      </c>
      <c r="U147" s="42"/>
      <c r="V147" s="45" t="str">
        <f>IF(AND(NOT(ISBLANK(U147)),Dashboard!F70&gt;0), U147/Dashboard!F70, "")</f>
        <v/>
      </c>
      <c r="W147" s="42"/>
      <c r="X147" s="45" t="str">
        <f>IF(AND(NOT(ISBLANK(W147)),Dashboard!F71&gt;0), W147/Dashboard!F71, "")</f>
        <v/>
      </c>
    </row>
    <row r="148" spans="2:24" x14ac:dyDescent="0.35">
      <c r="P148" s="55"/>
      <c r="Q148" s="42"/>
      <c r="R148" s="45" t="str">
        <f>IF(AND(NOT(ISBLANK(Q148)),Dashboard!F16&gt;0), Q148/Dashboard!F16, "")</f>
        <v/>
      </c>
      <c r="S148" s="42"/>
      <c r="T148" s="45" t="str">
        <f>IF(AND(NOT(ISBLANK(S148)),Dashboard!F69&gt;0), S148/Dashboard!F69, "")</f>
        <v/>
      </c>
      <c r="U148" s="42"/>
      <c r="V148" s="45" t="str">
        <f>IF(AND(NOT(ISBLANK(U148)),Dashboard!F70&gt;0), U148/Dashboard!F70, "")</f>
        <v/>
      </c>
      <c r="W148" s="42"/>
      <c r="X148" s="45" t="str">
        <f>IF(AND(NOT(ISBLANK(W148)),Dashboard!F71&gt;0), W148/Dashboard!F71, "")</f>
        <v/>
      </c>
    </row>
    <row r="149" spans="2:24" x14ac:dyDescent="0.35">
      <c r="P149" s="55"/>
      <c r="Q149" s="42"/>
      <c r="R149" s="45" t="str">
        <f>IF(AND(NOT(ISBLANK(Q149)),Dashboard!F16&gt;0), Q149/Dashboard!F16, "")</f>
        <v/>
      </c>
      <c r="S149" s="42"/>
      <c r="T149" s="45" t="str">
        <f>IF(AND(NOT(ISBLANK(S149)),Dashboard!F69&gt;0), S149/Dashboard!F69, "")</f>
        <v/>
      </c>
      <c r="U149" s="42"/>
      <c r="V149" s="45" t="str">
        <f>IF(AND(NOT(ISBLANK(U149)),Dashboard!F70&gt;0), U149/Dashboard!F70, "")</f>
        <v/>
      </c>
      <c r="W149" s="42"/>
      <c r="X149" s="45" t="str">
        <f>IF(AND(NOT(ISBLANK(W149)),Dashboard!F71&gt;0), W149/Dashboard!F71, "")</f>
        <v/>
      </c>
    </row>
    <row r="150" spans="2:24" x14ac:dyDescent="0.35">
      <c r="P150" s="55"/>
      <c r="Q150" s="42"/>
      <c r="R150" s="45" t="str">
        <f>IF(AND(NOT(ISBLANK(Q150)),Dashboard!F16&gt;0), Q150/Dashboard!F16, "")</f>
        <v/>
      </c>
      <c r="S150" s="42"/>
      <c r="T150" s="45" t="str">
        <f>IF(AND(NOT(ISBLANK(S150)),Dashboard!F69&gt;0), S150/Dashboard!F69, "")</f>
        <v/>
      </c>
      <c r="U150" s="42"/>
      <c r="V150" s="45" t="str">
        <f>IF(AND(NOT(ISBLANK(U150)),Dashboard!F70&gt;0), U150/Dashboard!F70, "")</f>
        <v/>
      </c>
      <c r="W150" s="42"/>
      <c r="X150" s="45" t="str">
        <f>IF(AND(NOT(ISBLANK(W150)),Dashboard!F71&gt;0), W150/Dashboard!F71, "")</f>
        <v/>
      </c>
    </row>
    <row r="151" spans="2:24" x14ac:dyDescent="0.35">
      <c r="P151" s="55"/>
      <c r="Q151" s="42"/>
      <c r="R151" s="45" t="str">
        <f>IF(AND(NOT(ISBLANK(Q151)),Dashboard!F16&gt;0), Q151/Dashboard!F16, "")</f>
        <v/>
      </c>
      <c r="S151" s="42"/>
      <c r="T151" s="45" t="str">
        <f>IF(AND(NOT(ISBLANK(S151)),Dashboard!F69&gt;0), S151/Dashboard!F69, "")</f>
        <v/>
      </c>
      <c r="U151" s="42"/>
      <c r="V151" s="45" t="str">
        <f>IF(AND(NOT(ISBLANK(U151)),Dashboard!F70&gt;0), U151/Dashboard!F70, "")</f>
        <v/>
      </c>
      <c r="W151" s="42"/>
      <c r="X151" s="45" t="str">
        <f>IF(AND(NOT(ISBLANK(W151)),Dashboard!F71&gt;0), W151/Dashboard!F71, "")</f>
        <v/>
      </c>
    </row>
    <row r="152" spans="2:24" x14ac:dyDescent="0.35">
      <c r="P152" s="55"/>
      <c r="Q152" s="42"/>
      <c r="R152" s="45" t="str">
        <f>IF(AND(NOT(ISBLANK(Q152)),Dashboard!F16&gt;0), Q152/Dashboard!F16, "")</f>
        <v/>
      </c>
      <c r="S152" s="42"/>
      <c r="T152" s="45" t="str">
        <f>IF(AND(NOT(ISBLANK(S152)),Dashboard!F69&gt;0), S152/Dashboard!F69, "")</f>
        <v/>
      </c>
      <c r="U152" s="42"/>
      <c r="V152" s="45" t="str">
        <f>IF(AND(NOT(ISBLANK(U152)),Dashboard!F70&gt;0), U152/Dashboard!F70, "")</f>
        <v/>
      </c>
      <c r="W152" s="42"/>
      <c r="X152" s="45" t="str">
        <f>IF(AND(NOT(ISBLANK(W152)),Dashboard!F71&gt;0), W152/Dashboard!F71, "")</f>
        <v/>
      </c>
    </row>
    <row r="153" spans="2:24" x14ac:dyDescent="0.35">
      <c r="P153" s="55"/>
      <c r="Q153" s="42"/>
      <c r="R153" s="45" t="str">
        <f>IF(AND(NOT(ISBLANK(Q153)),Dashboard!F16&gt;0), Q153/Dashboard!F16, "")</f>
        <v/>
      </c>
      <c r="S153" s="42"/>
      <c r="T153" s="45" t="str">
        <f>IF(AND(NOT(ISBLANK(S153)),Dashboard!F69&gt;0), S153/Dashboard!F69, "")</f>
        <v/>
      </c>
      <c r="U153" s="42"/>
      <c r="V153" s="45" t="str">
        <f>IF(AND(NOT(ISBLANK(U153)),Dashboard!F70&gt;0), U153/Dashboard!F70, "")</f>
        <v/>
      </c>
      <c r="W153" s="42"/>
      <c r="X153" s="45" t="str">
        <f>IF(AND(NOT(ISBLANK(W153)),Dashboard!F71&gt;0), W153/Dashboard!F71, "")</f>
        <v/>
      </c>
    </row>
    <row r="154" spans="2:24" x14ac:dyDescent="0.35">
      <c r="P154" s="55"/>
      <c r="Q154" s="42"/>
      <c r="R154" s="45" t="str">
        <f>IF(AND(NOT(ISBLANK(Q154)),Dashboard!F16&gt;0), Q154/Dashboard!F16, "")</f>
        <v/>
      </c>
      <c r="S154" s="42"/>
      <c r="T154" s="45" t="str">
        <f>IF(AND(NOT(ISBLANK(S154)),Dashboard!F69&gt;0), S154/Dashboard!F69, "")</f>
        <v/>
      </c>
      <c r="U154" s="42"/>
      <c r="V154" s="45" t="str">
        <f>IF(AND(NOT(ISBLANK(U154)),Dashboard!F70&gt;0), U154/Dashboard!F70, "")</f>
        <v/>
      </c>
      <c r="W154" s="42"/>
      <c r="X154" s="45" t="str">
        <f>IF(AND(NOT(ISBLANK(W154)),Dashboard!F71&gt;0), W154/Dashboard!F71, "")</f>
        <v/>
      </c>
    </row>
    <row r="155" spans="2:24" x14ac:dyDescent="0.35">
      <c r="P155" s="55"/>
      <c r="Q155" s="42"/>
      <c r="R155" s="45" t="str">
        <f>IF(AND(NOT(ISBLANK(Q155)),Dashboard!F16&gt;0), Q155/Dashboard!F16, "")</f>
        <v/>
      </c>
      <c r="S155" s="42"/>
      <c r="T155" s="45" t="str">
        <f>IF(AND(NOT(ISBLANK(S155)),Dashboard!F69&gt;0), S155/Dashboard!F69, "")</f>
        <v/>
      </c>
      <c r="U155" s="42"/>
      <c r="V155" s="45" t="str">
        <f>IF(AND(NOT(ISBLANK(U155)),Dashboard!F70&gt;0), U155/Dashboard!F70, "")</f>
        <v/>
      </c>
      <c r="W155" s="42"/>
      <c r="X155" s="45" t="str">
        <f>IF(AND(NOT(ISBLANK(W155)),Dashboard!F71&gt;0), W155/Dashboard!F71, "")</f>
        <v/>
      </c>
    </row>
    <row r="160" spans="2:24" ht="21" x14ac:dyDescent="0.5">
      <c r="B160" s="39" t="s">
        <v>567</v>
      </c>
      <c r="P160" s="56" t="s">
        <v>568</v>
      </c>
    </row>
    <row r="162" spans="2:22" ht="45" customHeight="1" x14ac:dyDescent="0.35">
      <c r="B162" s="274" t="s">
        <v>569</v>
      </c>
      <c r="C162" s="267"/>
      <c r="D162" s="267"/>
      <c r="E162" s="267"/>
      <c r="F162" s="267"/>
      <c r="P162" s="274" t="s">
        <v>570</v>
      </c>
      <c r="Q162" s="267"/>
      <c r="R162" s="267"/>
      <c r="S162" s="267"/>
      <c r="T162" s="267"/>
      <c r="U162" s="267"/>
    </row>
    <row r="163" spans="2:22" ht="35" customHeight="1" x14ac:dyDescent="0.35">
      <c r="P163" s="271" t="s">
        <v>571</v>
      </c>
      <c r="Q163" s="271"/>
      <c r="R163" s="271" t="s">
        <v>572</v>
      </c>
      <c r="S163" s="271"/>
      <c r="T163" s="271"/>
    </row>
    <row r="164" spans="2:22" ht="30" customHeight="1" x14ac:dyDescent="0.35">
      <c r="P164" s="275">
        <v>0</v>
      </c>
      <c r="Q164" s="276"/>
      <c r="R164" s="277" t="s">
        <v>573</v>
      </c>
      <c r="S164" s="278"/>
      <c r="T164" s="278"/>
    </row>
    <row r="167" spans="2:22" ht="25" customHeight="1" x14ac:dyDescent="0.35">
      <c r="P167" s="65" t="s">
        <v>556</v>
      </c>
      <c r="Q167" s="65" t="s">
        <v>574</v>
      </c>
      <c r="R167" s="65" t="s">
        <v>575</v>
      </c>
      <c r="S167" s="279" t="s">
        <v>7</v>
      </c>
      <c r="T167" s="279"/>
      <c r="U167" s="279"/>
      <c r="V167" s="267"/>
    </row>
    <row r="168" spans="2:22" ht="20" customHeight="1" x14ac:dyDescent="0.35">
      <c r="P168" s="67"/>
      <c r="Q168" s="68"/>
      <c r="R168" s="69" t="str">
        <f>IF(AND(NOT(ISBLANK(Q168)), Dashboard!$P164&gt;0), Q168/Dashboard!$P164, "")</f>
        <v/>
      </c>
      <c r="S168" s="280"/>
      <c r="T168" s="281"/>
      <c r="U168" s="281"/>
      <c r="V168" s="281"/>
    </row>
    <row r="169" spans="2:22" ht="20" customHeight="1" x14ac:dyDescent="0.35">
      <c r="P169" s="67"/>
      <c r="Q169" s="68"/>
      <c r="R169" s="69" t="str">
        <f>IF(AND(NOT(ISBLANK(Q169)), Dashboard!$P164&gt;0), Q169/Dashboard!$P164, "")</f>
        <v/>
      </c>
      <c r="S169" s="280"/>
      <c r="T169" s="281"/>
      <c r="U169" s="281"/>
      <c r="V169" s="281"/>
    </row>
    <row r="170" spans="2:22" ht="20" customHeight="1" x14ac:dyDescent="0.35">
      <c r="P170" s="67"/>
      <c r="Q170" s="68"/>
      <c r="R170" s="69" t="str">
        <f>IF(AND(NOT(ISBLANK(Q170)), Dashboard!$P164&gt;0), Q170/Dashboard!$P164, "")</f>
        <v/>
      </c>
      <c r="S170" s="280"/>
      <c r="T170" s="281"/>
      <c r="U170" s="281"/>
      <c r="V170" s="281"/>
    </row>
    <row r="171" spans="2:22" ht="20" customHeight="1" x14ac:dyDescent="0.35">
      <c r="P171" s="67"/>
      <c r="Q171" s="68"/>
      <c r="R171" s="69" t="str">
        <f>IF(AND(NOT(ISBLANK(Q171)), Dashboard!$P164&gt;0), Q171/Dashboard!$P164, "")</f>
        <v/>
      </c>
      <c r="S171" s="280"/>
      <c r="T171" s="281"/>
      <c r="U171" s="281"/>
      <c r="V171" s="281"/>
    </row>
    <row r="172" spans="2:22" ht="20" customHeight="1" x14ac:dyDescent="0.35">
      <c r="P172" s="67"/>
      <c r="Q172" s="68"/>
      <c r="R172" s="69" t="str">
        <f>IF(AND(NOT(ISBLANK(Q172)), Dashboard!$P164&gt;0), Q172/Dashboard!$P164, "")</f>
        <v/>
      </c>
      <c r="S172" s="280"/>
      <c r="T172" s="281"/>
      <c r="U172" s="281"/>
      <c r="V172" s="281"/>
    </row>
    <row r="173" spans="2:22" ht="20" customHeight="1" x14ac:dyDescent="0.35">
      <c r="P173" s="67"/>
      <c r="Q173" s="68"/>
      <c r="R173" s="69" t="str">
        <f>IF(AND(NOT(ISBLANK(Q173)), Dashboard!$P164&gt;0), Q173/Dashboard!$P164, "")</f>
        <v/>
      </c>
      <c r="S173" s="280"/>
      <c r="T173" s="281"/>
      <c r="U173" s="281"/>
      <c r="V173" s="281"/>
    </row>
    <row r="174" spans="2:22" ht="20" customHeight="1" x14ac:dyDescent="0.35">
      <c r="P174" s="67"/>
      <c r="Q174" s="68"/>
      <c r="R174" s="69" t="str">
        <f>IF(AND(NOT(ISBLANK(Q174)), Dashboard!$P164&gt;0), Q174/Dashboard!$P164, "")</f>
        <v/>
      </c>
      <c r="S174" s="280"/>
      <c r="T174" s="281"/>
      <c r="U174" s="281"/>
      <c r="V174" s="281"/>
    </row>
    <row r="175" spans="2:22" ht="20" customHeight="1" x14ac:dyDescent="0.35">
      <c r="P175" s="67"/>
      <c r="Q175" s="68"/>
      <c r="R175" s="69" t="str">
        <f>IF(AND(NOT(ISBLANK(Q175)), Dashboard!$P164&gt;0), Q175/Dashboard!$P164, "")</f>
        <v/>
      </c>
      <c r="S175" s="280"/>
      <c r="T175" s="281"/>
      <c r="U175" s="281"/>
      <c r="V175" s="281"/>
    </row>
    <row r="176" spans="2:22" ht="20" customHeight="1" x14ac:dyDescent="0.35">
      <c r="P176" s="67"/>
      <c r="Q176" s="68"/>
      <c r="R176" s="69" t="str">
        <f>IF(AND(NOT(ISBLANK(Q176)), Dashboard!$P164&gt;0), Q176/Dashboard!$P164, "")</f>
        <v/>
      </c>
      <c r="S176" s="280"/>
      <c r="T176" s="281"/>
      <c r="U176" s="281"/>
      <c r="V176" s="281"/>
    </row>
    <row r="177" spans="2:22" ht="20" customHeight="1" x14ac:dyDescent="0.35">
      <c r="P177" s="67"/>
      <c r="Q177" s="68"/>
      <c r="R177" s="69" t="str">
        <f>IF(AND(NOT(ISBLANK(Q177)), Dashboard!$P164&gt;0), Q177/Dashboard!$P164, "")</f>
        <v/>
      </c>
      <c r="S177" s="280"/>
      <c r="T177" s="281"/>
      <c r="U177" s="281"/>
      <c r="V177" s="281"/>
    </row>
    <row r="178" spans="2:22" ht="20" customHeight="1" x14ac:dyDescent="0.35">
      <c r="P178" s="67"/>
      <c r="Q178" s="68"/>
      <c r="R178" s="69" t="str">
        <f>IF(AND(NOT(ISBLANK(Q178)), Dashboard!$P164&gt;0), Q178/Dashboard!$P164, "")</f>
        <v/>
      </c>
      <c r="S178" s="280"/>
      <c r="T178" s="281"/>
      <c r="U178" s="281"/>
      <c r="V178" s="281"/>
    </row>
    <row r="179" spans="2:22" ht="20" customHeight="1" x14ac:dyDescent="0.35">
      <c r="P179" s="67"/>
      <c r="Q179" s="68"/>
      <c r="R179" s="69" t="str">
        <f>IF(AND(NOT(ISBLANK(Q179)), Dashboard!$P164&gt;0), Q179/Dashboard!$P164, "")</f>
        <v/>
      </c>
      <c r="S179" s="280"/>
      <c r="T179" s="281"/>
      <c r="U179" s="281"/>
      <c r="V179" s="281"/>
    </row>
    <row r="180" spans="2:22" ht="20" customHeight="1" x14ac:dyDescent="0.35">
      <c r="P180" s="67"/>
      <c r="Q180" s="68"/>
      <c r="R180" s="69" t="str">
        <f>IF(AND(NOT(ISBLANK(Q180)), Dashboard!$P164&gt;0), Q180/Dashboard!$P164, "")</f>
        <v/>
      </c>
      <c r="S180" s="280"/>
      <c r="T180" s="281"/>
      <c r="U180" s="281"/>
      <c r="V180" s="281"/>
    </row>
    <row r="181" spans="2:22" ht="20" customHeight="1" x14ac:dyDescent="0.35">
      <c r="P181" s="67"/>
      <c r="Q181" s="68"/>
      <c r="R181" s="69" t="str">
        <f>IF(AND(NOT(ISBLANK(Q181)), Dashboard!$P164&gt;0), Q181/Dashboard!$P164, "")</f>
        <v/>
      </c>
      <c r="S181" s="280"/>
      <c r="T181" s="281"/>
      <c r="U181" s="281"/>
      <c r="V181" s="281"/>
    </row>
    <row r="182" spans="2:22" ht="20" customHeight="1" x14ac:dyDescent="0.35">
      <c r="P182" s="67"/>
      <c r="Q182" s="68"/>
      <c r="R182" s="69" t="str">
        <f>IF(AND(NOT(ISBLANK(Q182)), Dashboard!$P164&gt;0), Q182/Dashboard!$P164, "")</f>
        <v/>
      </c>
      <c r="S182" s="280"/>
      <c r="T182" s="281"/>
      <c r="U182" s="281"/>
      <c r="V182" s="281"/>
    </row>
    <row r="183" spans="2:22" ht="20" customHeight="1" x14ac:dyDescent="0.35">
      <c r="P183" s="67"/>
      <c r="Q183" s="68"/>
      <c r="R183" s="69" t="str">
        <f>IF(AND(NOT(ISBLANK(Q183)), Dashboard!$P164&gt;0), Q183/Dashboard!$P164, "")</f>
        <v/>
      </c>
      <c r="S183" s="280"/>
      <c r="T183" s="281"/>
      <c r="U183" s="281"/>
      <c r="V183" s="281"/>
    </row>
    <row r="184" spans="2:22" ht="20" customHeight="1" x14ac:dyDescent="0.35">
      <c r="P184" s="67"/>
      <c r="Q184" s="68"/>
      <c r="R184" s="69" t="str">
        <f>IF(AND(NOT(ISBLANK(Q184)), Dashboard!$P164&gt;0), Q184/Dashboard!$P164, "")</f>
        <v/>
      </c>
      <c r="S184" s="280"/>
      <c r="T184" s="281"/>
      <c r="U184" s="281"/>
      <c r="V184" s="281"/>
    </row>
    <row r="185" spans="2:22" ht="20" customHeight="1" x14ac:dyDescent="0.35">
      <c r="P185" s="67"/>
      <c r="Q185" s="68"/>
      <c r="R185" s="69" t="str">
        <f>IF(AND(NOT(ISBLANK(Q185)), Dashboard!$P164&gt;0), Q185/Dashboard!$P164, "")</f>
        <v/>
      </c>
      <c r="S185" s="280"/>
      <c r="T185" s="281"/>
      <c r="U185" s="281"/>
      <c r="V185" s="281"/>
    </row>
    <row r="186" spans="2:22" ht="20" customHeight="1" x14ac:dyDescent="0.35">
      <c r="P186" s="67"/>
      <c r="Q186" s="68"/>
      <c r="R186" s="69" t="str">
        <f>IF(AND(NOT(ISBLANK(Q186)), Dashboard!$P164&gt;0), Q186/Dashboard!$P164, "")</f>
        <v/>
      </c>
      <c r="S186" s="280"/>
      <c r="T186" s="281"/>
      <c r="U186" s="281"/>
      <c r="V186" s="281"/>
    </row>
    <row r="187" spans="2:22" ht="20" customHeight="1" x14ac:dyDescent="0.35">
      <c r="P187" s="67"/>
      <c r="Q187" s="68"/>
      <c r="R187" s="69" t="str">
        <f>IF(AND(NOT(ISBLANK(Q187)), Dashboard!$P164&gt;0), Q187/Dashboard!$P164, "")</f>
        <v/>
      </c>
      <c r="S187" s="280"/>
      <c r="T187" s="281"/>
      <c r="U187" s="281"/>
      <c r="V187" s="281"/>
    </row>
    <row r="191" spans="2:22" ht="32" customHeight="1" x14ac:dyDescent="0.35">
      <c r="B191" s="265" t="s">
        <v>430</v>
      </c>
      <c r="C191" s="265"/>
      <c r="D191" s="265"/>
      <c r="E191" s="265"/>
      <c r="F191" s="265"/>
      <c r="G191" s="265"/>
      <c r="H191" s="265"/>
      <c r="I191" s="265"/>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77" priority="1" operator="greaterThanOrEqual">
      <formula>0.9</formula>
    </cfRule>
    <cfRule type="cellIs" dxfId="76" priority="2" operator="greaterThanOrEqual">
      <formula>0.5</formula>
    </cfRule>
    <cfRule type="cellIs" dxfId="75" priority="3" operator="lessThan">
      <formula>0.5</formula>
    </cfRule>
  </conditionalFormatting>
  <conditionalFormatting sqref="G107:H112">
    <cfRule type="expression" dxfId="74" priority="4">
      <formula>$G107&gt;=0.8</formula>
    </cfRule>
    <cfRule type="expression" dxfId="73" priority="5">
      <formula>AND($G107&gt;=0.5,$G107&lt;0.8)</formula>
    </cfRule>
    <cfRule type="expression" dxfId="72" priority="6">
      <formula>$G107&lt;0.5</formula>
    </cfRule>
  </conditionalFormatting>
  <conditionalFormatting sqref="K107:K112">
    <cfRule type="cellIs" dxfId="71" priority="7" operator="greaterThan">
      <formula>0</formula>
    </cfRule>
  </conditionalFormatting>
  <conditionalFormatting sqref="L107:L112">
    <cfRule type="cellIs" dxfId="70" priority="8" operator="greaterThan">
      <formula>0</formula>
    </cfRule>
  </conditionalFormatting>
  <conditionalFormatting sqref="M107:M112">
    <cfRule type="cellIs" dxfId="69" priority="9" operator="greaterThan">
      <formula>0</formula>
    </cfRule>
  </conditionalFormatting>
  <conditionalFormatting sqref="N107:N112">
    <cfRule type="cellIs" dxfId="68"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88"/>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84"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15</v>
      </c>
      <c r="D5" s="3" t="s">
        <v>16</v>
      </c>
      <c r="E5" s="3" t="s">
        <v>17</v>
      </c>
      <c r="F5" s="3" t="s">
        <v>18</v>
      </c>
      <c r="G5" s="3" t="s">
        <v>19</v>
      </c>
      <c r="H5" s="4" t="s">
        <v>19</v>
      </c>
      <c r="I5" s="1" t="s">
        <v>35</v>
      </c>
      <c r="J5" s="1" t="s">
        <v>36</v>
      </c>
      <c r="K5" s="1" t="s">
        <v>37</v>
      </c>
      <c r="L5" s="3" t="str">
        <f t="shared" si="0"/>
        <v>Outstanding</v>
      </c>
      <c r="M5" s="11" t="s">
        <v>19</v>
      </c>
    </row>
    <row r="6" spans="1:13" ht="60" customHeight="1" x14ac:dyDescent="0.35">
      <c r="A6" s="9" t="s">
        <v>38</v>
      </c>
      <c r="B6" s="1" t="s">
        <v>39</v>
      </c>
      <c r="C6" s="2" t="s">
        <v>15</v>
      </c>
      <c r="D6" s="3" t="s">
        <v>16</v>
      </c>
      <c r="E6" s="3" t="s">
        <v>17</v>
      </c>
      <c r="F6" s="3" t="s">
        <v>18</v>
      </c>
      <c r="G6" s="3" t="s">
        <v>19</v>
      </c>
      <c r="H6" s="4" t="s">
        <v>19</v>
      </c>
      <c r="I6" s="1" t="s">
        <v>40</v>
      </c>
      <c r="J6" s="1" t="s">
        <v>41</v>
      </c>
      <c r="K6" s="1" t="s">
        <v>42</v>
      </c>
      <c r="L6" s="3" t="str">
        <f t="shared" si="0"/>
        <v>Outstanding</v>
      </c>
      <c r="M6" s="11" t="s">
        <v>19</v>
      </c>
    </row>
    <row r="7" spans="1:13" ht="60" customHeight="1" x14ac:dyDescent="0.35">
      <c r="A7" s="9" t="s">
        <v>43</v>
      </c>
      <c r="B7" s="1" t="s">
        <v>44</v>
      </c>
      <c r="C7" s="2" t="s">
        <v>15</v>
      </c>
      <c r="D7" s="3" t="s">
        <v>16</v>
      </c>
      <c r="E7" s="3" t="s">
        <v>17</v>
      </c>
      <c r="F7" s="3" t="s">
        <v>18</v>
      </c>
      <c r="G7" s="3" t="s">
        <v>19</v>
      </c>
      <c r="H7" s="4" t="s">
        <v>19</v>
      </c>
      <c r="I7" s="1" t="s">
        <v>40</v>
      </c>
      <c r="J7" s="1" t="s">
        <v>45</v>
      </c>
      <c r="K7" s="1" t="s">
        <v>46</v>
      </c>
      <c r="L7" s="3" t="str">
        <f t="shared" si="0"/>
        <v>Outstanding</v>
      </c>
      <c r="M7" s="11" t="s">
        <v>19</v>
      </c>
    </row>
    <row r="8" spans="1:13" ht="60" customHeight="1" x14ac:dyDescent="0.35">
      <c r="A8" s="9" t="s">
        <v>47</v>
      </c>
      <c r="B8" s="1" t="s">
        <v>48</v>
      </c>
      <c r="C8" s="2" t="s">
        <v>15</v>
      </c>
      <c r="D8" s="3" t="s">
        <v>16</v>
      </c>
      <c r="E8" s="3" t="s">
        <v>17</v>
      </c>
      <c r="F8" s="3" t="s">
        <v>18</v>
      </c>
      <c r="G8" s="3" t="s">
        <v>19</v>
      </c>
      <c r="H8" s="4" t="s">
        <v>19</v>
      </c>
      <c r="I8" s="1" t="s">
        <v>40</v>
      </c>
      <c r="J8" s="1" t="s">
        <v>49</v>
      </c>
      <c r="K8" s="1" t="s">
        <v>50</v>
      </c>
      <c r="L8" s="3" t="str">
        <f t="shared" si="0"/>
        <v>Outstanding</v>
      </c>
      <c r="M8" s="11" t="s">
        <v>19</v>
      </c>
    </row>
    <row r="9" spans="1:13" ht="60" customHeight="1" x14ac:dyDescent="0.35">
      <c r="A9" s="9" t="s">
        <v>51</v>
      </c>
      <c r="B9" s="1" t="s">
        <v>52</v>
      </c>
      <c r="C9" s="2" t="s">
        <v>15</v>
      </c>
      <c r="D9" s="3" t="s">
        <v>16</v>
      </c>
      <c r="E9" s="3" t="s">
        <v>17</v>
      </c>
      <c r="F9" s="3" t="s">
        <v>18</v>
      </c>
      <c r="G9" s="3" t="s">
        <v>19</v>
      </c>
      <c r="H9" s="4" t="s">
        <v>19</v>
      </c>
      <c r="I9" s="1" t="s">
        <v>53</v>
      </c>
      <c r="J9" s="1" t="s">
        <v>54</v>
      </c>
      <c r="K9" s="1" t="s">
        <v>55</v>
      </c>
      <c r="L9" s="3" t="str">
        <f t="shared" si="0"/>
        <v>Outstanding</v>
      </c>
      <c r="M9" s="11" t="s">
        <v>19</v>
      </c>
    </row>
    <row r="10" spans="1:13" ht="60" customHeight="1" x14ac:dyDescent="0.35">
      <c r="A10" s="9" t="s">
        <v>56</v>
      </c>
      <c r="B10" s="1" t="s">
        <v>57</v>
      </c>
      <c r="C10" s="2" t="s">
        <v>58</v>
      </c>
      <c r="D10" s="3" t="s">
        <v>16</v>
      </c>
      <c r="E10" s="3" t="s">
        <v>17</v>
      </c>
      <c r="F10" s="3" t="s">
        <v>18</v>
      </c>
      <c r="G10" s="3" t="s">
        <v>19</v>
      </c>
      <c r="H10" s="4" t="s">
        <v>19</v>
      </c>
      <c r="I10" s="1" t="s">
        <v>59</v>
      </c>
      <c r="J10" s="1" t="s">
        <v>60</v>
      </c>
      <c r="K10" s="1" t="s">
        <v>61</v>
      </c>
      <c r="L10" s="3" t="str">
        <f t="shared" si="0"/>
        <v>Outstanding</v>
      </c>
      <c r="M10" s="11" t="s">
        <v>19</v>
      </c>
    </row>
    <row r="11" spans="1:13" ht="60" customHeight="1" x14ac:dyDescent="0.35">
      <c r="A11" s="9" t="s">
        <v>62</v>
      </c>
      <c r="B11" s="1" t="s">
        <v>63</v>
      </c>
      <c r="C11" s="2" t="s">
        <v>15</v>
      </c>
      <c r="D11" s="3" t="s">
        <v>16</v>
      </c>
      <c r="E11" s="3" t="s">
        <v>17</v>
      </c>
      <c r="F11" s="3" t="s">
        <v>18</v>
      </c>
      <c r="G11" s="3" t="s">
        <v>19</v>
      </c>
      <c r="H11" s="4" t="s">
        <v>19</v>
      </c>
      <c r="I11" s="1" t="s">
        <v>64</v>
      </c>
      <c r="J11" s="1" t="s">
        <v>65</v>
      </c>
      <c r="K11" s="1" t="s">
        <v>66</v>
      </c>
      <c r="L11" s="3" t="str">
        <f t="shared" si="0"/>
        <v>Outstanding</v>
      </c>
      <c r="M11" s="11" t="s">
        <v>19</v>
      </c>
    </row>
    <row r="12" spans="1:13" ht="60" customHeight="1" x14ac:dyDescent="0.35">
      <c r="A12" s="9" t="s">
        <v>67</v>
      </c>
      <c r="B12" s="1" t="s">
        <v>68</v>
      </c>
      <c r="C12" s="2" t="s">
        <v>15</v>
      </c>
      <c r="D12" s="3" t="s">
        <v>16</v>
      </c>
      <c r="E12" s="3" t="s">
        <v>17</v>
      </c>
      <c r="F12" s="3" t="s">
        <v>18</v>
      </c>
      <c r="G12" s="3" t="s">
        <v>19</v>
      </c>
      <c r="H12" s="4" t="s">
        <v>19</v>
      </c>
      <c r="I12" s="1" t="s">
        <v>69</v>
      </c>
      <c r="J12" s="1" t="s">
        <v>70</v>
      </c>
      <c r="K12" s="1" t="s">
        <v>71</v>
      </c>
      <c r="L12" s="3" t="str">
        <f t="shared" si="0"/>
        <v>Outstanding</v>
      </c>
      <c r="M12" s="11" t="s">
        <v>19</v>
      </c>
    </row>
    <row r="13" spans="1:13" ht="60" customHeight="1" x14ac:dyDescent="0.35">
      <c r="A13" s="9" t="s">
        <v>72</v>
      </c>
      <c r="B13" s="1" t="s">
        <v>73</v>
      </c>
      <c r="C13" s="2" t="s">
        <v>74</v>
      </c>
      <c r="D13" s="3" t="s">
        <v>16</v>
      </c>
      <c r="E13" s="3" t="s">
        <v>17</v>
      </c>
      <c r="F13" s="3" t="s">
        <v>18</v>
      </c>
      <c r="G13" s="3" t="s">
        <v>19</v>
      </c>
      <c r="H13" s="4" t="s">
        <v>19</v>
      </c>
      <c r="I13" s="1" t="s">
        <v>75</v>
      </c>
      <c r="J13" s="1" t="s">
        <v>76</v>
      </c>
      <c r="K13" s="1" t="s">
        <v>77</v>
      </c>
      <c r="L13" s="3" t="str">
        <f t="shared" si="0"/>
        <v>Outstanding</v>
      </c>
      <c r="M13" s="11" t="s">
        <v>19</v>
      </c>
    </row>
    <row r="14" spans="1:13" ht="60" customHeight="1" x14ac:dyDescent="0.35">
      <c r="A14" s="9" t="s">
        <v>78</v>
      </c>
      <c r="B14" s="1" t="s">
        <v>79</v>
      </c>
      <c r="C14" s="2" t="s">
        <v>15</v>
      </c>
      <c r="D14" s="3" t="s">
        <v>16</v>
      </c>
      <c r="E14" s="3" t="s">
        <v>17</v>
      </c>
      <c r="F14" s="3" t="s">
        <v>18</v>
      </c>
      <c r="G14" s="3" t="s">
        <v>19</v>
      </c>
      <c r="H14" s="4" t="s">
        <v>19</v>
      </c>
      <c r="I14" s="1" t="s">
        <v>80</v>
      </c>
      <c r="J14" s="1" t="s">
        <v>81</v>
      </c>
      <c r="K14" s="1" t="s">
        <v>82</v>
      </c>
      <c r="L14" s="3" t="str">
        <f t="shared" si="0"/>
        <v>Outstanding</v>
      </c>
      <c r="M14" s="11" t="s">
        <v>19</v>
      </c>
    </row>
    <row r="15" spans="1:13" ht="60" customHeight="1" x14ac:dyDescent="0.35">
      <c r="A15" s="9" t="s">
        <v>83</v>
      </c>
      <c r="B15" s="1" t="s">
        <v>84</v>
      </c>
      <c r="C15" s="2" t="s">
        <v>15</v>
      </c>
      <c r="D15" s="3" t="s">
        <v>16</v>
      </c>
      <c r="E15" s="3" t="s">
        <v>17</v>
      </c>
      <c r="F15" s="3" t="s">
        <v>18</v>
      </c>
      <c r="G15" s="3" t="s">
        <v>19</v>
      </c>
      <c r="H15" s="4" t="s">
        <v>19</v>
      </c>
      <c r="I15" s="1" t="s">
        <v>85</v>
      </c>
      <c r="J15" s="1" t="s">
        <v>86</v>
      </c>
      <c r="K15" s="1" t="s">
        <v>87</v>
      </c>
      <c r="L15" s="3" t="str">
        <f t="shared" si="0"/>
        <v>Outstanding</v>
      </c>
      <c r="M15" s="11" t="s">
        <v>19</v>
      </c>
    </row>
    <row r="16" spans="1:13" ht="60" customHeight="1" x14ac:dyDescent="0.35">
      <c r="A16" s="9" t="s">
        <v>88</v>
      </c>
      <c r="B16" s="1" t="s">
        <v>89</v>
      </c>
      <c r="C16" s="2" t="s">
        <v>58</v>
      </c>
      <c r="D16" s="3" t="s">
        <v>16</v>
      </c>
      <c r="E16" s="3" t="s">
        <v>17</v>
      </c>
      <c r="F16" s="3" t="s">
        <v>18</v>
      </c>
      <c r="G16" s="3" t="s">
        <v>19</v>
      </c>
      <c r="H16" s="4" t="s">
        <v>19</v>
      </c>
      <c r="I16" s="1" t="s">
        <v>90</v>
      </c>
      <c r="J16" s="1" t="s">
        <v>91</v>
      </c>
      <c r="K16" s="1" t="s">
        <v>92</v>
      </c>
      <c r="L16" s="3" t="str">
        <f t="shared" si="0"/>
        <v>Outstanding</v>
      </c>
      <c r="M16" s="11" t="s">
        <v>19</v>
      </c>
    </row>
    <row r="17" spans="1:13" ht="60" customHeight="1" x14ac:dyDescent="0.35">
      <c r="A17" s="9" t="s">
        <v>93</v>
      </c>
      <c r="B17" s="1" t="s">
        <v>94</v>
      </c>
      <c r="C17" s="2" t="s">
        <v>15</v>
      </c>
      <c r="D17" s="3" t="s">
        <v>16</v>
      </c>
      <c r="E17" s="3" t="s">
        <v>17</v>
      </c>
      <c r="F17" s="3" t="s">
        <v>18</v>
      </c>
      <c r="G17" s="3" t="s">
        <v>19</v>
      </c>
      <c r="H17" s="4" t="s">
        <v>19</v>
      </c>
      <c r="I17" s="1" t="s">
        <v>95</v>
      </c>
      <c r="J17" s="1" t="s">
        <v>96</v>
      </c>
      <c r="K17" s="1" t="s">
        <v>97</v>
      </c>
      <c r="L17" s="3" t="str">
        <f t="shared" si="0"/>
        <v>Outstanding</v>
      </c>
      <c r="M17" s="11" t="s">
        <v>19</v>
      </c>
    </row>
    <row r="18" spans="1:13" ht="60" customHeight="1" x14ac:dyDescent="0.35">
      <c r="A18" s="9" t="s">
        <v>98</v>
      </c>
      <c r="B18" s="1" t="s">
        <v>99</v>
      </c>
      <c r="C18" s="2" t="s">
        <v>15</v>
      </c>
      <c r="D18" s="3" t="s">
        <v>16</v>
      </c>
      <c r="E18" s="3" t="s">
        <v>17</v>
      </c>
      <c r="F18" s="3" t="s">
        <v>18</v>
      </c>
      <c r="G18" s="3" t="s">
        <v>19</v>
      </c>
      <c r="H18" s="4" t="s">
        <v>19</v>
      </c>
      <c r="I18" s="1" t="s">
        <v>100</v>
      </c>
      <c r="J18" s="1" t="s">
        <v>101</v>
      </c>
      <c r="K18" s="1" t="s">
        <v>102</v>
      </c>
      <c r="L18" s="3" t="str">
        <f t="shared" si="0"/>
        <v>Outstanding</v>
      </c>
      <c r="M18" s="11" t="s">
        <v>19</v>
      </c>
    </row>
    <row r="19" spans="1:13" ht="60" customHeight="1" x14ac:dyDescent="0.35">
      <c r="A19" s="9" t="s">
        <v>103</v>
      </c>
      <c r="B19" s="1" t="s">
        <v>104</v>
      </c>
      <c r="C19" s="2" t="s">
        <v>15</v>
      </c>
      <c r="D19" s="3" t="s">
        <v>16</v>
      </c>
      <c r="E19" s="3" t="s">
        <v>17</v>
      </c>
      <c r="F19" s="3" t="s">
        <v>18</v>
      </c>
      <c r="G19" s="3" t="s">
        <v>19</v>
      </c>
      <c r="H19" s="4" t="s">
        <v>19</v>
      </c>
      <c r="I19" s="1" t="s">
        <v>100</v>
      </c>
      <c r="J19" s="1" t="s">
        <v>105</v>
      </c>
      <c r="K19" s="1" t="s">
        <v>106</v>
      </c>
      <c r="L19" s="3" t="str">
        <f t="shared" si="0"/>
        <v>Outstanding</v>
      </c>
      <c r="M19" s="11" t="s">
        <v>19</v>
      </c>
    </row>
    <row r="20" spans="1:13" ht="60" customHeight="1" x14ac:dyDescent="0.35">
      <c r="A20" s="9" t="s">
        <v>107</v>
      </c>
      <c r="B20" s="1" t="s">
        <v>108</v>
      </c>
      <c r="C20" s="2" t="s">
        <v>15</v>
      </c>
      <c r="D20" s="3" t="s">
        <v>16</v>
      </c>
      <c r="E20" s="3" t="s">
        <v>17</v>
      </c>
      <c r="F20" s="3" t="s">
        <v>18</v>
      </c>
      <c r="G20" s="3" t="s">
        <v>19</v>
      </c>
      <c r="H20" s="4" t="s">
        <v>19</v>
      </c>
      <c r="I20" s="1" t="s">
        <v>109</v>
      </c>
      <c r="J20" s="1" t="s">
        <v>110</v>
      </c>
      <c r="K20" s="1" t="s">
        <v>111</v>
      </c>
      <c r="L20" s="3" t="str">
        <f t="shared" si="0"/>
        <v>Outstanding</v>
      </c>
      <c r="M20" s="11" t="s">
        <v>19</v>
      </c>
    </row>
    <row r="21" spans="1:13" ht="60" customHeight="1" x14ac:dyDescent="0.35">
      <c r="A21" s="9" t="s">
        <v>112</v>
      </c>
      <c r="B21" s="1" t="s">
        <v>113</v>
      </c>
      <c r="C21" s="2" t="s">
        <v>15</v>
      </c>
      <c r="D21" s="3" t="s">
        <v>16</v>
      </c>
      <c r="E21" s="3" t="s">
        <v>17</v>
      </c>
      <c r="F21" s="3" t="s">
        <v>18</v>
      </c>
      <c r="G21" s="3" t="s">
        <v>19</v>
      </c>
      <c r="H21" s="4" t="s">
        <v>19</v>
      </c>
      <c r="I21" s="1" t="s">
        <v>114</v>
      </c>
      <c r="J21" s="1" t="s">
        <v>115</v>
      </c>
      <c r="K21" s="1" t="s">
        <v>116</v>
      </c>
      <c r="L21" s="3" t="str">
        <f t="shared" si="0"/>
        <v>Outstanding</v>
      </c>
      <c r="M21" s="11" t="s">
        <v>19</v>
      </c>
    </row>
    <row r="22" spans="1:13" ht="60" customHeight="1" x14ac:dyDescent="0.35">
      <c r="A22" s="9" t="s">
        <v>117</v>
      </c>
      <c r="B22" s="1" t="s">
        <v>118</v>
      </c>
      <c r="C22" s="2" t="s">
        <v>15</v>
      </c>
      <c r="D22" s="3" t="s">
        <v>16</v>
      </c>
      <c r="E22" s="3" t="s">
        <v>17</v>
      </c>
      <c r="F22" s="3" t="s">
        <v>18</v>
      </c>
      <c r="G22" s="3" t="s">
        <v>19</v>
      </c>
      <c r="H22" s="4" t="s">
        <v>19</v>
      </c>
      <c r="I22" s="1" t="s">
        <v>119</v>
      </c>
      <c r="J22" s="1" t="s">
        <v>120</v>
      </c>
      <c r="K22" s="1" t="s">
        <v>121</v>
      </c>
      <c r="L22" s="3" t="str">
        <f t="shared" si="0"/>
        <v>Outstanding</v>
      </c>
      <c r="M22" s="11" t="s">
        <v>19</v>
      </c>
    </row>
    <row r="23" spans="1:13" ht="60" customHeight="1" x14ac:dyDescent="0.35">
      <c r="A23" s="9" t="s">
        <v>122</v>
      </c>
      <c r="B23" s="1" t="s">
        <v>123</v>
      </c>
      <c r="C23" s="2" t="s">
        <v>15</v>
      </c>
      <c r="D23" s="3" t="s">
        <v>16</v>
      </c>
      <c r="E23" s="3" t="s">
        <v>17</v>
      </c>
      <c r="F23" s="3" t="s">
        <v>18</v>
      </c>
      <c r="G23" s="3" t="s">
        <v>19</v>
      </c>
      <c r="H23" s="4" t="s">
        <v>19</v>
      </c>
      <c r="I23" s="1" t="s">
        <v>124</v>
      </c>
      <c r="J23" s="1" t="s">
        <v>125</v>
      </c>
      <c r="K23" s="1" t="s">
        <v>126</v>
      </c>
      <c r="L23" s="3" t="str">
        <f t="shared" si="0"/>
        <v>Outstanding</v>
      </c>
      <c r="M23" s="11" t="s">
        <v>19</v>
      </c>
    </row>
    <row r="24" spans="1:13" ht="60" customHeight="1" x14ac:dyDescent="0.35">
      <c r="A24" s="9" t="s">
        <v>127</v>
      </c>
      <c r="B24" s="1" t="s">
        <v>128</v>
      </c>
      <c r="C24" s="2" t="s">
        <v>15</v>
      </c>
      <c r="D24" s="3" t="s">
        <v>16</v>
      </c>
      <c r="E24" s="3" t="s">
        <v>17</v>
      </c>
      <c r="F24" s="3" t="s">
        <v>18</v>
      </c>
      <c r="G24" s="3" t="s">
        <v>19</v>
      </c>
      <c r="H24" s="4" t="s">
        <v>19</v>
      </c>
      <c r="I24" s="1" t="s">
        <v>129</v>
      </c>
      <c r="J24" s="1" t="s">
        <v>130</v>
      </c>
      <c r="K24" s="1" t="s">
        <v>131</v>
      </c>
      <c r="L24" s="3" t="str">
        <f t="shared" si="0"/>
        <v>Outstanding</v>
      </c>
      <c r="M24" s="11" t="s">
        <v>19</v>
      </c>
    </row>
    <row r="25" spans="1:13" ht="60" customHeight="1" x14ac:dyDescent="0.35">
      <c r="A25" s="9" t="s">
        <v>132</v>
      </c>
      <c r="B25" s="1" t="s">
        <v>133</v>
      </c>
      <c r="C25" s="2" t="s">
        <v>15</v>
      </c>
      <c r="D25" s="3" t="s">
        <v>16</v>
      </c>
      <c r="E25" s="3" t="s">
        <v>17</v>
      </c>
      <c r="F25" s="3" t="s">
        <v>18</v>
      </c>
      <c r="G25" s="3" t="s">
        <v>19</v>
      </c>
      <c r="H25" s="4" t="s">
        <v>19</v>
      </c>
      <c r="I25" s="1" t="s">
        <v>134</v>
      </c>
      <c r="J25" s="1" t="s">
        <v>135</v>
      </c>
      <c r="K25" s="1" t="s">
        <v>136</v>
      </c>
      <c r="L25" s="3" t="str">
        <f t="shared" si="0"/>
        <v>Outstanding</v>
      </c>
      <c r="M25" s="11" t="s">
        <v>19</v>
      </c>
    </row>
    <row r="26" spans="1:13" ht="60" customHeight="1" x14ac:dyDescent="0.35">
      <c r="A26" s="9" t="s">
        <v>137</v>
      </c>
      <c r="B26" s="1" t="s">
        <v>138</v>
      </c>
      <c r="C26" s="2" t="s">
        <v>15</v>
      </c>
      <c r="D26" s="3" t="s">
        <v>16</v>
      </c>
      <c r="E26" s="3" t="s">
        <v>17</v>
      </c>
      <c r="F26" s="3" t="s">
        <v>18</v>
      </c>
      <c r="G26" s="3" t="s">
        <v>19</v>
      </c>
      <c r="H26" s="4" t="s">
        <v>19</v>
      </c>
      <c r="I26" s="1" t="s">
        <v>139</v>
      </c>
      <c r="J26" s="1" t="s">
        <v>140</v>
      </c>
      <c r="K26" s="1" t="s">
        <v>141</v>
      </c>
      <c r="L26" s="3" t="str">
        <f t="shared" si="0"/>
        <v>Outstanding</v>
      </c>
      <c r="M26" s="11" t="s">
        <v>19</v>
      </c>
    </row>
    <row r="27" spans="1:13" ht="60" customHeight="1" x14ac:dyDescent="0.35">
      <c r="A27" s="9" t="s">
        <v>142</v>
      </c>
      <c r="B27" s="1" t="s">
        <v>143</v>
      </c>
      <c r="C27" s="2" t="s">
        <v>15</v>
      </c>
      <c r="D27" s="3" t="s">
        <v>16</v>
      </c>
      <c r="E27" s="3" t="s">
        <v>17</v>
      </c>
      <c r="F27" s="3" t="s">
        <v>18</v>
      </c>
      <c r="G27" s="3" t="s">
        <v>19</v>
      </c>
      <c r="H27" s="4" t="s">
        <v>19</v>
      </c>
      <c r="I27" s="1" t="s">
        <v>144</v>
      </c>
      <c r="J27" s="1" t="s">
        <v>145</v>
      </c>
      <c r="K27" s="1" t="s">
        <v>146</v>
      </c>
      <c r="L27" s="3" t="str">
        <f t="shared" si="0"/>
        <v>Outstanding</v>
      </c>
      <c r="M27" s="11" t="s">
        <v>19</v>
      </c>
    </row>
    <row r="28" spans="1:13" ht="60" customHeight="1" x14ac:dyDescent="0.35">
      <c r="A28" s="9" t="s">
        <v>147</v>
      </c>
      <c r="B28" s="1" t="s">
        <v>148</v>
      </c>
      <c r="C28" s="2" t="s">
        <v>15</v>
      </c>
      <c r="D28" s="3" t="s">
        <v>16</v>
      </c>
      <c r="E28" s="3" t="s">
        <v>17</v>
      </c>
      <c r="F28" s="3" t="s">
        <v>18</v>
      </c>
      <c r="G28" s="3" t="s">
        <v>19</v>
      </c>
      <c r="H28" s="4" t="s">
        <v>19</v>
      </c>
      <c r="I28" s="1" t="s">
        <v>149</v>
      </c>
      <c r="J28" s="1" t="s">
        <v>150</v>
      </c>
      <c r="K28" s="1" t="s">
        <v>151</v>
      </c>
      <c r="L28" s="3" t="str">
        <f t="shared" si="0"/>
        <v>Outstanding</v>
      </c>
      <c r="M28" s="11" t="s">
        <v>19</v>
      </c>
    </row>
    <row r="29" spans="1:13" ht="60" customHeight="1" x14ac:dyDescent="0.35">
      <c r="A29" s="9" t="s">
        <v>152</v>
      </c>
      <c r="B29" s="1" t="s">
        <v>153</v>
      </c>
      <c r="C29" s="2" t="s">
        <v>15</v>
      </c>
      <c r="D29" s="3" t="s">
        <v>16</v>
      </c>
      <c r="E29" s="3" t="s">
        <v>17</v>
      </c>
      <c r="F29" s="3" t="s">
        <v>18</v>
      </c>
      <c r="G29" s="3" t="s">
        <v>19</v>
      </c>
      <c r="H29" s="4" t="s">
        <v>19</v>
      </c>
      <c r="I29" s="1" t="s">
        <v>154</v>
      </c>
      <c r="J29" s="1" t="s">
        <v>155</v>
      </c>
      <c r="K29" s="1" t="s">
        <v>156</v>
      </c>
      <c r="L29" s="3" t="str">
        <f t="shared" si="0"/>
        <v>Outstanding</v>
      </c>
      <c r="M29" s="11" t="s">
        <v>19</v>
      </c>
    </row>
    <row r="30" spans="1:13" ht="60" customHeight="1" x14ac:dyDescent="0.35">
      <c r="A30" s="9" t="s">
        <v>157</v>
      </c>
      <c r="B30" s="1" t="s">
        <v>158</v>
      </c>
      <c r="C30" s="2" t="s">
        <v>15</v>
      </c>
      <c r="D30" s="3" t="s">
        <v>16</v>
      </c>
      <c r="E30" s="3" t="s">
        <v>17</v>
      </c>
      <c r="F30" s="3" t="s">
        <v>18</v>
      </c>
      <c r="G30" s="3" t="s">
        <v>19</v>
      </c>
      <c r="H30" s="4" t="s">
        <v>19</v>
      </c>
      <c r="I30" s="1" t="s">
        <v>159</v>
      </c>
      <c r="J30" s="1" t="s">
        <v>160</v>
      </c>
      <c r="K30" s="1" t="s">
        <v>161</v>
      </c>
      <c r="L30" s="3" t="str">
        <f t="shared" si="0"/>
        <v>Outstanding</v>
      </c>
      <c r="M30" s="11" t="s">
        <v>19</v>
      </c>
    </row>
    <row r="31" spans="1:13" ht="60" customHeight="1" x14ac:dyDescent="0.35">
      <c r="A31" s="9" t="s">
        <v>162</v>
      </c>
      <c r="B31" s="1" t="s">
        <v>163</v>
      </c>
      <c r="C31" s="2" t="s">
        <v>15</v>
      </c>
      <c r="D31" s="3" t="s">
        <v>16</v>
      </c>
      <c r="E31" s="3" t="s">
        <v>17</v>
      </c>
      <c r="F31" s="3" t="s">
        <v>18</v>
      </c>
      <c r="G31" s="3" t="s">
        <v>19</v>
      </c>
      <c r="H31" s="4" t="s">
        <v>19</v>
      </c>
      <c r="I31" s="1" t="s">
        <v>164</v>
      </c>
      <c r="J31" s="1" t="s">
        <v>165</v>
      </c>
      <c r="K31" s="1" t="s">
        <v>166</v>
      </c>
      <c r="L31" s="3" t="str">
        <f t="shared" si="0"/>
        <v>Outstanding</v>
      </c>
      <c r="M31" s="11" t="s">
        <v>19</v>
      </c>
    </row>
    <row r="32" spans="1:13" ht="60" customHeight="1" x14ac:dyDescent="0.35">
      <c r="A32" s="9" t="s">
        <v>167</v>
      </c>
      <c r="B32" s="1" t="s">
        <v>168</v>
      </c>
      <c r="C32" s="2" t="s">
        <v>15</v>
      </c>
      <c r="D32" s="3" t="s">
        <v>16</v>
      </c>
      <c r="E32" s="3" t="s">
        <v>17</v>
      </c>
      <c r="F32" s="3" t="s">
        <v>18</v>
      </c>
      <c r="G32" s="3" t="s">
        <v>19</v>
      </c>
      <c r="H32" s="4" t="s">
        <v>19</v>
      </c>
      <c r="I32" s="1" t="s">
        <v>169</v>
      </c>
      <c r="J32" s="1" t="s">
        <v>170</v>
      </c>
      <c r="K32" s="1" t="s">
        <v>171</v>
      </c>
      <c r="L32" s="3" t="str">
        <f t="shared" si="0"/>
        <v>Outstanding</v>
      </c>
      <c r="M32" s="11" t="s">
        <v>19</v>
      </c>
    </row>
    <row r="33" spans="1:13" ht="60" customHeight="1" x14ac:dyDescent="0.35">
      <c r="A33" s="9" t="s">
        <v>172</v>
      </c>
      <c r="B33" s="1" t="s">
        <v>173</v>
      </c>
      <c r="C33" s="2" t="s">
        <v>15</v>
      </c>
      <c r="D33" s="3" t="s">
        <v>16</v>
      </c>
      <c r="E33" s="3" t="s">
        <v>17</v>
      </c>
      <c r="F33" s="3" t="s">
        <v>18</v>
      </c>
      <c r="G33" s="3" t="s">
        <v>19</v>
      </c>
      <c r="H33" s="4" t="s">
        <v>19</v>
      </c>
      <c r="I33" s="1" t="s">
        <v>174</v>
      </c>
      <c r="J33" s="1" t="s">
        <v>175</v>
      </c>
      <c r="K33" s="1" t="s">
        <v>176</v>
      </c>
      <c r="L33" s="3" t="str">
        <f t="shared" si="0"/>
        <v>Outstanding</v>
      </c>
      <c r="M33" s="11" t="s">
        <v>19</v>
      </c>
    </row>
    <row r="34" spans="1:13" ht="60" customHeight="1" x14ac:dyDescent="0.35">
      <c r="A34" s="9" t="s">
        <v>177</v>
      </c>
      <c r="B34" s="1" t="s">
        <v>178</v>
      </c>
      <c r="C34" s="2" t="s">
        <v>15</v>
      </c>
      <c r="D34" s="3" t="s">
        <v>16</v>
      </c>
      <c r="E34" s="3" t="s">
        <v>17</v>
      </c>
      <c r="F34" s="3" t="s">
        <v>18</v>
      </c>
      <c r="G34" s="3" t="s">
        <v>19</v>
      </c>
      <c r="H34" s="4" t="s">
        <v>19</v>
      </c>
      <c r="I34" s="1" t="s">
        <v>179</v>
      </c>
      <c r="J34" s="1" t="s">
        <v>180</v>
      </c>
      <c r="K34" s="1" t="s">
        <v>181</v>
      </c>
      <c r="L34" s="3" t="str">
        <f t="shared" si="0"/>
        <v>Outstanding</v>
      </c>
      <c r="M34" s="11" t="s">
        <v>19</v>
      </c>
    </row>
    <row r="35" spans="1:13" ht="60" customHeight="1" x14ac:dyDescent="0.35">
      <c r="A35" s="9" t="s">
        <v>182</v>
      </c>
      <c r="B35" s="1" t="s">
        <v>183</v>
      </c>
      <c r="C35" s="2" t="s">
        <v>15</v>
      </c>
      <c r="D35" s="3" t="s">
        <v>16</v>
      </c>
      <c r="E35" s="3" t="s">
        <v>17</v>
      </c>
      <c r="F35" s="3" t="s">
        <v>18</v>
      </c>
      <c r="G35" s="3" t="s">
        <v>19</v>
      </c>
      <c r="H35" s="4" t="s">
        <v>19</v>
      </c>
      <c r="I35" s="1" t="s">
        <v>184</v>
      </c>
      <c r="J35" s="1" t="s">
        <v>185</v>
      </c>
      <c r="K35" s="1" t="s">
        <v>186</v>
      </c>
      <c r="L35" s="3" t="str">
        <f t="shared" si="0"/>
        <v>Outstanding</v>
      </c>
      <c r="M35" s="11" t="s">
        <v>19</v>
      </c>
    </row>
    <row r="36" spans="1:13" ht="60" customHeight="1" x14ac:dyDescent="0.35">
      <c r="A36" s="9" t="s">
        <v>187</v>
      </c>
      <c r="B36" s="1" t="s">
        <v>188</v>
      </c>
      <c r="C36" s="2" t="s">
        <v>15</v>
      </c>
      <c r="D36" s="3" t="s">
        <v>16</v>
      </c>
      <c r="E36" s="3" t="s">
        <v>17</v>
      </c>
      <c r="F36" s="3" t="s">
        <v>18</v>
      </c>
      <c r="G36" s="3" t="s">
        <v>19</v>
      </c>
      <c r="H36" s="4" t="s">
        <v>19</v>
      </c>
      <c r="I36" s="1" t="s">
        <v>189</v>
      </c>
      <c r="J36" s="1" t="s">
        <v>190</v>
      </c>
      <c r="K36" s="1" t="s">
        <v>191</v>
      </c>
      <c r="L36" s="3" t="str">
        <f t="shared" si="0"/>
        <v>Outstanding</v>
      </c>
      <c r="M36" s="11" t="s">
        <v>19</v>
      </c>
    </row>
    <row r="37" spans="1:13" ht="60" customHeight="1" x14ac:dyDescent="0.35">
      <c r="A37" s="9" t="s">
        <v>192</v>
      </c>
      <c r="B37" s="1" t="s">
        <v>193</v>
      </c>
      <c r="C37" s="2" t="s">
        <v>58</v>
      </c>
      <c r="D37" s="3" t="s">
        <v>16</v>
      </c>
      <c r="E37" s="3" t="s">
        <v>17</v>
      </c>
      <c r="F37" s="3" t="s">
        <v>18</v>
      </c>
      <c r="G37" s="3" t="s">
        <v>19</v>
      </c>
      <c r="H37" s="4" t="s">
        <v>19</v>
      </c>
      <c r="I37" s="1" t="s">
        <v>194</v>
      </c>
      <c r="J37" s="1" t="s">
        <v>195</v>
      </c>
      <c r="K37" s="1" t="s">
        <v>196</v>
      </c>
      <c r="L37" s="3" t="str">
        <f t="shared" si="0"/>
        <v>Outstanding</v>
      </c>
      <c r="M37" s="11" t="s">
        <v>19</v>
      </c>
    </row>
    <row r="38" spans="1:13" ht="60" customHeight="1" x14ac:dyDescent="0.35">
      <c r="A38" s="9" t="s">
        <v>197</v>
      </c>
      <c r="B38" s="1" t="s">
        <v>198</v>
      </c>
      <c r="C38" s="2" t="s">
        <v>15</v>
      </c>
      <c r="D38" s="3" t="s">
        <v>16</v>
      </c>
      <c r="E38" s="3" t="s">
        <v>17</v>
      </c>
      <c r="F38" s="3" t="s">
        <v>18</v>
      </c>
      <c r="G38" s="3" t="s">
        <v>19</v>
      </c>
      <c r="H38" s="4" t="s">
        <v>19</v>
      </c>
      <c r="I38" s="1" t="s">
        <v>199</v>
      </c>
      <c r="J38" s="1" t="s">
        <v>200</v>
      </c>
      <c r="K38" s="1" t="s">
        <v>32</v>
      </c>
      <c r="L38" s="3" t="str">
        <f t="shared" si="0"/>
        <v>Outstanding</v>
      </c>
      <c r="M38" s="11" t="s">
        <v>19</v>
      </c>
    </row>
    <row r="39" spans="1:13" ht="60" customHeight="1" x14ac:dyDescent="0.35">
      <c r="A39" s="9" t="s">
        <v>201</v>
      </c>
      <c r="B39" s="1" t="s">
        <v>202</v>
      </c>
      <c r="C39" s="2" t="s">
        <v>15</v>
      </c>
      <c r="D39" s="3" t="s">
        <v>16</v>
      </c>
      <c r="E39" s="3" t="s">
        <v>17</v>
      </c>
      <c r="F39" s="3" t="s">
        <v>18</v>
      </c>
      <c r="G39" s="3" t="s">
        <v>19</v>
      </c>
      <c r="H39" s="4" t="s">
        <v>19</v>
      </c>
      <c r="I39" s="1" t="s">
        <v>203</v>
      </c>
      <c r="J39" s="1" t="s">
        <v>204</v>
      </c>
      <c r="K39" s="1" t="s">
        <v>205</v>
      </c>
      <c r="L39" s="3" t="str">
        <f t="shared" si="0"/>
        <v>Outstanding</v>
      </c>
      <c r="M39" s="11" t="s">
        <v>19</v>
      </c>
    </row>
    <row r="40" spans="1:13" ht="60" customHeight="1" x14ac:dyDescent="0.35">
      <c r="A40" s="9" t="s">
        <v>206</v>
      </c>
      <c r="B40" s="1" t="s">
        <v>207</v>
      </c>
      <c r="C40" s="2" t="s">
        <v>58</v>
      </c>
      <c r="D40" s="3" t="s">
        <v>16</v>
      </c>
      <c r="E40" s="3" t="s">
        <v>17</v>
      </c>
      <c r="F40" s="3" t="s">
        <v>18</v>
      </c>
      <c r="G40" s="3" t="s">
        <v>19</v>
      </c>
      <c r="H40" s="4" t="s">
        <v>19</v>
      </c>
      <c r="I40" s="1" t="s">
        <v>208</v>
      </c>
      <c r="J40" s="1" t="s">
        <v>209</v>
      </c>
      <c r="K40" s="1" t="s">
        <v>32</v>
      </c>
      <c r="L40" s="3" t="str">
        <f t="shared" si="0"/>
        <v>Outstanding</v>
      </c>
      <c r="M40" s="11" t="s">
        <v>19</v>
      </c>
    </row>
    <row r="41" spans="1:13" ht="60" customHeight="1" x14ac:dyDescent="0.35">
      <c r="A41" s="9" t="s">
        <v>210</v>
      </c>
      <c r="B41" s="1" t="s">
        <v>211</v>
      </c>
      <c r="C41" s="2" t="s">
        <v>15</v>
      </c>
      <c r="D41" s="3" t="s">
        <v>16</v>
      </c>
      <c r="E41" s="3" t="s">
        <v>17</v>
      </c>
      <c r="F41" s="3" t="s">
        <v>18</v>
      </c>
      <c r="G41" s="3" t="s">
        <v>19</v>
      </c>
      <c r="H41" s="4" t="s">
        <v>19</v>
      </c>
      <c r="I41" s="1" t="s">
        <v>212</v>
      </c>
      <c r="J41" s="1" t="s">
        <v>213</v>
      </c>
      <c r="K41" s="1" t="s">
        <v>214</v>
      </c>
      <c r="L41" s="3" t="str">
        <f t="shared" si="0"/>
        <v>Outstanding</v>
      </c>
      <c r="M41" s="11" t="s">
        <v>19</v>
      </c>
    </row>
    <row r="42" spans="1:13" ht="60" customHeight="1" x14ac:dyDescent="0.35">
      <c r="A42" s="9" t="s">
        <v>215</v>
      </c>
      <c r="B42" s="1" t="s">
        <v>216</v>
      </c>
      <c r="C42" s="2" t="s">
        <v>15</v>
      </c>
      <c r="D42" s="3" t="s">
        <v>16</v>
      </c>
      <c r="E42" s="3" t="s">
        <v>17</v>
      </c>
      <c r="F42" s="3" t="s">
        <v>18</v>
      </c>
      <c r="G42" s="3" t="s">
        <v>19</v>
      </c>
      <c r="H42" s="4" t="s">
        <v>19</v>
      </c>
      <c r="I42" s="1" t="s">
        <v>217</v>
      </c>
      <c r="J42" s="1" t="s">
        <v>218</v>
      </c>
      <c r="K42" s="1" t="s">
        <v>219</v>
      </c>
      <c r="L42" s="3" t="str">
        <f t="shared" si="0"/>
        <v>Outstanding</v>
      </c>
      <c r="M42" s="11" t="s">
        <v>19</v>
      </c>
    </row>
    <row r="43" spans="1:13" ht="60" customHeight="1" x14ac:dyDescent="0.35">
      <c r="A43" s="9" t="s">
        <v>220</v>
      </c>
      <c r="B43" s="1" t="s">
        <v>221</v>
      </c>
      <c r="C43" s="2" t="s">
        <v>58</v>
      </c>
      <c r="D43" s="3" t="s">
        <v>16</v>
      </c>
      <c r="E43" s="3" t="s">
        <v>17</v>
      </c>
      <c r="F43" s="3" t="s">
        <v>18</v>
      </c>
      <c r="G43" s="3" t="s">
        <v>19</v>
      </c>
      <c r="H43" s="4" t="s">
        <v>19</v>
      </c>
      <c r="I43" s="1" t="s">
        <v>222</v>
      </c>
      <c r="J43" s="1" t="s">
        <v>223</v>
      </c>
      <c r="K43" s="1" t="s">
        <v>224</v>
      </c>
      <c r="L43" s="3" t="str">
        <f t="shared" si="0"/>
        <v>Outstanding</v>
      </c>
      <c r="M43" s="11" t="s">
        <v>19</v>
      </c>
    </row>
    <row r="44" spans="1:13" ht="60" customHeight="1" x14ac:dyDescent="0.35">
      <c r="A44" s="9" t="s">
        <v>225</v>
      </c>
      <c r="B44" s="1" t="s">
        <v>226</v>
      </c>
      <c r="C44" s="2" t="s">
        <v>15</v>
      </c>
      <c r="D44" s="3" t="s">
        <v>16</v>
      </c>
      <c r="E44" s="3" t="s">
        <v>17</v>
      </c>
      <c r="F44" s="3" t="s">
        <v>18</v>
      </c>
      <c r="G44" s="3" t="s">
        <v>19</v>
      </c>
      <c r="H44" s="4" t="s">
        <v>19</v>
      </c>
      <c r="I44" s="1" t="s">
        <v>227</v>
      </c>
      <c r="J44" s="1" t="s">
        <v>228</v>
      </c>
      <c r="K44" s="1" t="s">
        <v>229</v>
      </c>
      <c r="L44" s="3" t="str">
        <f t="shared" si="0"/>
        <v>Outstanding</v>
      </c>
      <c r="M44" s="11" t="s">
        <v>19</v>
      </c>
    </row>
    <row r="45" spans="1:13" ht="60" customHeight="1" x14ac:dyDescent="0.35">
      <c r="A45" s="9" t="s">
        <v>230</v>
      </c>
      <c r="B45" s="1" t="s">
        <v>231</v>
      </c>
      <c r="C45" s="2" t="s">
        <v>15</v>
      </c>
      <c r="D45" s="3" t="s">
        <v>16</v>
      </c>
      <c r="E45" s="3" t="s">
        <v>17</v>
      </c>
      <c r="F45" s="3" t="s">
        <v>18</v>
      </c>
      <c r="G45" s="3" t="s">
        <v>19</v>
      </c>
      <c r="H45" s="4" t="s">
        <v>19</v>
      </c>
      <c r="I45" s="1" t="s">
        <v>232</v>
      </c>
      <c r="J45" s="1" t="s">
        <v>233</v>
      </c>
      <c r="K45" s="1" t="s">
        <v>234</v>
      </c>
      <c r="L45" s="3" t="str">
        <f t="shared" si="0"/>
        <v>Outstanding</v>
      </c>
      <c r="M45" s="11" t="s">
        <v>19</v>
      </c>
    </row>
    <row r="46" spans="1:13" ht="60" customHeight="1" x14ac:dyDescent="0.35">
      <c r="A46" s="9" t="s">
        <v>235</v>
      </c>
      <c r="B46" s="1" t="s">
        <v>236</v>
      </c>
      <c r="C46" s="2" t="s">
        <v>15</v>
      </c>
      <c r="D46" s="3" t="s">
        <v>16</v>
      </c>
      <c r="E46" s="3" t="s">
        <v>17</v>
      </c>
      <c r="F46" s="3" t="s">
        <v>18</v>
      </c>
      <c r="G46" s="3" t="s">
        <v>19</v>
      </c>
      <c r="H46" s="4" t="s">
        <v>19</v>
      </c>
      <c r="I46" s="1" t="s">
        <v>237</v>
      </c>
      <c r="J46" s="1" t="s">
        <v>238</v>
      </c>
      <c r="K46" s="1" t="s">
        <v>239</v>
      </c>
      <c r="L46" s="3" t="str">
        <f t="shared" si="0"/>
        <v>Outstanding</v>
      </c>
      <c r="M46" s="11" t="s">
        <v>19</v>
      </c>
    </row>
    <row r="47" spans="1:13" ht="60" customHeight="1" x14ac:dyDescent="0.35">
      <c r="A47" s="9" t="s">
        <v>240</v>
      </c>
      <c r="B47" s="1" t="s">
        <v>241</v>
      </c>
      <c r="C47" s="2" t="s">
        <v>15</v>
      </c>
      <c r="D47" s="3" t="s">
        <v>16</v>
      </c>
      <c r="E47" s="3" t="s">
        <v>17</v>
      </c>
      <c r="F47" s="3" t="s">
        <v>18</v>
      </c>
      <c r="G47" s="3" t="s">
        <v>19</v>
      </c>
      <c r="H47" s="4" t="s">
        <v>19</v>
      </c>
      <c r="I47" s="1" t="s">
        <v>242</v>
      </c>
      <c r="J47" s="1" t="s">
        <v>243</v>
      </c>
      <c r="K47" s="1" t="s">
        <v>244</v>
      </c>
      <c r="L47" s="3" t="str">
        <f t="shared" si="0"/>
        <v>Outstanding</v>
      </c>
      <c r="M47" s="11" t="s">
        <v>19</v>
      </c>
    </row>
    <row r="48" spans="1:13" ht="60" customHeight="1" x14ac:dyDescent="0.35">
      <c r="A48" s="9" t="s">
        <v>245</v>
      </c>
      <c r="B48" s="1" t="s">
        <v>246</v>
      </c>
      <c r="C48" s="2" t="s">
        <v>15</v>
      </c>
      <c r="D48" s="3" t="s">
        <v>16</v>
      </c>
      <c r="E48" s="3" t="s">
        <v>17</v>
      </c>
      <c r="F48" s="3" t="s">
        <v>18</v>
      </c>
      <c r="G48" s="3" t="s">
        <v>19</v>
      </c>
      <c r="H48" s="4" t="s">
        <v>19</v>
      </c>
      <c r="I48" s="1" t="s">
        <v>247</v>
      </c>
      <c r="J48" s="1" t="s">
        <v>248</v>
      </c>
      <c r="K48" s="1" t="s">
        <v>249</v>
      </c>
      <c r="L48" s="3" t="str">
        <f t="shared" si="0"/>
        <v>Outstanding</v>
      </c>
      <c r="M48" s="11" t="s">
        <v>19</v>
      </c>
    </row>
    <row r="49" spans="1:13" ht="60" customHeight="1" x14ac:dyDescent="0.35">
      <c r="A49" s="9" t="s">
        <v>250</v>
      </c>
      <c r="B49" s="1" t="s">
        <v>251</v>
      </c>
      <c r="C49" s="2" t="s">
        <v>15</v>
      </c>
      <c r="D49" s="3" t="s">
        <v>16</v>
      </c>
      <c r="E49" s="3" t="s">
        <v>17</v>
      </c>
      <c r="F49" s="3" t="s">
        <v>18</v>
      </c>
      <c r="G49" s="3" t="s">
        <v>19</v>
      </c>
      <c r="H49" s="4" t="s">
        <v>19</v>
      </c>
      <c r="I49" s="1" t="s">
        <v>252</v>
      </c>
      <c r="J49" s="1" t="s">
        <v>253</v>
      </c>
      <c r="K49" s="1" t="s">
        <v>254</v>
      </c>
      <c r="L49" s="3" t="str">
        <f t="shared" si="0"/>
        <v>Outstanding</v>
      </c>
      <c r="M49" s="11" t="s">
        <v>19</v>
      </c>
    </row>
    <row r="50" spans="1:13" ht="60" customHeight="1" x14ac:dyDescent="0.35">
      <c r="A50" s="9" t="s">
        <v>255</v>
      </c>
      <c r="B50" s="1" t="s">
        <v>256</v>
      </c>
      <c r="C50" s="2" t="s">
        <v>15</v>
      </c>
      <c r="D50" s="3" t="s">
        <v>16</v>
      </c>
      <c r="E50" s="3" t="s">
        <v>17</v>
      </c>
      <c r="F50" s="3" t="s">
        <v>18</v>
      </c>
      <c r="G50" s="3" t="s">
        <v>19</v>
      </c>
      <c r="H50" s="4" t="s">
        <v>19</v>
      </c>
      <c r="I50" s="1" t="s">
        <v>257</v>
      </c>
      <c r="J50" s="1" t="s">
        <v>258</v>
      </c>
      <c r="K50" s="1" t="s">
        <v>259</v>
      </c>
      <c r="L50" s="3" t="str">
        <f t="shared" si="0"/>
        <v>Outstanding</v>
      </c>
      <c r="M50" s="11" t="s">
        <v>19</v>
      </c>
    </row>
    <row r="51" spans="1:13" ht="60" customHeight="1" x14ac:dyDescent="0.35">
      <c r="A51" s="9" t="s">
        <v>260</v>
      </c>
      <c r="B51" s="1" t="s">
        <v>261</v>
      </c>
      <c r="C51" s="2" t="s">
        <v>15</v>
      </c>
      <c r="D51" s="3" t="s">
        <v>16</v>
      </c>
      <c r="E51" s="3" t="s">
        <v>17</v>
      </c>
      <c r="F51" s="3" t="s">
        <v>18</v>
      </c>
      <c r="G51" s="3" t="s">
        <v>19</v>
      </c>
      <c r="H51" s="4" t="s">
        <v>19</v>
      </c>
      <c r="I51" s="1" t="s">
        <v>262</v>
      </c>
      <c r="J51" s="1" t="s">
        <v>263</v>
      </c>
      <c r="K51" s="1" t="s">
        <v>264</v>
      </c>
      <c r="L51" s="3" t="str">
        <f t="shared" si="0"/>
        <v>Outstanding</v>
      </c>
      <c r="M51" s="11" t="s">
        <v>19</v>
      </c>
    </row>
    <row r="52" spans="1:13" ht="60" customHeight="1" x14ac:dyDescent="0.35">
      <c r="A52" s="9" t="s">
        <v>265</v>
      </c>
      <c r="B52" s="1" t="s">
        <v>266</v>
      </c>
      <c r="C52" s="2" t="s">
        <v>15</v>
      </c>
      <c r="D52" s="3" t="s">
        <v>16</v>
      </c>
      <c r="E52" s="3" t="s">
        <v>17</v>
      </c>
      <c r="F52" s="3" t="s">
        <v>18</v>
      </c>
      <c r="G52" s="3" t="s">
        <v>19</v>
      </c>
      <c r="H52" s="4" t="s">
        <v>19</v>
      </c>
      <c r="I52" s="1" t="s">
        <v>267</v>
      </c>
      <c r="J52" s="1" t="s">
        <v>268</v>
      </c>
      <c r="K52" s="1" t="s">
        <v>269</v>
      </c>
      <c r="L52" s="3" t="str">
        <f t="shared" si="0"/>
        <v>Outstanding</v>
      </c>
      <c r="M52" s="11" t="s">
        <v>19</v>
      </c>
    </row>
    <row r="53" spans="1:13" ht="60" customHeight="1" x14ac:dyDescent="0.35">
      <c r="A53" s="9" t="s">
        <v>270</v>
      </c>
      <c r="B53" s="1" t="s">
        <v>271</v>
      </c>
      <c r="C53" s="2" t="s">
        <v>74</v>
      </c>
      <c r="D53" s="3" t="s">
        <v>16</v>
      </c>
      <c r="E53" s="3" t="s">
        <v>17</v>
      </c>
      <c r="F53" s="3" t="s">
        <v>18</v>
      </c>
      <c r="G53" s="3" t="s">
        <v>19</v>
      </c>
      <c r="H53" s="4" t="s">
        <v>19</v>
      </c>
      <c r="I53" s="1" t="s">
        <v>272</v>
      </c>
      <c r="J53" s="1" t="s">
        <v>273</v>
      </c>
      <c r="K53" s="1" t="s">
        <v>274</v>
      </c>
      <c r="L53" s="3" t="str">
        <f t="shared" si="0"/>
        <v>Outstanding</v>
      </c>
      <c r="M53" s="11" t="s">
        <v>19</v>
      </c>
    </row>
    <row r="54" spans="1:13" ht="60" customHeight="1" x14ac:dyDescent="0.35">
      <c r="A54" s="9" t="s">
        <v>275</v>
      </c>
      <c r="B54" s="1" t="s">
        <v>276</v>
      </c>
      <c r="C54" s="2" t="s">
        <v>58</v>
      </c>
      <c r="D54" s="3" t="s">
        <v>16</v>
      </c>
      <c r="E54" s="3" t="s">
        <v>17</v>
      </c>
      <c r="F54" s="3" t="s">
        <v>18</v>
      </c>
      <c r="G54" s="3" t="s">
        <v>19</v>
      </c>
      <c r="H54" s="4" t="s">
        <v>19</v>
      </c>
      <c r="I54" s="1" t="s">
        <v>277</v>
      </c>
      <c r="J54" s="1" t="s">
        <v>278</v>
      </c>
      <c r="K54" s="1" t="s">
        <v>279</v>
      </c>
      <c r="L54" s="3" t="str">
        <f t="shared" si="0"/>
        <v>Outstanding</v>
      </c>
      <c r="M54" s="11" t="s">
        <v>19</v>
      </c>
    </row>
    <row r="55" spans="1:13" ht="60" customHeight="1" x14ac:dyDescent="0.35">
      <c r="A55" s="9" t="s">
        <v>280</v>
      </c>
      <c r="B55" s="1" t="s">
        <v>281</v>
      </c>
      <c r="C55" s="2" t="s">
        <v>74</v>
      </c>
      <c r="D55" s="3" t="s">
        <v>16</v>
      </c>
      <c r="E55" s="3" t="s">
        <v>17</v>
      </c>
      <c r="F55" s="3" t="s">
        <v>18</v>
      </c>
      <c r="G55" s="3" t="s">
        <v>19</v>
      </c>
      <c r="H55" s="4" t="s">
        <v>19</v>
      </c>
      <c r="I55" s="1" t="s">
        <v>282</v>
      </c>
      <c r="J55" s="1" t="s">
        <v>283</v>
      </c>
      <c r="K55" s="1" t="s">
        <v>284</v>
      </c>
      <c r="L55" s="3" t="str">
        <f t="shared" si="0"/>
        <v>Outstanding</v>
      </c>
      <c r="M55" s="11" t="s">
        <v>19</v>
      </c>
    </row>
    <row r="56" spans="1:13" ht="60" customHeight="1" x14ac:dyDescent="0.35">
      <c r="A56" s="9" t="s">
        <v>285</v>
      </c>
      <c r="B56" s="1" t="s">
        <v>286</v>
      </c>
      <c r="C56" s="2" t="s">
        <v>15</v>
      </c>
      <c r="D56" s="3" t="s">
        <v>16</v>
      </c>
      <c r="E56" s="3" t="s">
        <v>17</v>
      </c>
      <c r="F56" s="3" t="s">
        <v>18</v>
      </c>
      <c r="G56" s="3" t="s">
        <v>19</v>
      </c>
      <c r="H56" s="4" t="s">
        <v>19</v>
      </c>
      <c r="I56" s="1" t="s">
        <v>287</v>
      </c>
      <c r="J56" s="1" t="s">
        <v>288</v>
      </c>
      <c r="K56" s="1" t="s">
        <v>289</v>
      </c>
      <c r="L56" s="3" t="str">
        <f t="shared" si="0"/>
        <v>Outstanding</v>
      </c>
      <c r="M56" s="11" t="s">
        <v>19</v>
      </c>
    </row>
    <row r="57" spans="1:13" ht="60" customHeight="1" x14ac:dyDescent="0.35">
      <c r="A57" s="9" t="s">
        <v>290</v>
      </c>
      <c r="B57" s="1" t="s">
        <v>291</v>
      </c>
      <c r="C57" s="2" t="s">
        <v>15</v>
      </c>
      <c r="D57" s="3" t="s">
        <v>16</v>
      </c>
      <c r="E57" s="3" t="s">
        <v>17</v>
      </c>
      <c r="F57" s="3" t="s">
        <v>18</v>
      </c>
      <c r="G57" s="3" t="s">
        <v>19</v>
      </c>
      <c r="H57" s="4" t="s">
        <v>19</v>
      </c>
      <c r="I57" s="1" t="s">
        <v>292</v>
      </c>
      <c r="J57" s="1" t="s">
        <v>293</v>
      </c>
      <c r="K57" s="1" t="s">
        <v>294</v>
      </c>
      <c r="L57" s="3" t="str">
        <f t="shared" si="0"/>
        <v>Outstanding</v>
      </c>
      <c r="M57" s="11" t="s">
        <v>19</v>
      </c>
    </row>
    <row r="58" spans="1:13" ht="60" customHeight="1" x14ac:dyDescent="0.35">
      <c r="A58" s="9" t="s">
        <v>295</v>
      </c>
      <c r="B58" s="1" t="s">
        <v>296</v>
      </c>
      <c r="C58" s="2" t="s">
        <v>15</v>
      </c>
      <c r="D58" s="3" t="s">
        <v>16</v>
      </c>
      <c r="E58" s="3" t="s">
        <v>17</v>
      </c>
      <c r="F58" s="3" t="s">
        <v>18</v>
      </c>
      <c r="G58" s="3" t="s">
        <v>19</v>
      </c>
      <c r="H58" s="4" t="s">
        <v>19</v>
      </c>
      <c r="I58" s="1" t="s">
        <v>297</v>
      </c>
      <c r="J58" s="1" t="s">
        <v>298</v>
      </c>
      <c r="K58" s="1" t="s">
        <v>299</v>
      </c>
      <c r="L58" s="3" t="str">
        <f t="shared" si="0"/>
        <v>Outstanding</v>
      </c>
      <c r="M58" s="11" t="s">
        <v>19</v>
      </c>
    </row>
    <row r="59" spans="1:13" ht="60" customHeight="1" x14ac:dyDescent="0.35">
      <c r="A59" s="9" t="s">
        <v>300</v>
      </c>
      <c r="B59" s="1" t="s">
        <v>301</v>
      </c>
      <c r="C59" s="2" t="s">
        <v>15</v>
      </c>
      <c r="D59" s="3" t="s">
        <v>16</v>
      </c>
      <c r="E59" s="3" t="s">
        <v>17</v>
      </c>
      <c r="F59" s="3" t="s">
        <v>18</v>
      </c>
      <c r="G59" s="3" t="s">
        <v>19</v>
      </c>
      <c r="H59" s="4" t="s">
        <v>19</v>
      </c>
      <c r="I59" s="1" t="s">
        <v>302</v>
      </c>
      <c r="J59" s="1" t="s">
        <v>303</v>
      </c>
      <c r="K59" s="1" t="s">
        <v>304</v>
      </c>
      <c r="L59" s="3" t="str">
        <f t="shared" si="0"/>
        <v>Outstanding</v>
      </c>
      <c r="M59" s="11" t="s">
        <v>19</v>
      </c>
    </row>
    <row r="60" spans="1:13" ht="60" customHeight="1" x14ac:dyDescent="0.35">
      <c r="A60" s="9" t="s">
        <v>305</v>
      </c>
      <c r="B60" s="1" t="s">
        <v>306</v>
      </c>
      <c r="C60" s="2" t="s">
        <v>15</v>
      </c>
      <c r="D60" s="3" t="s">
        <v>16</v>
      </c>
      <c r="E60" s="3" t="s">
        <v>17</v>
      </c>
      <c r="F60" s="3" t="s">
        <v>18</v>
      </c>
      <c r="G60" s="3" t="s">
        <v>19</v>
      </c>
      <c r="H60" s="4" t="s">
        <v>19</v>
      </c>
      <c r="I60" s="1" t="s">
        <v>307</v>
      </c>
      <c r="J60" s="1" t="s">
        <v>308</v>
      </c>
      <c r="K60" s="1" t="s">
        <v>309</v>
      </c>
      <c r="L60" s="3" t="str">
        <f t="shared" si="0"/>
        <v>Outstanding</v>
      </c>
      <c r="M60" s="11" t="s">
        <v>19</v>
      </c>
    </row>
    <row r="61" spans="1:13" ht="60" customHeight="1" x14ac:dyDescent="0.35">
      <c r="A61" s="9" t="s">
        <v>310</v>
      </c>
      <c r="B61" s="1" t="s">
        <v>311</v>
      </c>
      <c r="C61" s="2" t="s">
        <v>15</v>
      </c>
      <c r="D61" s="3" t="s">
        <v>16</v>
      </c>
      <c r="E61" s="3" t="s">
        <v>17</v>
      </c>
      <c r="F61" s="3" t="s">
        <v>18</v>
      </c>
      <c r="G61" s="3" t="s">
        <v>19</v>
      </c>
      <c r="H61" s="4" t="s">
        <v>19</v>
      </c>
      <c r="I61" s="1" t="s">
        <v>312</v>
      </c>
      <c r="J61" s="1" t="s">
        <v>313</v>
      </c>
      <c r="K61" s="1" t="s">
        <v>314</v>
      </c>
      <c r="L61" s="3" t="str">
        <f t="shared" si="0"/>
        <v>Outstanding</v>
      </c>
      <c r="M61" s="11" t="s">
        <v>19</v>
      </c>
    </row>
    <row r="62" spans="1:13" ht="60" customHeight="1" x14ac:dyDescent="0.35">
      <c r="A62" s="9" t="s">
        <v>315</v>
      </c>
      <c r="B62" s="1" t="s">
        <v>316</v>
      </c>
      <c r="C62" s="2" t="s">
        <v>15</v>
      </c>
      <c r="D62" s="3" t="s">
        <v>16</v>
      </c>
      <c r="E62" s="3" t="s">
        <v>17</v>
      </c>
      <c r="F62" s="3" t="s">
        <v>18</v>
      </c>
      <c r="G62" s="3" t="s">
        <v>19</v>
      </c>
      <c r="H62" s="4" t="s">
        <v>19</v>
      </c>
      <c r="I62" s="1" t="s">
        <v>317</v>
      </c>
      <c r="J62" s="1" t="s">
        <v>318</v>
      </c>
      <c r="K62" s="1" t="s">
        <v>319</v>
      </c>
      <c r="L62" s="3" t="str">
        <f t="shared" si="0"/>
        <v>Outstanding</v>
      </c>
      <c r="M62" s="11" t="s">
        <v>19</v>
      </c>
    </row>
    <row r="63" spans="1:13" ht="60" customHeight="1" x14ac:dyDescent="0.35">
      <c r="A63" s="9" t="s">
        <v>320</v>
      </c>
      <c r="B63" s="1" t="s">
        <v>321</v>
      </c>
      <c r="C63" s="2" t="s">
        <v>15</v>
      </c>
      <c r="D63" s="3" t="s">
        <v>16</v>
      </c>
      <c r="E63" s="3" t="s">
        <v>17</v>
      </c>
      <c r="F63" s="3" t="s">
        <v>18</v>
      </c>
      <c r="G63" s="3" t="s">
        <v>19</v>
      </c>
      <c r="H63" s="4" t="s">
        <v>19</v>
      </c>
      <c r="I63" s="1" t="s">
        <v>322</v>
      </c>
      <c r="J63" s="1" t="s">
        <v>323</v>
      </c>
      <c r="K63" s="1" t="s">
        <v>324</v>
      </c>
      <c r="L63" s="3" t="str">
        <f t="shared" si="0"/>
        <v>Outstanding</v>
      </c>
      <c r="M63" s="11" t="s">
        <v>19</v>
      </c>
    </row>
    <row r="64" spans="1:13" ht="60" customHeight="1" x14ac:dyDescent="0.35">
      <c r="A64" s="9" t="s">
        <v>325</v>
      </c>
      <c r="B64" s="1" t="s">
        <v>326</v>
      </c>
      <c r="C64" s="2" t="s">
        <v>15</v>
      </c>
      <c r="D64" s="3" t="s">
        <v>16</v>
      </c>
      <c r="E64" s="3" t="s">
        <v>17</v>
      </c>
      <c r="F64" s="3" t="s">
        <v>18</v>
      </c>
      <c r="G64" s="3" t="s">
        <v>19</v>
      </c>
      <c r="H64" s="4" t="s">
        <v>19</v>
      </c>
      <c r="I64" s="1" t="s">
        <v>327</v>
      </c>
      <c r="J64" s="1" t="s">
        <v>328</v>
      </c>
      <c r="K64" s="1" t="s">
        <v>329</v>
      </c>
      <c r="L64" s="3" t="str">
        <f t="shared" si="0"/>
        <v>Outstanding</v>
      </c>
      <c r="M64" s="11" t="s">
        <v>19</v>
      </c>
    </row>
    <row r="65" spans="1:13" ht="60" customHeight="1" x14ac:dyDescent="0.35">
      <c r="A65" s="9" t="s">
        <v>330</v>
      </c>
      <c r="B65" s="1" t="s">
        <v>331</v>
      </c>
      <c r="C65" s="2" t="s">
        <v>15</v>
      </c>
      <c r="D65" s="3" t="s">
        <v>16</v>
      </c>
      <c r="E65" s="3" t="s">
        <v>17</v>
      </c>
      <c r="F65" s="3" t="s">
        <v>18</v>
      </c>
      <c r="G65" s="3" t="s">
        <v>19</v>
      </c>
      <c r="H65" s="4" t="s">
        <v>19</v>
      </c>
      <c r="I65" s="1" t="s">
        <v>332</v>
      </c>
      <c r="J65" s="1" t="s">
        <v>333</v>
      </c>
      <c r="K65" s="1" t="s">
        <v>334</v>
      </c>
      <c r="L65" s="3" t="str">
        <f t="shared" si="0"/>
        <v>Outstanding</v>
      </c>
      <c r="M65" s="11" t="s">
        <v>19</v>
      </c>
    </row>
    <row r="66" spans="1:13" ht="60" customHeight="1" x14ac:dyDescent="0.35">
      <c r="A66" s="9" t="s">
        <v>335</v>
      </c>
      <c r="B66" s="1" t="s">
        <v>336</v>
      </c>
      <c r="C66" s="2" t="s">
        <v>15</v>
      </c>
      <c r="D66" s="3" t="s">
        <v>16</v>
      </c>
      <c r="E66" s="3" t="s">
        <v>17</v>
      </c>
      <c r="F66" s="3" t="s">
        <v>18</v>
      </c>
      <c r="G66" s="3" t="s">
        <v>19</v>
      </c>
      <c r="H66" s="4" t="s">
        <v>19</v>
      </c>
      <c r="I66" s="1" t="s">
        <v>337</v>
      </c>
      <c r="J66" s="1" t="s">
        <v>338</v>
      </c>
      <c r="K66" s="1" t="s">
        <v>339</v>
      </c>
      <c r="L66" s="3" t="str">
        <f t="shared" si="0"/>
        <v>Outstanding</v>
      </c>
      <c r="M66" s="11" t="s">
        <v>19</v>
      </c>
    </row>
    <row r="67" spans="1:13" ht="60" customHeight="1" x14ac:dyDescent="0.35">
      <c r="A67" s="9" t="s">
        <v>340</v>
      </c>
      <c r="B67" s="1" t="s">
        <v>341</v>
      </c>
      <c r="C67" s="2" t="s">
        <v>15</v>
      </c>
      <c r="D67" s="3" t="s">
        <v>16</v>
      </c>
      <c r="E67" s="3" t="s">
        <v>17</v>
      </c>
      <c r="F67" s="3" t="s">
        <v>18</v>
      </c>
      <c r="G67" s="3" t="s">
        <v>19</v>
      </c>
      <c r="H67" s="4" t="s">
        <v>19</v>
      </c>
      <c r="I67" s="1" t="s">
        <v>342</v>
      </c>
      <c r="J67" s="1" t="s">
        <v>343</v>
      </c>
      <c r="K67" s="1" t="s">
        <v>344</v>
      </c>
      <c r="L67" s="3" t="str">
        <f t="shared" si="0"/>
        <v>Outstanding</v>
      </c>
      <c r="M67" s="11" t="s">
        <v>19</v>
      </c>
    </row>
    <row r="68" spans="1:13" ht="60" customHeight="1" x14ac:dyDescent="0.35">
      <c r="A68" s="9" t="s">
        <v>345</v>
      </c>
      <c r="B68" s="1" t="s">
        <v>346</v>
      </c>
      <c r="C68" s="2" t="s">
        <v>15</v>
      </c>
      <c r="D68" s="3" t="s">
        <v>16</v>
      </c>
      <c r="E68" s="3" t="s">
        <v>17</v>
      </c>
      <c r="F68" s="3" t="s">
        <v>18</v>
      </c>
      <c r="G68" s="3" t="s">
        <v>19</v>
      </c>
      <c r="H68" s="4" t="s">
        <v>19</v>
      </c>
      <c r="I68" s="1" t="s">
        <v>347</v>
      </c>
      <c r="J68" s="1" t="s">
        <v>348</v>
      </c>
      <c r="K68" s="1" t="s">
        <v>349</v>
      </c>
      <c r="L68" s="3" t="str">
        <f t="shared" si="0"/>
        <v>Outstanding</v>
      </c>
      <c r="M68" s="11" t="s">
        <v>19</v>
      </c>
    </row>
    <row r="69" spans="1:13" ht="60" customHeight="1" x14ac:dyDescent="0.35">
      <c r="A69" s="9" t="s">
        <v>350</v>
      </c>
      <c r="B69" s="1" t="s">
        <v>351</v>
      </c>
      <c r="C69" s="2" t="s">
        <v>15</v>
      </c>
      <c r="D69" s="3" t="s">
        <v>16</v>
      </c>
      <c r="E69" s="3" t="s">
        <v>17</v>
      </c>
      <c r="F69" s="3" t="s">
        <v>18</v>
      </c>
      <c r="G69" s="3" t="s">
        <v>19</v>
      </c>
      <c r="H69" s="4" t="s">
        <v>19</v>
      </c>
      <c r="I69" s="1" t="s">
        <v>352</v>
      </c>
      <c r="J69" s="1" t="s">
        <v>353</v>
      </c>
      <c r="K69" s="1" t="s">
        <v>354</v>
      </c>
      <c r="L69" s="3" t="str">
        <f t="shared" si="0"/>
        <v>Outstanding</v>
      </c>
      <c r="M69" s="11" t="s">
        <v>19</v>
      </c>
    </row>
    <row r="70" spans="1:13" ht="60" customHeight="1" x14ac:dyDescent="0.35">
      <c r="A70" s="9" t="s">
        <v>355</v>
      </c>
      <c r="B70" s="1" t="s">
        <v>356</v>
      </c>
      <c r="C70" s="2" t="s">
        <v>15</v>
      </c>
      <c r="D70" s="3" t="s">
        <v>16</v>
      </c>
      <c r="E70" s="3" t="s">
        <v>17</v>
      </c>
      <c r="F70" s="3" t="s">
        <v>18</v>
      </c>
      <c r="G70" s="3" t="s">
        <v>19</v>
      </c>
      <c r="H70" s="4" t="s">
        <v>19</v>
      </c>
      <c r="I70" s="1" t="s">
        <v>357</v>
      </c>
      <c r="J70" s="1" t="s">
        <v>358</v>
      </c>
      <c r="K70" s="1" t="s">
        <v>359</v>
      </c>
      <c r="L70" s="3" t="str">
        <f t="shared" si="0"/>
        <v>Outstanding</v>
      </c>
      <c r="M70" s="11" t="s">
        <v>19</v>
      </c>
    </row>
    <row r="71" spans="1:13" ht="60" customHeight="1" x14ac:dyDescent="0.35">
      <c r="A71" s="9" t="s">
        <v>360</v>
      </c>
      <c r="B71" s="1" t="s">
        <v>361</v>
      </c>
      <c r="C71" s="2" t="s">
        <v>15</v>
      </c>
      <c r="D71" s="3" t="s">
        <v>16</v>
      </c>
      <c r="E71" s="3" t="s">
        <v>17</v>
      </c>
      <c r="F71" s="3" t="s">
        <v>18</v>
      </c>
      <c r="G71" s="3" t="s">
        <v>19</v>
      </c>
      <c r="H71" s="4" t="s">
        <v>19</v>
      </c>
      <c r="I71" s="1" t="s">
        <v>362</v>
      </c>
      <c r="J71" s="1" t="s">
        <v>363</v>
      </c>
      <c r="K71" s="1" t="s">
        <v>364</v>
      </c>
      <c r="L71" s="3" t="str">
        <f t="shared" si="0"/>
        <v>Outstanding</v>
      </c>
      <c r="M71" s="11" t="s">
        <v>19</v>
      </c>
    </row>
    <row r="72" spans="1:13" ht="60" customHeight="1" x14ac:dyDescent="0.35">
      <c r="A72" s="9" t="s">
        <v>365</v>
      </c>
      <c r="B72" s="1" t="s">
        <v>366</v>
      </c>
      <c r="C72" s="2" t="s">
        <v>15</v>
      </c>
      <c r="D72" s="3" t="s">
        <v>16</v>
      </c>
      <c r="E72" s="3" t="s">
        <v>17</v>
      </c>
      <c r="F72" s="3" t="s">
        <v>18</v>
      </c>
      <c r="G72" s="3" t="s">
        <v>19</v>
      </c>
      <c r="H72" s="4" t="s">
        <v>19</v>
      </c>
      <c r="I72" s="1" t="s">
        <v>367</v>
      </c>
      <c r="J72" s="1" t="s">
        <v>368</v>
      </c>
      <c r="K72" s="1" t="s">
        <v>369</v>
      </c>
      <c r="L72" s="3" t="str">
        <f t="shared" si="0"/>
        <v>Outstanding</v>
      </c>
      <c r="M72" s="11" t="s">
        <v>19</v>
      </c>
    </row>
    <row r="73" spans="1:13" ht="60" customHeight="1" x14ac:dyDescent="0.35">
      <c r="A73" s="9" t="s">
        <v>370</v>
      </c>
      <c r="B73" s="1" t="s">
        <v>371</v>
      </c>
      <c r="C73" s="2" t="s">
        <v>15</v>
      </c>
      <c r="D73" s="3" t="s">
        <v>16</v>
      </c>
      <c r="E73" s="3" t="s">
        <v>17</v>
      </c>
      <c r="F73" s="3" t="s">
        <v>18</v>
      </c>
      <c r="G73" s="3" t="s">
        <v>19</v>
      </c>
      <c r="H73" s="4" t="s">
        <v>19</v>
      </c>
      <c r="I73" s="1" t="s">
        <v>372</v>
      </c>
      <c r="J73" s="1" t="s">
        <v>373</v>
      </c>
      <c r="K73" s="1" t="s">
        <v>374</v>
      </c>
      <c r="L73" s="3" t="str">
        <f t="shared" si="0"/>
        <v>Outstanding</v>
      </c>
      <c r="M73" s="11" t="s">
        <v>19</v>
      </c>
    </row>
    <row r="74" spans="1:13" ht="60" customHeight="1" x14ac:dyDescent="0.35">
      <c r="A74" s="9" t="s">
        <v>375</v>
      </c>
      <c r="B74" s="1" t="s">
        <v>376</v>
      </c>
      <c r="C74" s="2" t="s">
        <v>15</v>
      </c>
      <c r="D74" s="3" t="s">
        <v>16</v>
      </c>
      <c r="E74" s="3" t="s">
        <v>17</v>
      </c>
      <c r="F74" s="3" t="s">
        <v>18</v>
      </c>
      <c r="G74" s="3" t="s">
        <v>19</v>
      </c>
      <c r="H74" s="4" t="s">
        <v>19</v>
      </c>
      <c r="I74" s="1" t="s">
        <v>377</v>
      </c>
      <c r="J74" s="1" t="s">
        <v>378</v>
      </c>
      <c r="K74" s="1" t="s">
        <v>379</v>
      </c>
      <c r="L74" s="3" t="str">
        <f t="shared" si="0"/>
        <v>Outstanding</v>
      </c>
      <c r="M74" s="11" t="s">
        <v>19</v>
      </c>
    </row>
    <row r="75" spans="1:13" ht="60" customHeight="1" x14ac:dyDescent="0.35">
      <c r="A75" s="9" t="s">
        <v>380</v>
      </c>
      <c r="B75" s="1" t="s">
        <v>381</v>
      </c>
      <c r="C75" s="2" t="s">
        <v>15</v>
      </c>
      <c r="D75" s="3" t="s">
        <v>16</v>
      </c>
      <c r="E75" s="3" t="s">
        <v>17</v>
      </c>
      <c r="F75" s="3" t="s">
        <v>18</v>
      </c>
      <c r="G75" s="3" t="s">
        <v>19</v>
      </c>
      <c r="H75" s="4" t="s">
        <v>19</v>
      </c>
      <c r="I75" s="1" t="s">
        <v>382</v>
      </c>
      <c r="J75" s="1" t="s">
        <v>383</v>
      </c>
      <c r="K75" s="1" t="s">
        <v>384</v>
      </c>
      <c r="L75" s="3" t="str">
        <f t="shared" si="0"/>
        <v>Outstanding</v>
      </c>
      <c r="M75" s="11" t="s">
        <v>19</v>
      </c>
    </row>
    <row r="76" spans="1:13" ht="60" customHeight="1" x14ac:dyDescent="0.35">
      <c r="A76" s="9" t="s">
        <v>385</v>
      </c>
      <c r="B76" s="1" t="s">
        <v>386</v>
      </c>
      <c r="C76" s="2" t="s">
        <v>15</v>
      </c>
      <c r="D76" s="3" t="s">
        <v>16</v>
      </c>
      <c r="E76" s="3" t="s">
        <v>17</v>
      </c>
      <c r="F76" s="3" t="s">
        <v>18</v>
      </c>
      <c r="G76" s="3" t="s">
        <v>19</v>
      </c>
      <c r="H76" s="4" t="s">
        <v>19</v>
      </c>
      <c r="I76" s="1" t="s">
        <v>387</v>
      </c>
      <c r="J76" s="1" t="s">
        <v>388</v>
      </c>
      <c r="K76" s="1" t="s">
        <v>389</v>
      </c>
      <c r="L76" s="3" t="str">
        <f t="shared" si="0"/>
        <v>Outstanding</v>
      </c>
      <c r="M76" s="11" t="s">
        <v>19</v>
      </c>
    </row>
    <row r="77" spans="1:13" ht="60" customHeight="1" x14ac:dyDescent="0.35">
      <c r="A77" s="9" t="s">
        <v>390</v>
      </c>
      <c r="B77" s="1" t="s">
        <v>391</v>
      </c>
      <c r="C77" s="2" t="s">
        <v>15</v>
      </c>
      <c r="D77" s="3" t="s">
        <v>16</v>
      </c>
      <c r="E77" s="3" t="s">
        <v>17</v>
      </c>
      <c r="F77" s="3" t="s">
        <v>18</v>
      </c>
      <c r="G77" s="3" t="s">
        <v>19</v>
      </c>
      <c r="H77" s="4" t="s">
        <v>19</v>
      </c>
      <c r="I77" s="1" t="s">
        <v>392</v>
      </c>
      <c r="J77" s="1" t="s">
        <v>393</v>
      </c>
      <c r="K77" s="1" t="s">
        <v>394</v>
      </c>
      <c r="L77" s="3" t="str">
        <f t="shared" si="0"/>
        <v>Outstanding</v>
      </c>
      <c r="M77" s="11" t="s">
        <v>19</v>
      </c>
    </row>
    <row r="78" spans="1:13" ht="60" customHeight="1" x14ac:dyDescent="0.35">
      <c r="A78" s="9" t="s">
        <v>395</v>
      </c>
      <c r="B78" s="1" t="s">
        <v>396</v>
      </c>
      <c r="C78" s="2" t="s">
        <v>15</v>
      </c>
      <c r="D78" s="3" t="s">
        <v>16</v>
      </c>
      <c r="E78" s="3" t="s">
        <v>17</v>
      </c>
      <c r="F78" s="3" t="s">
        <v>18</v>
      </c>
      <c r="G78" s="3" t="s">
        <v>19</v>
      </c>
      <c r="H78" s="4" t="s">
        <v>19</v>
      </c>
      <c r="I78" s="1" t="s">
        <v>397</v>
      </c>
      <c r="J78" s="1" t="s">
        <v>398</v>
      </c>
      <c r="K78" s="1" t="s">
        <v>399</v>
      </c>
      <c r="L78" s="3" t="str">
        <f t="shared" si="0"/>
        <v>Outstanding</v>
      </c>
      <c r="M78" s="11" t="s">
        <v>19</v>
      </c>
    </row>
    <row r="79" spans="1:13" ht="60" customHeight="1" x14ac:dyDescent="0.35">
      <c r="A79" s="9" t="s">
        <v>400</v>
      </c>
      <c r="B79" s="1" t="s">
        <v>401</v>
      </c>
      <c r="C79" s="2" t="s">
        <v>15</v>
      </c>
      <c r="D79" s="3" t="s">
        <v>16</v>
      </c>
      <c r="E79" s="3" t="s">
        <v>17</v>
      </c>
      <c r="F79" s="3" t="s">
        <v>18</v>
      </c>
      <c r="G79" s="3" t="s">
        <v>19</v>
      </c>
      <c r="H79" s="4" t="s">
        <v>19</v>
      </c>
      <c r="I79" s="1" t="s">
        <v>402</v>
      </c>
      <c r="J79" s="1" t="s">
        <v>403</v>
      </c>
      <c r="K79" s="1" t="s">
        <v>404</v>
      </c>
      <c r="L79" s="3" t="str">
        <f t="shared" si="0"/>
        <v>Outstanding</v>
      </c>
      <c r="M79" s="11" t="s">
        <v>19</v>
      </c>
    </row>
    <row r="80" spans="1:13" ht="60" customHeight="1" x14ac:dyDescent="0.35">
      <c r="A80" s="9" t="s">
        <v>405</v>
      </c>
      <c r="B80" s="1" t="s">
        <v>406</v>
      </c>
      <c r="C80" s="2" t="s">
        <v>58</v>
      </c>
      <c r="D80" s="3" t="s">
        <v>16</v>
      </c>
      <c r="E80" s="3" t="s">
        <v>17</v>
      </c>
      <c r="F80" s="3" t="s">
        <v>18</v>
      </c>
      <c r="G80" s="3" t="s">
        <v>19</v>
      </c>
      <c r="H80" s="4" t="s">
        <v>19</v>
      </c>
      <c r="I80" s="1" t="s">
        <v>407</v>
      </c>
      <c r="J80" s="1" t="s">
        <v>408</v>
      </c>
      <c r="K80" s="1" t="s">
        <v>409</v>
      </c>
      <c r="L80" s="3" t="str">
        <f t="shared" si="0"/>
        <v>Outstanding</v>
      </c>
      <c r="M80" s="11" t="s">
        <v>19</v>
      </c>
    </row>
    <row r="81" spans="1:13" ht="60" customHeight="1" x14ac:dyDescent="0.35">
      <c r="A81" s="9" t="s">
        <v>410</v>
      </c>
      <c r="B81" s="1" t="s">
        <v>411</v>
      </c>
      <c r="C81" s="2" t="s">
        <v>15</v>
      </c>
      <c r="D81" s="3" t="s">
        <v>16</v>
      </c>
      <c r="E81" s="3" t="s">
        <v>17</v>
      </c>
      <c r="F81" s="3" t="s">
        <v>18</v>
      </c>
      <c r="G81" s="3" t="s">
        <v>19</v>
      </c>
      <c r="H81" s="4" t="s">
        <v>19</v>
      </c>
      <c r="I81" s="1" t="s">
        <v>412</v>
      </c>
      <c r="J81" s="1" t="s">
        <v>413</v>
      </c>
      <c r="K81" s="1" t="s">
        <v>414</v>
      </c>
      <c r="L81" s="3" t="str">
        <f t="shared" si="0"/>
        <v>Outstanding</v>
      </c>
      <c r="M81" s="11" t="s">
        <v>19</v>
      </c>
    </row>
    <row r="82" spans="1:13" ht="60" customHeight="1" x14ac:dyDescent="0.35">
      <c r="A82" s="9" t="s">
        <v>415</v>
      </c>
      <c r="B82" s="1" t="s">
        <v>416</v>
      </c>
      <c r="C82" s="2" t="s">
        <v>15</v>
      </c>
      <c r="D82" s="3" t="s">
        <v>16</v>
      </c>
      <c r="E82" s="3" t="s">
        <v>17</v>
      </c>
      <c r="F82" s="3" t="s">
        <v>18</v>
      </c>
      <c r="G82" s="3" t="s">
        <v>19</v>
      </c>
      <c r="H82" s="4" t="s">
        <v>19</v>
      </c>
      <c r="I82" s="1" t="s">
        <v>417</v>
      </c>
      <c r="J82" s="1" t="s">
        <v>418</v>
      </c>
      <c r="K82" s="1" t="s">
        <v>419</v>
      </c>
      <c r="L82" s="3" t="str">
        <f t="shared" si="0"/>
        <v>Outstanding</v>
      </c>
      <c r="M82" s="11" t="s">
        <v>19</v>
      </c>
    </row>
    <row r="83" spans="1:13" ht="60" customHeight="1" x14ac:dyDescent="0.35">
      <c r="A83" s="9" t="s">
        <v>420</v>
      </c>
      <c r="B83" s="1" t="s">
        <v>421</v>
      </c>
      <c r="C83" s="2" t="s">
        <v>15</v>
      </c>
      <c r="D83" s="3" t="s">
        <v>16</v>
      </c>
      <c r="E83" s="3" t="s">
        <v>17</v>
      </c>
      <c r="F83" s="3" t="s">
        <v>18</v>
      </c>
      <c r="G83" s="3" t="s">
        <v>19</v>
      </c>
      <c r="H83" s="4" t="s">
        <v>19</v>
      </c>
      <c r="I83" s="1" t="s">
        <v>422</v>
      </c>
      <c r="J83" s="1" t="s">
        <v>423</v>
      </c>
      <c r="K83" s="1" t="s">
        <v>424</v>
      </c>
      <c r="L83" s="3" t="str">
        <f t="shared" si="0"/>
        <v>Outstanding</v>
      </c>
      <c r="M83" s="11" t="s">
        <v>19</v>
      </c>
    </row>
    <row r="84" spans="1:13" ht="60" customHeight="1" x14ac:dyDescent="0.35">
      <c r="A84" s="10" t="s">
        <v>425</v>
      </c>
      <c r="B84" s="5" t="s">
        <v>426</v>
      </c>
      <c r="C84" s="6" t="s">
        <v>15</v>
      </c>
      <c r="D84" s="7" t="s">
        <v>16</v>
      </c>
      <c r="E84" s="7" t="s">
        <v>17</v>
      </c>
      <c r="F84" s="7" t="s">
        <v>18</v>
      </c>
      <c r="G84" s="7" t="s">
        <v>19</v>
      </c>
      <c r="H84" s="8" t="s">
        <v>19</v>
      </c>
      <c r="I84" s="5" t="s">
        <v>427</v>
      </c>
      <c r="J84" s="5" t="s">
        <v>428</v>
      </c>
      <c r="K84" s="5" t="s">
        <v>429</v>
      </c>
      <c r="L84" s="7" t="str">
        <f t="shared" si="0"/>
        <v>Outstanding</v>
      </c>
      <c r="M84" s="12" t="s">
        <v>19</v>
      </c>
    </row>
    <row r="88" spans="1:13" ht="32" customHeight="1" x14ac:dyDescent="0.35">
      <c r="A88" s="265" t="s">
        <v>430</v>
      </c>
      <c r="B88" s="265"/>
      <c r="C88" s="265"/>
      <c r="D88" s="265"/>
    </row>
  </sheetData>
  <mergeCells count="1">
    <mergeCell ref="A88:D88"/>
  </mergeCells>
  <conditionalFormatting sqref="C2:C84">
    <cfRule type="expression" dxfId="67" priority="14">
      <formula>LEFT($C2,7)="CAT III"</formula>
    </cfRule>
    <cfRule type="expression" dxfId="66" priority="15">
      <formula>LEFT($C2,6)="CAT II"</formula>
    </cfRule>
    <cfRule type="expression" dxfId="65" priority="16">
      <formula>LEFT($C2,5)="CAT I"</formula>
    </cfRule>
  </conditionalFormatting>
  <conditionalFormatting sqref="D2:D84">
    <cfRule type="cellIs" dxfId="64" priority="1" operator="equal">
      <formula>"Must"</formula>
    </cfRule>
    <cfRule type="cellIs" dxfId="63" priority="2" operator="equal">
      <formula>"Should"</formula>
    </cfRule>
    <cfRule type="cellIs" dxfId="62" priority="3" operator="equal">
      <formula>"Could"</formula>
    </cfRule>
    <cfRule type="cellIs" dxfId="61" priority="4" operator="equal">
      <formula>"Won't"</formula>
    </cfRule>
  </conditionalFormatting>
  <conditionalFormatting sqref="E2:E84">
    <cfRule type="cellIs" dxfId="60" priority="5" operator="equal">
      <formula>"Low"</formula>
    </cfRule>
    <cfRule type="cellIs" dxfId="59" priority="6" operator="equal">
      <formula>"Medium"</formula>
    </cfRule>
    <cfRule type="cellIs" dxfId="58" priority="7" operator="equal">
      <formula>"High"</formula>
    </cfRule>
  </conditionalFormatting>
  <conditionalFormatting sqref="G2:G84">
    <cfRule type="cellIs" dxfId="57" priority="8" operator="equal">
      <formula>"Implemented"</formula>
    </cfRule>
    <cfRule type="cellIs" dxfId="56" priority="9" operator="equal">
      <formula>"Compensated"</formula>
    </cfRule>
    <cfRule type="cellIs" dxfId="55" priority="10" operator="equal">
      <formula>"Testing"</formula>
    </cfRule>
    <cfRule type="cellIs" dxfId="54" priority="11" operator="equal">
      <formula>"Failed"</formula>
    </cfRule>
    <cfRule type="cellIs" dxfId="53" priority="12" operator="equal">
      <formula>"Risk Accepted"</formula>
    </cfRule>
    <cfRule type="cellIs" dxfId="52" priority="13" operator="equal">
      <formula>"N/A"</formula>
    </cfRule>
  </conditionalFormatting>
  <dataValidations count="4">
    <dataValidation type="list" showErrorMessage="1" errorTitle="Invalid Value" error="Please select a value from the list: Must, Should, Could, Won't, Unassigned." sqref="D2:D84" xr:uid="{00000000-0002-0000-0200-000000000000}">
      <formula1>"Must,Should,Could,Won't,Unassigned"</formula1>
    </dataValidation>
    <dataValidation type="list" showErrorMessage="1" errorTitle="Invalid Value" error="Please select a value from the list: Low, Medium, High, Unassessed." sqref="E2:E84" xr:uid="{00000000-0002-0000-0200-000001000000}">
      <formula1>"Low,Medium,High,Unassessed"</formula1>
    </dataValidation>
    <dataValidation type="list" showErrorMessage="1" errorTitle="Invalid Value" error="Please select a value from the list: Phase1, Phase2, Phase3, Phase4, Phase5, Pending." sqref="F2:F84"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84" xr:uid="{00000000-0002-0000-0200-000003000000}">
      <formula1>"Implemented,Testing,Failed,Compensated,Risk Accepted,N/A"</formula1>
    </dataValidation>
  </dataValidations>
  <hyperlinks>
    <hyperlink ref="A88"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282" t="s">
        <v>576</v>
      </c>
      <c r="C2" s="282" t="s">
        <v>576</v>
      </c>
      <c r="D2" s="282" t="s">
        <v>576</v>
      </c>
      <c r="E2" s="282" t="s">
        <v>576</v>
      </c>
      <c r="F2" s="282" t="s">
        <v>576</v>
      </c>
      <c r="G2" s="282" t="s">
        <v>576</v>
      </c>
      <c r="H2" s="286" t="s">
        <v>577</v>
      </c>
      <c r="I2" s="286" t="s">
        <v>577</v>
      </c>
      <c r="J2" s="286" t="s">
        <v>577</v>
      </c>
      <c r="K2" s="286" t="s">
        <v>577</v>
      </c>
      <c r="L2" s="286" t="s">
        <v>577</v>
      </c>
      <c r="M2" s="285" t="s">
        <v>578</v>
      </c>
      <c r="N2" s="285" t="s">
        <v>578</v>
      </c>
      <c r="O2" s="287" t="s">
        <v>579</v>
      </c>
      <c r="P2" s="287" t="s">
        <v>579</v>
      </c>
      <c r="Q2" s="283" t="s">
        <v>11</v>
      </c>
      <c r="R2" s="283" t="s">
        <v>11</v>
      </c>
      <c r="S2" s="283" t="s">
        <v>11</v>
      </c>
      <c r="T2" s="284" t="s">
        <v>580</v>
      </c>
    </row>
    <row r="3" spans="2:20" ht="35" customHeight="1" x14ac:dyDescent="0.35">
      <c r="B3" s="70" t="s">
        <v>581</v>
      </c>
      <c r="C3" s="70" t="s">
        <v>582</v>
      </c>
      <c r="D3" s="70" t="s">
        <v>583</v>
      </c>
      <c r="E3" s="70" t="s">
        <v>584</v>
      </c>
      <c r="F3" s="70" t="s">
        <v>585</v>
      </c>
      <c r="G3" s="70" t="s">
        <v>9</v>
      </c>
      <c r="H3" s="71" t="s">
        <v>586</v>
      </c>
      <c r="I3" s="71" t="s">
        <v>587</v>
      </c>
      <c r="J3" s="71" t="s">
        <v>588</v>
      </c>
      <c r="K3" s="71" t="s">
        <v>589</v>
      </c>
      <c r="L3" s="71" t="s">
        <v>521</v>
      </c>
      <c r="M3" s="72" t="s">
        <v>590</v>
      </c>
      <c r="N3" s="72" t="s">
        <v>591</v>
      </c>
      <c r="O3" s="73" t="s">
        <v>592</v>
      </c>
      <c r="P3" s="73" t="s">
        <v>593</v>
      </c>
      <c r="Q3" s="74" t="s">
        <v>11</v>
      </c>
      <c r="R3" s="74" t="s">
        <v>594</v>
      </c>
      <c r="S3" s="74" t="s">
        <v>595</v>
      </c>
      <c r="T3" s="75" t="s">
        <v>596</v>
      </c>
    </row>
    <row r="4" spans="2:20" ht="60" customHeight="1" x14ac:dyDescent="0.35">
      <c r="B4" s="76" t="s">
        <v>597</v>
      </c>
      <c r="C4" s="76" t="s">
        <v>598</v>
      </c>
      <c r="D4" s="76" t="s">
        <v>599</v>
      </c>
      <c r="E4" s="76" t="s">
        <v>600</v>
      </c>
      <c r="F4" s="76" t="s">
        <v>601</v>
      </c>
      <c r="G4" s="76" t="s">
        <v>602</v>
      </c>
      <c r="H4" s="76" t="s">
        <v>603</v>
      </c>
      <c r="I4" s="76" t="s">
        <v>604</v>
      </c>
      <c r="J4" s="76" t="s">
        <v>605</v>
      </c>
      <c r="K4" s="76" t="s">
        <v>606</v>
      </c>
      <c r="L4" s="76" t="s">
        <v>607</v>
      </c>
      <c r="M4" s="76" t="s">
        <v>608</v>
      </c>
      <c r="N4" s="76" t="s">
        <v>609</v>
      </c>
      <c r="O4" s="76" t="s">
        <v>610</v>
      </c>
      <c r="P4" s="76" t="s">
        <v>611</v>
      </c>
      <c r="Q4" s="76" t="s">
        <v>612</v>
      </c>
      <c r="R4" s="76" t="s">
        <v>613</v>
      </c>
      <c r="S4" s="76" t="s">
        <v>614</v>
      </c>
      <c r="T4" s="76" t="s">
        <v>615</v>
      </c>
    </row>
    <row r="5" spans="2:20" ht="60" customHeight="1" x14ac:dyDescent="0.35">
      <c r="B5" s="38" t="s">
        <v>616</v>
      </c>
      <c r="C5" s="77"/>
      <c r="D5" s="78"/>
      <c r="E5" s="78" t="s">
        <v>19</v>
      </c>
      <c r="F5" s="78" t="str">
        <f>IF(E5&lt;&gt;"", IFERROR(VLOOKUP(E5, Dashboard!$B29:$F34, 5, FALSE), ""), "")</f>
        <v/>
      </c>
      <c r="G5" s="79"/>
      <c r="H5" s="66"/>
      <c r="I5" s="66"/>
      <c r="J5" s="79"/>
      <c r="K5" s="79"/>
      <c r="L5" s="40"/>
      <c r="M5" s="40"/>
      <c r="N5" s="79"/>
      <c r="O5" s="79"/>
      <c r="P5" s="40"/>
      <c r="Q5" s="40" t="s">
        <v>19</v>
      </c>
      <c r="R5" s="79"/>
      <c r="S5" s="66"/>
      <c r="T5" s="79"/>
    </row>
    <row r="6" spans="2:20" ht="60" customHeight="1" x14ac:dyDescent="0.35">
      <c r="B6" s="38" t="s">
        <v>617</v>
      </c>
      <c r="C6" s="77"/>
      <c r="D6" s="78"/>
      <c r="E6" s="78" t="s">
        <v>19</v>
      </c>
      <c r="F6" s="78" t="str">
        <f>IF(E6&lt;&gt;"", IFERROR(VLOOKUP(E6, Dashboard!$B29:$F34, 5, FALSE), ""), "")</f>
        <v/>
      </c>
      <c r="G6" s="79"/>
      <c r="H6" s="66"/>
      <c r="I6" s="66"/>
      <c r="J6" s="79"/>
      <c r="K6" s="79"/>
      <c r="L6" s="40"/>
      <c r="M6" s="40"/>
      <c r="N6" s="79"/>
      <c r="O6" s="79"/>
      <c r="P6" s="40"/>
      <c r="Q6" s="40" t="s">
        <v>19</v>
      </c>
      <c r="R6" s="79"/>
      <c r="S6" s="66"/>
      <c r="T6" s="79"/>
    </row>
    <row r="7" spans="2:20" ht="60" customHeight="1" x14ac:dyDescent="0.35">
      <c r="B7" s="38" t="s">
        <v>618</v>
      </c>
      <c r="C7" s="77"/>
      <c r="D7" s="78"/>
      <c r="E7" s="78" t="s">
        <v>19</v>
      </c>
      <c r="F7" s="78" t="str">
        <f>IF(E7&lt;&gt;"", IFERROR(VLOOKUP(E7, Dashboard!$B29:$F34, 5, FALSE), ""), "")</f>
        <v/>
      </c>
      <c r="G7" s="79"/>
      <c r="H7" s="66"/>
      <c r="I7" s="66"/>
      <c r="J7" s="79"/>
      <c r="K7" s="79"/>
      <c r="L7" s="40"/>
      <c r="M7" s="40"/>
      <c r="N7" s="79"/>
      <c r="O7" s="79"/>
      <c r="P7" s="40"/>
      <c r="Q7" s="40" t="s">
        <v>19</v>
      </c>
      <c r="R7" s="79"/>
      <c r="S7" s="66"/>
      <c r="T7" s="79"/>
    </row>
    <row r="8" spans="2:20" ht="60" customHeight="1" x14ac:dyDescent="0.35">
      <c r="B8" s="38" t="s">
        <v>619</v>
      </c>
      <c r="C8" s="77"/>
      <c r="D8" s="78"/>
      <c r="E8" s="78" t="s">
        <v>19</v>
      </c>
      <c r="F8" s="78" t="str">
        <f>IF(E8&lt;&gt;"", IFERROR(VLOOKUP(E8, Dashboard!$B29:$F34, 5, FALSE), ""), "")</f>
        <v/>
      </c>
      <c r="G8" s="79"/>
      <c r="H8" s="66"/>
      <c r="I8" s="66"/>
      <c r="J8" s="79"/>
      <c r="K8" s="79"/>
      <c r="L8" s="40"/>
      <c r="M8" s="40"/>
      <c r="N8" s="79"/>
      <c r="O8" s="79"/>
      <c r="P8" s="40"/>
      <c r="Q8" s="40" t="s">
        <v>19</v>
      </c>
      <c r="R8" s="79"/>
      <c r="S8" s="66"/>
      <c r="T8" s="79"/>
    </row>
    <row r="9" spans="2:20" ht="60" customHeight="1" x14ac:dyDescent="0.35">
      <c r="B9" s="38" t="s">
        <v>620</v>
      </c>
      <c r="C9" s="77"/>
      <c r="D9" s="78"/>
      <c r="E9" s="78" t="s">
        <v>19</v>
      </c>
      <c r="F9" s="78" t="str">
        <f>IF(E9&lt;&gt;"", IFERROR(VLOOKUP(E9, Dashboard!$B29:$F34, 5, FALSE), ""), "")</f>
        <v/>
      </c>
      <c r="G9" s="79"/>
      <c r="H9" s="66"/>
      <c r="I9" s="66"/>
      <c r="J9" s="79"/>
      <c r="K9" s="79"/>
      <c r="L9" s="40"/>
      <c r="M9" s="40"/>
      <c r="N9" s="79"/>
      <c r="O9" s="79"/>
      <c r="P9" s="40"/>
      <c r="Q9" s="40" t="s">
        <v>19</v>
      </c>
      <c r="R9" s="79"/>
      <c r="S9" s="66"/>
      <c r="T9" s="79"/>
    </row>
    <row r="10" spans="2:20" ht="60" customHeight="1" x14ac:dyDescent="0.35">
      <c r="B10" s="38" t="s">
        <v>621</v>
      </c>
      <c r="C10" s="77"/>
      <c r="D10" s="78"/>
      <c r="E10" s="78" t="s">
        <v>19</v>
      </c>
      <c r="F10" s="78" t="str">
        <f>IF(E10&lt;&gt;"", IFERROR(VLOOKUP(E10, Dashboard!$B29:$F34, 5, FALSE), ""), "")</f>
        <v/>
      </c>
      <c r="G10" s="79"/>
      <c r="H10" s="66"/>
      <c r="I10" s="66"/>
      <c r="J10" s="79"/>
      <c r="K10" s="79"/>
      <c r="L10" s="40"/>
      <c r="M10" s="40"/>
      <c r="N10" s="79"/>
      <c r="O10" s="79"/>
      <c r="P10" s="40"/>
      <c r="Q10" s="40" t="s">
        <v>19</v>
      </c>
      <c r="R10" s="79"/>
      <c r="S10" s="66"/>
      <c r="T10" s="79"/>
    </row>
    <row r="11" spans="2:20" ht="60" customHeight="1" x14ac:dyDescent="0.35">
      <c r="B11" s="38" t="s">
        <v>622</v>
      </c>
      <c r="C11" s="77"/>
      <c r="D11" s="78"/>
      <c r="E11" s="78" t="s">
        <v>19</v>
      </c>
      <c r="F11" s="78" t="str">
        <f>IF(E11&lt;&gt;"", IFERROR(VLOOKUP(E11, Dashboard!$B29:$F34, 5, FALSE), ""), "")</f>
        <v/>
      </c>
      <c r="G11" s="79"/>
      <c r="H11" s="66"/>
      <c r="I11" s="66"/>
      <c r="J11" s="79"/>
      <c r="K11" s="79"/>
      <c r="L11" s="40"/>
      <c r="M11" s="40"/>
      <c r="N11" s="79"/>
      <c r="O11" s="79"/>
      <c r="P11" s="40"/>
      <c r="Q11" s="40" t="s">
        <v>19</v>
      </c>
      <c r="R11" s="79"/>
      <c r="S11" s="66"/>
      <c r="T11" s="79"/>
    </row>
    <row r="12" spans="2:20" ht="60" customHeight="1" x14ac:dyDescent="0.35">
      <c r="B12" s="38" t="s">
        <v>623</v>
      </c>
      <c r="C12" s="77"/>
      <c r="D12" s="78"/>
      <c r="E12" s="78" t="s">
        <v>19</v>
      </c>
      <c r="F12" s="78" t="str">
        <f>IF(E12&lt;&gt;"", IFERROR(VLOOKUP(E12, Dashboard!$B29:$F34, 5, FALSE), ""), "")</f>
        <v/>
      </c>
      <c r="G12" s="79"/>
      <c r="H12" s="66"/>
      <c r="I12" s="66"/>
      <c r="J12" s="79"/>
      <c r="K12" s="79"/>
      <c r="L12" s="40"/>
      <c r="M12" s="40"/>
      <c r="N12" s="79"/>
      <c r="O12" s="79"/>
      <c r="P12" s="40"/>
      <c r="Q12" s="40" t="s">
        <v>19</v>
      </c>
      <c r="R12" s="79"/>
      <c r="S12" s="66"/>
      <c r="T12" s="79"/>
    </row>
    <row r="13" spans="2:20" ht="60" customHeight="1" x14ac:dyDescent="0.35">
      <c r="B13" s="38" t="s">
        <v>624</v>
      </c>
      <c r="C13" s="77"/>
      <c r="D13" s="78"/>
      <c r="E13" s="78" t="s">
        <v>19</v>
      </c>
      <c r="F13" s="78" t="str">
        <f>IF(E13&lt;&gt;"", IFERROR(VLOOKUP(E13, Dashboard!$B29:$F34, 5, FALSE), ""), "")</f>
        <v/>
      </c>
      <c r="G13" s="79"/>
      <c r="H13" s="66"/>
      <c r="I13" s="66"/>
      <c r="J13" s="79"/>
      <c r="K13" s="79"/>
      <c r="L13" s="40"/>
      <c r="M13" s="40"/>
      <c r="N13" s="79"/>
      <c r="O13" s="79"/>
      <c r="P13" s="40"/>
      <c r="Q13" s="40" t="s">
        <v>19</v>
      </c>
      <c r="R13" s="79"/>
      <c r="S13" s="66"/>
      <c r="T13" s="79"/>
    </row>
    <row r="14" spans="2:20" ht="60" customHeight="1" x14ac:dyDescent="0.35">
      <c r="B14" s="38" t="s">
        <v>625</v>
      </c>
      <c r="C14" s="77"/>
      <c r="D14" s="78"/>
      <c r="E14" s="78" t="s">
        <v>19</v>
      </c>
      <c r="F14" s="78" t="str">
        <f>IF(E14&lt;&gt;"", IFERROR(VLOOKUP(E14, Dashboard!$B29:$F34, 5, FALSE), ""), "")</f>
        <v/>
      </c>
      <c r="G14" s="79"/>
      <c r="H14" s="66"/>
      <c r="I14" s="66"/>
      <c r="J14" s="79"/>
      <c r="K14" s="79"/>
      <c r="L14" s="40"/>
      <c r="M14" s="40"/>
      <c r="N14" s="79"/>
      <c r="O14" s="79"/>
      <c r="P14" s="40"/>
      <c r="Q14" s="40" t="s">
        <v>19</v>
      </c>
      <c r="R14" s="79"/>
      <c r="S14" s="66"/>
      <c r="T14" s="79"/>
    </row>
    <row r="15" spans="2:20" ht="60" customHeight="1" x14ac:dyDescent="0.35">
      <c r="B15" s="38" t="s">
        <v>626</v>
      </c>
      <c r="C15" s="77"/>
      <c r="D15" s="78"/>
      <c r="E15" s="78" t="s">
        <v>19</v>
      </c>
      <c r="F15" s="78" t="str">
        <f>IF(E15&lt;&gt;"", IFERROR(VLOOKUP(E15, Dashboard!$B29:$F34, 5, FALSE), ""), "")</f>
        <v/>
      </c>
      <c r="G15" s="79"/>
      <c r="H15" s="66"/>
      <c r="I15" s="66"/>
      <c r="J15" s="79"/>
      <c r="K15" s="79"/>
      <c r="L15" s="40"/>
      <c r="M15" s="40"/>
      <c r="N15" s="79"/>
      <c r="O15" s="79"/>
      <c r="P15" s="40"/>
      <c r="Q15" s="40" t="s">
        <v>19</v>
      </c>
      <c r="R15" s="79"/>
      <c r="S15" s="66"/>
      <c r="T15" s="79"/>
    </row>
    <row r="16" spans="2:20" ht="60" customHeight="1" x14ac:dyDescent="0.35">
      <c r="B16" s="38" t="s">
        <v>627</v>
      </c>
      <c r="C16" s="77"/>
      <c r="D16" s="78"/>
      <c r="E16" s="78" t="s">
        <v>19</v>
      </c>
      <c r="F16" s="78" t="str">
        <f>IF(E16&lt;&gt;"", IFERROR(VLOOKUP(E16, Dashboard!$B29:$F34, 5, FALSE), ""), "")</f>
        <v/>
      </c>
      <c r="G16" s="79"/>
      <c r="H16" s="66"/>
      <c r="I16" s="66"/>
      <c r="J16" s="79"/>
      <c r="K16" s="79"/>
      <c r="L16" s="40"/>
      <c r="M16" s="40"/>
      <c r="N16" s="79"/>
      <c r="O16" s="79"/>
      <c r="P16" s="40"/>
      <c r="Q16" s="40" t="s">
        <v>19</v>
      </c>
      <c r="R16" s="79"/>
      <c r="S16" s="66"/>
      <c r="T16" s="79"/>
    </row>
    <row r="17" spans="2:20" ht="60" customHeight="1" x14ac:dyDescent="0.35">
      <c r="B17" s="38" t="s">
        <v>628</v>
      </c>
      <c r="C17" s="77"/>
      <c r="D17" s="78"/>
      <c r="E17" s="78" t="s">
        <v>19</v>
      </c>
      <c r="F17" s="78" t="str">
        <f>IF(E17&lt;&gt;"", IFERROR(VLOOKUP(E17, Dashboard!$B29:$F34, 5, FALSE), ""), "")</f>
        <v/>
      </c>
      <c r="G17" s="79"/>
      <c r="H17" s="66"/>
      <c r="I17" s="66"/>
      <c r="J17" s="79"/>
      <c r="K17" s="79"/>
      <c r="L17" s="40"/>
      <c r="M17" s="40"/>
      <c r="N17" s="79"/>
      <c r="O17" s="79"/>
      <c r="P17" s="40"/>
      <c r="Q17" s="40" t="s">
        <v>19</v>
      </c>
      <c r="R17" s="79"/>
      <c r="S17" s="66"/>
      <c r="T17" s="79"/>
    </row>
    <row r="18" spans="2:20" ht="60" customHeight="1" x14ac:dyDescent="0.35">
      <c r="B18" s="38" t="s">
        <v>629</v>
      </c>
      <c r="C18" s="77"/>
      <c r="D18" s="78"/>
      <c r="E18" s="78" t="s">
        <v>19</v>
      </c>
      <c r="F18" s="78" t="str">
        <f>IF(E18&lt;&gt;"", IFERROR(VLOOKUP(E18, Dashboard!$B29:$F34, 5, FALSE), ""), "")</f>
        <v/>
      </c>
      <c r="G18" s="79"/>
      <c r="H18" s="66"/>
      <c r="I18" s="66"/>
      <c r="J18" s="79"/>
      <c r="K18" s="79"/>
      <c r="L18" s="40"/>
      <c r="M18" s="40"/>
      <c r="N18" s="79"/>
      <c r="O18" s="79"/>
      <c r="P18" s="40"/>
      <c r="Q18" s="40" t="s">
        <v>19</v>
      </c>
      <c r="R18" s="79"/>
      <c r="S18" s="66"/>
      <c r="T18" s="79"/>
    </row>
    <row r="19" spans="2:20" ht="60" customHeight="1" x14ac:dyDescent="0.35">
      <c r="B19" s="38" t="s">
        <v>630</v>
      </c>
      <c r="C19" s="77"/>
      <c r="D19" s="78"/>
      <c r="E19" s="78" t="s">
        <v>19</v>
      </c>
      <c r="F19" s="78" t="str">
        <f>IF(E19&lt;&gt;"", IFERROR(VLOOKUP(E19, Dashboard!$B29:$F34, 5, FALSE), ""), "")</f>
        <v/>
      </c>
      <c r="G19" s="79"/>
      <c r="H19" s="66"/>
      <c r="I19" s="66"/>
      <c r="J19" s="79"/>
      <c r="K19" s="79"/>
      <c r="L19" s="40"/>
      <c r="M19" s="40"/>
      <c r="N19" s="79"/>
      <c r="O19" s="79"/>
      <c r="P19" s="40"/>
      <c r="Q19" s="40" t="s">
        <v>19</v>
      </c>
      <c r="R19" s="79"/>
      <c r="S19" s="66"/>
      <c r="T19" s="79"/>
    </row>
    <row r="20" spans="2:20" ht="60" customHeight="1" x14ac:dyDescent="0.35">
      <c r="B20" s="38" t="s">
        <v>631</v>
      </c>
      <c r="C20" s="77"/>
      <c r="D20" s="78"/>
      <c r="E20" s="78" t="s">
        <v>19</v>
      </c>
      <c r="F20" s="78" t="str">
        <f>IF(E20&lt;&gt;"", IFERROR(VLOOKUP(E20, Dashboard!$B29:$F34, 5, FALSE), ""), "")</f>
        <v/>
      </c>
      <c r="G20" s="79"/>
      <c r="H20" s="66"/>
      <c r="I20" s="66"/>
      <c r="J20" s="79"/>
      <c r="K20" s="79"/>
      <c r="L20" s="40"/>
      <c r="M20" s="40"/>
      <c r="N20" s="79"/>
      <c r="O20" s="79"/>
      <c r="P20" s="40"/>
      <c r="Q20" s="40" t="s">
        <v>19</v>
      </c>
      <c r="R20" s="79"/>
      <c r="S20" s="66"/>
      <c r="T20" s="79"/>
    </row>
    <row r="21" spans="2:20" ht="60" customHeight="1" x14ac:dyDescent="0.35">
      <c r="B21" s="38" t="s">
        <v>632</v>
      </c>
      <c r="C21" s="77"/>
      <c r="D21" s="78"/>
      <c r="E21" s="78" t="s">
        <v>19</v>
      </c>
      <c r="F21" s="78" t="str">
        <f>IF(E21&lt;&gt;"", IFERROR(VLOOKUP(E21, Dashboard!$B29:$F34, 5, FALSE), ""), "")</f>
        <v/>
      </c>
      <c r="G21" s="79"/>
      <c r="H21" s="66"/>
      <c r="I21" s="66"/>
      <c r="J21" s="79"/>
      <c r="K21" s="79"/>
      <c r="L21" s="40"/>
      <c r="M21" s="40"/>
      <c r="N21" s="79"/>
      <c r="O21" s="79"/>
      <c r="P21" s="40"/>
      <c r="Q21" s="40" t="s">
        <v>19</v>
      </c>
      <c r="R21" s="79"/>
      <c r="S21" s="66"/>
      <c r="T21" s="79"/>
    </row>
    <row r="22" spans="2:20" ht="60" customHeight="1" x14ac:dyDescent="0.35">
      <c r="B22" s="38" t="s">
        <v>633</v>
      </c>
      <c r="C22" s="77"/>
      <c r="D22" s="78"/>
      <c r="E22" s="78" t="s">
        <v>19</v>
      </c>
      <c r="F22" s="78" t="str">
        <f>IF(E22&lt;&gt;"", IFERROR(VLOOKUP(E22, Dashboard!$B29:$F34, 5, FALSE), ""), "")</f>
        <v/>
      </c>
      <c r="G22" s="79"/>
      <c r="H22" s="66"/>
      <c r="I22" s="66"/>
      <c r="J22" s="79"/>
      <c r="K22" s="79"/>
      <c r="L22" s="40"/>
      <c r="M22" s="40"/>
      <c r="N22" s="79"/>
      <c r="O22" s="79"/>
      <c r="P22" s="40"/>
      <c r="Q22" s="40" t="s">
        <v>19</v>
      </c>
      <c r="R22" s="79"/>
      <c r="S22" s="66"/>
      <c r="T22" s="79"/>
    </row>
    <row r="23" spans="2:20" ht="60" customHeight="1" x14ac:dyDescent="0.35">
      <c r="B23" s="38" t="s">
        <v>634</v>
      </c>
      <c r="C23" s="77"/>
      <c r="D23" s="78"/>
      <c r="E23" s="78" t="s">
        <v>19</v>
      </c>
      <c r="F23" s="78" t="str">
        <f>IF(E23&lt;&gt;"", IFERROR(VLOOKUP(E23, Dashboard!$B29:$F34, 5, FALSE), ""), "")</f>
        <v/>
      </c>
      <c r="G23" s="79"/>
      <c r="H23" s="66"/>
      <c r="I23" s="66"/>
      <c r="J23" s="79"/>
      <c r="K23" s="79"/>
      <c r="L23" s="40"/>
      <c r="M23" s="40"/>
      <c r="N23" s="79"/>
      <c r="O23" s="79"/>
      <c r="P23" s="40"/>
      <c r="Q23" s="40" t="s">
        <v>19</v>
      </c>
      <c r="R23" s="79"/>
      <c r="S23" s="66"/>
      <c r="T23" s="79"/>
    </row>
    <row r="24" spans="2:20" ht="60" customHeight="1" x14ac:dyDescent="0.35">
      <c r="B24" s="38" t="s">
        <v>635</v>
      </c>
      <c r="C24" s="77"/>
      <c r="D24" s="78"/>
      <c r="E24" s="78" t="s">
        <v>19</v>
      </c>
      <c r="F24" s="78" t="str">
        <f>IF(E24&lt;&gt;"", IFERROR(VLOOKUP(E24, Dashboard!$B29:$F34, 5, FALSE), ""), "")</f>
        <v/>
      </c>
      <c r="G24" s="79"/>
      <c r="H24" s="66"/>
      <c r="I24" s="66"/>
      <c r="J24" s="79"/>
      <c r="K24" s="79"/>
      <c r="L24" s="40"/>
      <c r="M24" s="40"/>
      <c r="N24" s="79"/>
      <c r="O24" s="79"/>
      <c r="P24" s="40"/>
      <c r="Q24" s="40" t="s">
        <v>19</v>
      </c>
      <c r="R24" s="79"/>
      <c r="S24" s="66"/>
      <c r="T24" s="79"/>
    </row>
    <row r="25" spans="2:20" ht="60" customHeight="1" x14ac:dyDescent="0.35">
      <c r="B25" s="38" t="s">
        <v>636</v>
      </c>
      <c r="C25" s="77"/>
      <c r="D25" s="78"/>
      <c r="E25" s="78" t="s">
        <v>19</v>
      </c>
      <c r="F25" s="78" t="str">
        <f>IF(E25&lt;&gt;"", IFERROR(VLOOKUP(E25, Dashboard!$B29:$F34, 5, FALSE), ""), "")</f>
        <v/>
      </c>
      <c r="G25" s="79"/>
      <c r="H25" s="66"/>
      <c r="I25" s="66"/>
      <c r="J25" s="79"/>
      <c r="K25" s="79"/>
      <c r="L25" s="40"/>
      <c r="M25" s="40"/>
      <c r="N25" s="79"/>
      <c r="O25" s="79"/>
      <c r="P25" s="40"/>
      <c r="Q25" s="40" t="s">
        <v>19</v>
      </c>
      <c r="R25" s="79"/>
      <c r="S25" s="66"/>
      <c r="T25" s="79"/>
    </row>
    <row r="26" spans="2:20" ht="60" customHeight="1" x14ac:dyDescent="0.35">
      <c r="B26" s="38" t="s">
        <v>637</v>
      </c>
      <c r="C26" s="77"/>
      <c r="D26" s="78"/>
      <c r="E26" s="78" t="s">
        <v>19</v>
      </c>
      <c r="F26" s="78" t="str">
        <f>IF(E26&lt;&gt;"", IFERROR(VLOOKUP(E26, Dashboard!$B29:$F34, 5, FALSE), ""), "")</f>
        <v/>
      </c>
      <c r="G26" s="79"/>
      <c r="H26" s="66"/>
      <c r="I26" s="66"/>
      <c r="J26" s="79"/>
      <c r="K26" s="79"/>
      <c r="L26" s="40"/>
      <c r="M26" s="40"/>
      <c r="N26" s="79"/>
      <c r="O26" s="79"/>
      <c r="P26" s="40"/>
      <c r="Q26" s="40" t="s">
        <v>19</v>
      </c>
      <c r="R26" s="79"/>
      <c r="S26" s="66"/>
      <c r="T26" s="79"/>
    </row>
    <row r="27" spans="2:20" ht="60" customHeight="1" x14ac:dyDescent="0.35">
      <c r="B27" s="38" t="s">
        <v>638</v>
      </c>
      <c r="C27" s="77"/>
      <c r="D27" s="78"/>
      <c r="E27" s="78" t="s">
        <v>19</v>
      </c>
      <c r="F27" s="78" t="str">
        <f>IF(E27&lt;&gt;"", IFERROR(VLOOKUP(E27, Dashboard!$B29:$F34, 5, FALSE), ""), "")</f>
        <v/>
      </c>
      <c r="G27" s="79"/>
      <c r="H27" s="66"/>
      <c r="I27" s="66"/>
      <c r="J27" s="79"/>
      <c r="K27" s="79"/>
      <c r="L27" s="40"/>
      <c r="M27" s="40"/>
      <c r="N27" s="79"/>
      <c r="O27" s="79"/>
      <c r="P27" s="40"/>
      <c r="Q27" s="40" t="s">
        <v>19</v>
      </c>
      <c r="R27" s="79"/>
      <c r="S27" s="66"/>
      <c r="T27" s="79"/>
    </row>
    <row r="28" spans="2:20" ht="60" customHeight="1" x14ac:dyDescent="0.35">
      <c r="B28" s="38" t="s">
        <v>639</v>
      </c>
      <c r="C28" s="77"/>
      <c r="D28" s="78"/>
      <c r="E28" s="78" t="s">
        <v>19</v>
      </c>
      <c r="F28" s="78" t="str">
        <f>IF(E28&lt;&gt;"", IFERROR(VLOOKUP(E28, Dashboard!$B29:$F34, 5, FALSE), ""), "")</f>
        <v/>
      </c>
      <c r="G28" s="79"/>
      <c r="H28" s="66"/>
      <c r="I28" s="66"/>
      <c r="J28" s="79"/>
      <c r="K28" s="79"/>
      <c r="L28" s="40"/>
      <c r="M28" s="40"/>
      <c r="N28" s="79"/>
      <c r="O28" s="79"/>
      <c r="P28" s="40"/>
      <c r="Q28" s="40" t="s">
        <v>19</v>
      </c>
      <c r="R28" s="79"/>
      <c r="S28" s="66"/>
      <c r="T28" s="79"/>
    </row>
    <row r="29" spans="2:20" ht="60" customHeight="1" x14ac:dyDescent="0.35">
      <c r="B29" s="38" t="s">
        <v>640</v>
      </c>
      <c r="C29" s="77"/>
      <c r="D29" s="78"/>
      <c r="E29" s="78" t="s">
        <v>19</v>
      </c>
      <c r="F29" s="78" t="str">
        <f>IF(E29&lt;&gt;"", IFERROR(VLOOKUP(E29, Dashboard!$B29:$F34, 5, FALSE), ""), "")</f>
        <v/>
      </c>
      <c r="G29" s="79"/>
      <c r="H29" s="66"/>
      <c r="I29" s="66"/>
      <c r="J29" s="79"/>
      <c r="K29" s="79"/>
      <c r="L29" s="40"/>
      <c r="M29" s="40"/>
      <c r="N29" s="79"/>
      <c r="O29" s="79"/>
      <c r="P29" s="40"/>
      <c r="Q29" s="40" t="s">
        <v>19</v>
      </c>
      <c r="R29" s="79"/>
      <c r="S29" s="66"/>
      <c r="T29" s="79"/>
    </row>
    <row r="30" spans="2:20" ht="60" customHeight="1" x14ac:dyDescent="0.35">
      <c r="B30" s="38" t="s">
        <v>641</v>
      </c>
      <c r="C30" s="77"/>
      <c r="D30" s="78"/>
      <c r="E30" s="78" t="s">
        <v>19</v>
      </c>
      <c r="F30" s="78" t="str">
        <f>IF(E30&lt;&gt;"", IFERROR(VLOOKUP(E30, Dashboard!$B29:$F34, 5, FALSE), ""), "")</f>
        <v/>
      </c>
      <c r="G30" s="79"/>
      <c r="H30" s="66"/>
      <c r="I30" s="66"/>
      <c r="J30" s="79"/>
      <c r="K30" s="79"/>
      <c r="L30" s="40"/>
      <c r="M30" s="40"/>
      <c r="N30" s="79"/>
      <c r="O30" s="79"/>
      <c r="P30" s="40"/>
      <c r="Q30" s="40" t="s">
        <v>19</v>
      </c>
      <c r="R30" s="79"/>
      <c r="S30" s="66"/>
      <c r="T30" s="79"/>
    </row>
    <row r="31" spans="2:20" ht="60" customHeight="1" x14ac:dyDescent="0.35">
      <c r="B31" s="38" t="s">
        <v>642</v>
      </c>
      <c r="C31" s="77"/>
      <c r="D31" s="78"/>
      <c r="E31" s="78" t="s">
        <v>19</v>
      </c>
      <c r="F31" s="78" t="str">
        <f>IF(E31&lt;&gt;"", IFERROR(VLOOKUP(E31, Dashboard!$B29:$F34, 5, FALSE), ""), "")</f>
        <v/>
      </c>
      <c r="G31" s="79"/>
      <c r="H31" s="66"/>
      <c r="I31" s="66"/>
      <c r="J31" s="79"/>
      <c r="K31" s="79"/>
      <c r="L31" s="40"/>
      <c r="M31" s="40"/>
      <c r="N31" s="79"/>
      <c r="O31" s="79"/>
      <c r="P31" s="40"/>
      <c r="Q31" s="40" t="s">
        <v>19</v>
      </c>
      <c r="R31" s="79"/>
      <c r="S31" s="66"/>
      <c r="T31" s="79"/>
    </row>
    <row r="32" spans="2:20" ht="60" customHeight="1" x14ac:dyDescent="0.35">
      <c r="B32" s="38" t="s">
        <v>643</v>
      </c>
      <c r="C32" s="77"/>
      <c r="D32" s="78"/>
      <c r="E32" s="78" t="s">
        <v>19</v>
      </c>
      <c r="F32" s="78" t="str">
        <f>IF(E32&lt;&gt;"", IFERROR(VLOOKUP(E32, Dashboard!$B29:$F34, 5, FALSE), ""), "")</f>
        <v/>
      </c>
      <c r="G32" s="79"/>
      <c r="H32" s="66"/>
      <c r="I32" s="66"/>
      <c r="J32" s="79"/>
      <c r="K32" s="79"/>
      <c r="L32" s="40"/>
      <c r="M32" s="40"/>
      <c r="N32" s="79"/>
      <c r="O32" s="79"/>
      <c r="P32" s="40"/>
      <c r="Q32" s="40" t="s">
        <v>19</v>
      </c>
      <c r="R32" s="79"/>
      <c r="S32" s="66"/>
      <c r="T32" s="79"/>
    </row>
    <row r="33" spans="2:20" ht="60" customHeight="1" x14ac:dyDescent="0.35">
      <c r="B33" s="38" t="s">
        <v>644</v>
      </c>
      <c r="C33" s="77"/>
      <c r="D33" s="78"/>
      <c r="E33" s="78" t="s">
        <v>19</v>
      </c>
      <c r="F33" s="78" t="str">
        <f>IF(E33&lt;&gt;"", IFERROR(VLOOKUP(E33, Dashboard!$B29:$F34, 5, FALSE), ""), "")</f>
        <v/>
      </c>
      <c r="G33" s="79"/>
      <c r="H33" s="66"/>
      <c r="I33" s="66"/>
      <c r="J33" s="79"/>
      <c r="K33" s="79"/>
      <c r="L33" s="40"/>
      <c r="M33" s="40"/>
      <c r="N33" s="79"/>
      <c r="O33" s="79"/>
      <c r="P33" s="40"/>
      <c r="Q33" s="40" t="s">
        <v>19</v>
      </c>
      <c r="R33" s="79"/>
      <c r="S33" s="66"/>
      <c r="T33" s="79"/>
    </row>
    <row r="34" spans="2:20" ht="60" customHeight="1" x14ac:dyDescent="0.35">
      <c r="B34" s="38" t="s">
        <v>645</v>
      </c>
      <c r="C34" s="77"/>
      <c r="D34" s="78"/>
      <c r="E34" s="78" t="s">
        <v>19</v>
      </c>
      <c r="F34" s="78" t="str">
        <f>IF(E34&lt;&gt;"", IFERROR(VLOOKUP(E34, Dashboard!$B29:$F34, 5, FALSE), ""), "")</f>
        <v/>
      </c>
      <c r="G34" s="79"/>
      <c r="H34" s="66"/>
      <c r="I34" s="66"/>
      <c r="J34" s="79"/>
      <c r="K34" s="79"/>
      <c r="L34" s="40"/>
      <c r="M34" s="40"/>
      <c r="N34" s="79"/>
      <c r="O34" s="79"/>
      <c r="P34" s="40"/>
      <c r="Q34" s="40" t="s">
        <v>19</v>
      </c>
      <c r="R34" s="79"/>
      <c r="S34" s="66"/>
      <c r="T34" s="79"/>
    </row>
    <row r="35" spans="2:20" ht="60" customHeight="1" x14ac:dyDescent="0.35">
      <c r="B35" s="38" t="s">
        <v>646</v>
      </c>
      <c r="C35" s="77"/>
      <c r="D35" s="78"/>
      <c r="E35" s="78" t="s">
        <v>19</v>
      </c>
      <c r="F35" s="78" t="str">
        <f>IF(E35&lt;&gt;"", IFERROR(VLOOKUP(E35, Dashboard!$B29:$F34, 5, FALSE), ""), "")</f>
        <v/>
      </c>
      <c r="G35" s="79"/>
      <c r="H35" s="66"/>
      <c r="I35" s="66"/>
      <c r="J35" s="79"/>
      <c r="K35" s="79"/>
      <c r="L35" s="40"/>
      <c r="M35" s="40"/>
      <c r="N35" s="79"/>
      <c r="O35" s="79"/>
      <c r="P35" s="40"/>
      <c r="Q35" s="40" t="s">
        <v>19</v>
      </c>
      <c r="R35" s="79"/>
      <c r="S35" s="66"/>
      <c r="T35" s="79"/>
    </row>
    <row r="36" spans="2:20" ht="60" customHeight="1" x14ac:dyDescent="0.35">
      <c r="B36" s="38" t="s">
        <v>647</v>
      </c>
      <c r="C36" s="77"/>
      <c r="D36" s="78"/>
      <c r="E36" s="78" t="s">
        <v>19</v>
      </c>
      <c r="F36" s="78" t="str">
        <f>IF(E36&lt;&gt;"", IFERROR(VLOOKUP(E36, Dashboard!$B29:$F34, 5, FALSE), ""), "")</f>
        <v/>
      </c>
      <c r="G36" s="79"/>
      <c r="H36" s="66"/>
      <c r="I36" s="66"/>
      <c r="J36" s="79"/>
      <c r="K36" s="79"/>
      <c r="L36" s="40"/>
      <c r="M36" s="40"/>
      <c r="N36" s="79"/>
      <c r="O36" s="79"/>
      <c r="P36" s="40"/>
      <c r="Q36" s="40" t="s">
        <v>19</v>
      </c>
      <c r="R36" s="79"/>
      <c r="S36" s="66"/>
      <c r="T36" s="79"/>
    </row>
    <row r="37" spans="2:20" ht="60" customHeight="1" x14ac:dyDescent="0.35">
      <c r="B37" s="38" t="s">
        <v>648</v>
      </c>
      <c r="C37" s="77"/>
      <c r="D37" s="78"/>
      <c r="E37" s="78" t="s">
        <v>19</v>
      </c>
      <c r="F37" s="78" t="str">
        <f>IF(E37&lt;&gt;"", IFERROR(VLOOKUP(E37, Dashboard!$B29:$F34, 5, FALSE), ""), "")</f>
        <v/>
      </c>
      <c r="G37" s="79"/>
      <c r="H37" s="66"/>
      <c r="I37" s="66"/>
      <c r="J37" s="79"/>
      <c r="K37" s="79"/>
      <c r="L37" s="40"/>
      <c r="M37" s="40"/>
      <c r="N37" s="79"/>
      <c r="O37" s="79"/>
      <c r="P37" s="40"/>
      <c r="Q37" s="40" t="s">
        <v>19</v>
      </c>
      <c r="R37" s="79"/>
      <c r="S37" s="66"/>
      <c r="T37" s="79"/>
    </row>
    <row r="38" spans="2:20" ht="60" customHeight="1" x14ac:dyDescent="0.35">
      <c r="B38" s="38" t="s">
        <v>649</v>
      </c>
      <c r="C38" s="77"/>
      <c r="D38" s="78"/>
      <c r="E38" s="78" t="s">
        <v>19</v>
      </c>
      <c r="F38" s="78" t="str">
        <f>IF(E38&lt;&gt;"", IFERROR(VLOOKUP(E38, Dashboard!$B29:$F34, 5, FALSE), ""), "")</f>
        <v/>
      </c>
      <c r="G38" s="79"/>
      <c r="H38" s="66"/>
      <c r="I38" s="66"/>
      <c r="J38" s="79"/>
      <c r="K38" s="79"/>
      <c r="L38" s="40"/>
      <c r="M38" s="40"/>
      <c r="N38" s="79"/>
      <c r="O38" s="79"/>
      <c r="P38" s="40"/>
      <c r="Q38" s="40" t="s">
        <v>19</v>
      </c>
      <c r="R38" s="79"/>
      <c r="S38" s="66"/>
      <c r="T38" s="79"/>
    </row>
    <row r="39" spans="2:20" ht="60" customHeight="1" x14ac:dyDescent="0.35">
      <c r="B39" s="38" t="s">
        <v>650</v>
      </c>
      <c r="C39" s="77"/>
      <c r="D39" s="78"/>
      <c r="E39" s="78" t="s">
        <v>19</v>
      </c>
      <c r="F39" s="78" t="str">
        <f>IF(E39&lt;&gt;"", IFERROR(VLOOKUP(E39, Dashboard!$B29:$F34, 5, FALSE), ""), "")</f>
        <v/>
      </c>
      <c r="G39" s="79"/>
      <c r="H39" s="66"/>
      <c r="I39" s="66"/>
      <c r="J39" s="79"/>
      <c r="K39" s="79"/>
      <c r="L39" s="40"/>
      <c r="M39" s="40"/>
      <c r="N39" s="79"/>
      <c r="O39" s="79"/>
      <c r="P39" s="40"/>
      <c r="Q39" s="40" t="s">
        <v>19</v>
      </c>
      <c r="R39" s="79"/>
      <c r="S39" s="66"/>
      <c r="T39" s="79"/>
    </row>
    <row r="40" spans="2:20" ht="60" customHeight="1" x14ac:dyDescent="0.35">
      <c r="B40" s="38" t="s">
        <v>651</v>
      </c>
      <c r="C40" s="77"/>
      <c r="D40" s="78"/>
      <c r="E40" s="78" t="s">
        <v>19</v>
      </c>
      <c r="F40" s="78" t="str">
        <f>IF(E40&lt;&gt;"", IFERROR(VLOOKUP(E40, Dashboard!$B29:$F34, 5, FALSE), ""), "")</f>
        <v/>
      </c>
      <c r="G40" s="79"/>
      <c r="H40" s="66"/>
      <c r="I40" s="66"/>
      <c r="J40" s="79"/>
      <c r="K40" s="79"/>
      <c r="L40" s="40"/>
      <c r="M40" s="40"/>
      <c r="N40" s="79"/>
      <c r="O40" s="79"/>
      <c r="P40" s="40"/>
      <c r="Q40" s="40" t="s">
        <v>19</v>
      </c>
      <c r="R40" s="79"/>
      <c r="S40" s="66"/>
      <c r="T40" s="79"/>
    </row>
    <row r="41" spans="2:20" ht="60" customHeight="1" x14ac:dyDescent="0.35">
      <c r="B41" s="38" t="s">
        <v>652</v>
      </c>
      <c r="C41" s="77"/>
      <c r="D41" s="78"/>
      <c r="E41" s="78" t="s">
        <v>19</v>
      </c>
      <c r="F41" s="78" t="str">
        <f>IF(E41&lt;&gt;"", IFERROR(VLOOKUP(E41, Dashboard!$B29:$F34, 5, FALSE), ""), "")</f>
        <v/>
      </c>
      <c r="G41" s="79"/>
      <c r="H41" s="66"/>
      <c r="I41" s="66"/>
      <c r="J41" s="79"/>
      <c r="K41" s="79"/>
      <c r="L41" s="40"/>
      <c r="M41" s="40"/>
      <c r="N41" s="79"/>
      <c r="O41" s="79"/>
      <c r="P41" s="40"/>
      <c r="Q41" s="40" t="s">
        <v>19</v>
      </c>
      <c r="R41" s="79"/>
      <c r="S41" s="66"/>
      <c r="T41" s="79"/>
    </row>
    <row r="42" spans="2:20" ht="60" customHeight="1" x14ac:dyDescent="0.35">
      <c r="B42" s="38" t="s">
        <v>653</v>
      </c>
      <c r="C42" s="77"/>
      <c r="D42" s="78"/>
      <c r="E42" s="78" t="s">
        <v>19</v>
      </c>
      <c r="F42" s="78" t="str">
        <f>IF(E42&lt;&gt;"", IFERROR(VLOOKUP(E42, Dashboard!$B29:$F34, 5, FALSE), ""), "")</f>
        <v/>
      </c>
      <c r="G42" s="79"/>
      <c r="H42" s="66"/>
      <c r="I42" s="66"/>
      <c r="J42" s="79"/>
      <c r="K42" s="79"/>
      <c r="L42" s="40"/>
      <c r="M42" s="40"/>
      <c r="N42" s="79"/>
      <c r="O42" s="79"/>
      <c r="P42" s="40"/>
      <c r="Q42" s="40" t="s">
        <v>19</v>
      </c>
      <c r="R42" s="79"/>
      <c r="S42" s="66"/>
      <c r="T42" s="79"/>
    </row>
    <row r="43" spans="2:20" ht="60" customHeight="1" x14ac:dyDescent="0.35">
      <c r="B43" s="38" t="s">
        <v>654</v>
      </c>
      <c r="C43" s="77"/>
      <c r="D43" s="78"/>
      <c r="E43" s="78" t="s">
        <v>19</v>
      </c>
      <c r="F43" s="78" t="str">
        <f>IF(E43&lt;&gt;"", IFERROR(VLOOKUP(E43, Dashboard!$B29:$F34, 5, FALSE), ""), "")</f>
        <v/>
      </c>
      <c r="G43" s="79"/>
      <c r="H43" s="66"/>
      <c r="I43" s="66"/>
      <c r="J43" s="79"/>
      <c r="K43" s="79"/>
      <c r="L43" s="40"/>
      <c r="M43" s="40"/>
      <c r="N43" s="79"/>
      <c r="O43" s="79"/>
      <c r="P43" s="40"/>
      <c r="Q43" s="40" t="s">
        <v>19</v>
      </c>
      <c r="R43" s="79"/>
      <c r="S43" s="66"/>
      <c r="T43" s="79"/>
    </row>
    <row r="44" spans="2:20" ht="60" customHeight="1" x14ac:dyDescent="0.35">
      <c r="B44" s="38" t="s">
        <v>655</v>
      </c>
      <c r="C44" s="77"/>
      <c r="D44" s="78"/>
      <c r="E44" s="78" t="s">
        <v>19</v>
      </c>
      <c r="F44" s="78" t="str">
        <f>IF(E44&lt;&gt;"", IFERROR(VLOOKUP(E44, Dashboard!$B29:$F34, 5, FALSE), ""), "")</f>
        <v/>
      </c>
      <c r="G44" s="79"/>
      <c r="H44" s="66"/>
      <c r="I44" s="66"/>
      <c r="J44" s="79"/>
      <c r="K44" s="79"/>
      <c r="L44" s="40"/>
      <c r="M44" s="40"/>
      <c r="N44" s="79"/>
      <c r="O44" s="79"/>
      <c r="P44" s="40"/>
      <c r="Q44" s="40" t="s">
        <v>19</v>
      </c>
      <c r="R44" s="79"/>
      <c r="S44" s="66"/>
      <c r="T44" s="79"/>
    </row>
    <row r="45" spans="2:20" ht="60" customHeight="1" x14ac:dyDescent="0.35">
      <c r="B45" s="38" t="s">
        <v>656</v>
      </c>
      <c r="C45" s="77"/>
      <c r="D45" s="78"/>
      <c r="E45" s="78" t="s">
        <v>19</v>
      </c>
      <c r="F45" s="78" t="str">
        <f>IF(E45&lt;&gt;"", IFERROR(VLOOKUP(E45, Dashboard!$B29:$F34, 5, FALSE), ""), "")</f>
        <v/>
      </c>
      <c r="G45" s="79"/>
      <c r="H45" s="66"/>
      <c r="I45" s="66"/>
      <c r="J45" s="79"/>
      <c r="K45" s="79"/>
      <c r="L45" s="40"/>
      <c r="M45" s="40"/>
      <c r="N45" s="79"/>
      <c r="O45" s="79"/>
      <c r="P45" s="40"/>
      <c r="Q45" s="40" t="s">
        <v>19</v>
      </c>
      <c r="R45" s="79"/>
      <c r="S45" s="66"/>
      <c r="T45" s="79"/>
    </row>
    <row r="46" spans="2:20" ht="60" customHeight="1" x14ac:dyDescent="0.35">
      <c r="B46" s="38" t="s">
        <v>657</v>
      </c>
      <c r="C46" s="77"/>
      <c r="D46" s="78"/>
      <c r="E46" s="78" t="s">
        <v>19</v>
      </c>
      <c r="F46" s="78" t="str">
        <f>IF(E46&lt;&gt;"", IFERROR(VLOOKUP(E46, Dashboard!$B29:$F34, 5, FALSE), ""), "")</f>
        <v/>
      </c>
      <c r="G46" s="79"/>
      <c r="H46" s="66"/>
      <c r="I46" s="66"/>
      <c r="J46" s="79"/>
      <c r="K46" s="79"/>
      <c r="L46" s="40"/>
      <c r="M46" s="40"/>
      <c r="N46" s="79"/>
      <c r="O46" s="79"/>
      <c r="P46" s="40"/>
      <c r="Q46" s="40" t="s">
        <v>19</v>
      </c>
      <c r="R46" s="79"/>
      <c r="S46" s="66"/>
      <c r="T46" s="79"/>
    </row>
    <row r="47" spans="2:20" ht="60" customHeight="1" x14ac:dyDescent="0.35">
      <c r="B47" s="38" t="s">
        <v>658</v>
      </c>
      <c r="C47" s="77"/>
      <c r="D47" s="78"/>
      <c r="E47" s="78" t="s">
        <v>19</v>
      </c>
      <c r="F47" s="78" t="str">
        <f>IF(E47&lt;&gt;"", IFERROR(VLOOKUP(E47, Dashboard!$B29:$F34, 5, FALSE), ""), "")</f>
        <v/>
      </c>
      <c r="G47" s="79"/>
      <c r="H47" s="66"/>
      <c r="I47" s="66"/>
      <c r="J47" s="79"/>
      <c r="K47" s="79"/>
      <c r="L47" s="40"/>
      <c r="M47" s="40"/>
      <c r="N47" s="79"/>
      <c r="O47" s="79"/>
      <c r="P47" s="40"/>
      <c r="Q47" s="40" t="s">
        <v>19</v>
      </c>
      <c r="R47" s="79"/>
      <c r="S47" s="66"/>
      <c r="T47" s="79"/>
    </row>
    <row r="48" spans="2:20" ht="60" customHeight="1" x14ac:dyDescent="0.35">
      <c r="B48" s="38" t="s">
        <v>659</v>
      </c>
      <c r="C48" s="77"/>
      <c r="D48" s="78"/>
      <c r="E48" s="78" t="s">
        <v>19</v>
      </c>
      <c r="F48" s="78" t="str">
        <f>IF(E48&lt;&gt;"", IFERROR(VLOOKUP(E48, Dashboard!$B29:$F34, 5, FALSE), ""), "")</f>
        <v/>
      </c>
      <c r="G48" s="79"/>
      <c r="H48" s="66"/>
      <c r="I48" s="66"/>
      <c r="J48" s="79"/>
      <c r="K48" s="79"/>
      <c r="L48" s="40"/>
      <c r="M48" s="40"/>
      <c r="N48" s="79"/>
      <c r="O48" s="79"/>
      <c r="P48" s="40"/>
      <c r="Q48" s="40" t="s">
        <v>19</v>
      </c>
      <c r="R48" s="79"/>
      <c r="S48" s="66"/>
      <c r="T48" s="79"/>
    </row>
    <row r="49" spans="2:20" ht="60" customHeight="1" x14ac:dyDescent="0.35">
      <c r="B49" s="38" t="s">
        <v>660</v>
      </c>
      <c r="C49" s="77"/>
      <c r="D49" s="78"/>
      <c r="E49" s="78" t="s">
        <v>19</v>
      </c>
      <c r="F49" s="78" t="str">
        <f>IF(E49&lt;&gt;"", IFERROR(VLOOKUP(E49, Dashboard!$B29:$F34, 5, FALSE), ""), "")</f>
        <v/>
      </c>
      <c r="G49" s="79"/>
      <c r="H49" s="66"/>
      <c r="I49" s="66"/>
      <c r="J49" s="79"/>
      <c r="K49" s="79"/>
      <c r="L49" s="40"/>
      <c r="M49" s="40"/>
      <c r="N49" s="79"/>
      <c r="O49" s="79"/>
      <c r="P49" s="40"/>
      <c r="Q49" s="40" t="s">
        <v>19</v>
      </c>
      <c r="R49" s="79"/>
      <c r="S49" s="66"/>
      <c r="T49" s="79"/>
    </row>
    <row r="50" spans="2:20" ht="60" customHeight="1" x14ac:dyDescent="0.35">
      <c r="B50" s="38" t="s">
        <v>661</v>
      </c>
      <c r="C50" s="77"/>
      <c r="D50" s="78"/>
      <c r="E50" s="78" t="s">
        <v>19</v>
      </c>
      <c r="F50" s="78" t="str">
        <f>IF(E50&lt;&gt;"", IFERROR(VLOOKUP(E50, Dashboard!$B29:$F34, 5, FALSE), ""), "")</f>
        <v/>
      </c>
      <c r="G50" s="79"/>
      <c r="H50" s="66"/>
      <c r="I50" s="66"/>
      <c r="J50" s="79"/>
      <c r="K50" s="79"/>
      <c r="L50" s="40"/>
      <c r="M50" s="40"/>
      <c r="N50" s="79"/>
      <c r="O50" s="79"/>
      <c r="P50" s="40"/>
      <c r="Q50" s="40" t="s">
        <v>19</v>
      </c>
      <c r="R50" s="79"/>
      <c r="S50" s="66"/>
      <c r="T50" s="79"/>
    </row>
    <row r="51" spans="2:20" ht="60" customHeight="1" x14ac:dyDescent="0.35">
      <c r="B51" s="38" t="s">
        <v>662</v>
      </c>
      <c r="C51" s="77"/>
      <c r="D51" s="78"/>
      <c r="E51" s="78" t="s">
        <v>19</v>
      </c>
      <c r="F51" s="78" t="str">
        <f>IF(E51&lt;&gt;"", IFERROR(VLOOKUP(E51, Dashboard!$B29:$F34, 5, FALSE), ""), "")</f>
        <v/>
      </c>
      <c r="G51" s="79"/>
      <c r="H51" s="66"/>
      <c r="I51" s="66"/>
      <c r="J51" s="79"/>
      <c r="K51" s="79"/>
      <c r="L51" s="40"/>
      <c r="M51" s="40"/>
      <c r="N51" s="79"/>
      <c r="O51" s="79"/>
      <c r="P51" s="40"/>
      <c r="Q51" s="40" t="s">
        <v>19</v>
      </c>
      <c r="R51" s="79"/>
      <c r="S51" s="66"/>
      <c r="T51" s="79"/>
    </row>
    <row r="52" spans="2:20" ht="60" customHeight="1" x14ac:dyDescent="0.35">
      <c r="B52" s="38" t="s">
        <v>663</v>
      </c>
      <c r="C52" s="77"/>
      <c r="D52" s="78"/>
      <c r="E52" s="78" t="s">
        <v>19</v>
      </c>
      <c r="F52" s="78" t="str">
        <f>IF(E52&lt;&gt;"", IFERROR(VLOOKUP(E52, Dashboard!$B29:$F34, 5, FALSE), ""), "")</f>
        <v/>
      </c>
      <c r="G52" s="79"/>
      <c r="H52" s="66"/>
      <c r="I52" s="66"/>
      <c r="J52" s="79"/>
      <c r="K52" s="79"/>
      <c r="L52" s="40"/>
      <c r="M52" s="40"/>
      <c r="N52" s="79"/>
      <c r="O52" s="79"/>
      <c r="P52" s="40"/>
      <c r="Q52" s="40" t="s">
        <v>19</v>
      </c>
      <c r="R52" s="79"/>
      <c r="S52" s="66"/>
      <c r="T52" s="79"/>
    </row>
    <row r="53" spans="2:20" ht="60" customHeight="1" x14ac:dyDescent="0.35">
      <c r="B53" s="38" t="s">
        <v>664</v>
      </c>
      <c r="C53" s="77"/>
      <c r="D53" s="78"/>
      <c r="E53" s="78" t="s">
        <v>19</v>
      </c>
      <c r="F53" s="78" t="str">
        <f>IF(E53&lt;&gt;"", IFERROR(VLOOKUP(E53, Dashboard!$B29:$F34, 5, FALSE), ""), "")</f>
        <v/>
      </c>
      <c r="G53" s="79"/>
      <c r="H53" s="66"/>
      <c r="I53" s="66"/>
      <c r="J53" s="79"/>
      <c r="K53" s="79"/>
      <c r="L53" s="40"/>
      <c r="M53" s="40"/>
      <c r="N53" s="79"/>
      <c r="O53" s="79"/>
      <c r="P53" s="40"/>
      <c r="Q53" s="40" t="s">
        <v>19</v>
      </c>
      <c r="R53" s="79"/>
      <c r="S53" s="66"/>
      <c r="T53" s="79"/>
    </row>
    <row r="54" spans="2:20" ht="60" customHeight="1" x14ac:dyDescent="0.35">
      <c r="B54" s="38" t="s">
        <v>665</v>
      </c>
      <c r="C54" s="77"/>
      <c r="D54" s="78"/>
      <c r="E54" s="78" t="s">
        <v>19</v>
      </c>
      <c r="F54" s="78" t="str">
        <f>IF(E54&lt;&gt;"", IFERROR(VLOOKUP(E54, Dashboard!$B29:$F34, 5, FALSE), ""), "")</f>
        <v/>
      </c>
      <c r="G54" s="79"/>
      <c r="H54" s="66"/>
      <c r="I54" s="66"/>
      <c r="J54" s="79"/>
      <c r="K54" s="79"/>
      <c r="L54" s="40"/>
      <c r="M54" s="40"/>
      <c r="N54" s="79"/>
      <c r="O54" s="79"/>
      <c r="P54" s="40"/>
      <c r="Q54" s="40" t="s">
        <v>19</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65" t="s">
        <v>430</v>
      </c>
      <c r="C58" s="265"/>
      <c r="D58" s="265"/>
      <c r="E58" s="265"/>
      <c r="F58" s="265"/>
      <c r="G58" s="265"/>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1" priority="8">
      <formula>AND(OR($Q5="In Progress",$Q5="Testing"),ISBLANK($H5))</formula>
    </cfRule>
  </conditionalFormatting>
  <conditionalFormatting sqref="I5:I1000">
    <cfRule type="expression" dxfId="50" priority="10">
      <formula>AND(NOT(ISBLANK($I5)),$I5&lt;TODAY(),NOT(OR($Q5="Completed",$Q5="Cancelled")))</formula>
    </cfRule>
  </conditionalFormatting>
  <conditionalFormatting sqref="P5:P1000">
    <cfRule type="expression" dxfId="49" priority="9">
      <formula>AND($L5="Prod",ISBLANK($P5))</formula>
    </cfRule>
  </conditionalFormatting>
  <conditionalFormatting sqref="Q5:Q1000">
    <cfRule type="containsText" dxfId="48" priority="1" operator="containsText" text="Planning">
      <formula>NOT(ISERROR(SEARCH("Planning",Q5)))</formula>
    </cfRule>
    <cfRule type="containsText" dxfId="47" priority="2" operator="containsText" text="In Progress">
      <formula>NOT(ISERROR(SEARCH("In Progress",Q5)))</formula>
    </cfRule>
    <cfRule type="containsText" dxfId="46" priority="3" operator="containsText" text="Testing">
      <formula>NOT(ISERROR(SEARCH("Testing",Q5)))</formula>
    </cfRule>
    <cfRule type="containsText" dxfId="45" priority="4" operator="containsText" text="Completed">
      <formula>NOT(ISERROR(SEARCH("Completed",Q5)))</formula>
    </cfRule>
    <cfRule type="containsText" dxfId="44" priority="5" operator="containsText" text="On Hold">
      <formula>NOT(ISERROR(SEARCH("On Hold",Q5)))</formula>
    </cfRule>
    <cfRule type="containsText" dxfId="43" priority="6" operator="containsText" text="Cancelled">
      <formula>NOT(ISERROR(SEARCH("Cancelled",Q5)))</formula>
    </cfRule>
  </conditionalFormatting>
  <conditionalFormatting sqref="S5:S1000">
    <cfRule type="expression" dxfId="42"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666</v>
      </c>
      <c r="B1" s="104" t="s">
        <v>0</v>
      </c>
      <c r="C1" s="104" t="s">
        <v>667</v>
      </c>
      <c r="D1" s="104" t="s">
        <v>9</v>
      </c>
      <c r="E1" s="104" t="s">
        <v>668</v>
      </c>
      <c r="F1" s="104" t="s">
        <v>669</v>
      </c>
      <c r="G1" s="104" t="s">
        <v>670</v>
      </c>
      <c r="H1" s="104" t="s">
        <v>671</v>
      </c>
      <c r="I1" s="104" t="s">
        <v>672</v>
      </c>
      <c r="J1" s="104" t="s">
        <v>673</v>
      </c>
      <c r="K1" s="104" t="s">
        <v>674</v>
      </c>
      <c r="L1" s="104" t="s">
        <v>675</v>
      </c>
      <c r="M1" s="104" t="s">
        <v>676</v>
      </c>
      <c r="N1" s="104" t="s">
        <v>677</v>
      </c>
      <c r="O1" s="104" t="s">
        <v>678</v>
      </c>
      <c r="P1" s="104" t="s">
        <v>679</v>
      </c>
      <c r="Q1" s="104" t="s">
        <v>680</v>
      </c>
      <c r="R1" s="104" t="s">
        <v>681</v>
      </c>
      <c r="S1" s="104" t="s">
        <v>682</v>
      </c>
      <c r="T1" s="104" t="s">
        <v>683</v>
      </c>
      <c r="U1" s="104" t="s">
        <v>684</v>
      </c>
      <c r="V1" s="104" t="s">
        <v>685</v>
      </c>
      <c r="W1" s="104" t="s">
        <v>686</v>
      </c>
      <c r="X1" s="104" t="s">
        <v>687</v>
      </c>
      <c r="Y1" s="104" t="s">
        <v>688</v>
      </c>
      <c r="Z1" s="104" t="s">
        <v>689</v>
      </c>
      <c r="AA1" s="104" t="s">
        <v>690</v>
      </c>
      <c r="AB1" s="104" t="s">
        <v>691</v>
      </c>
      <c r="AC1" s="104" t="s">
        <v>692</v>
      </c>
      <c r="AD1" s="104" t="s">
        <v>693</v>
      </c>
      <c r="AE1" s="104" t="s">
        <v>694</v>
      </c>
      <c r="AF1" s="104" t="s">
        <v>695</v>
      </c>
      <c r="AG1" s="104" t="s">
        <v>696</v>
      </c>
      <c r="AH1" s="104" t="s">
        <v>697</v>
      </c>
      <c r="AI1" s="104" t="s">
        <v>698</v>
      </c>
      <c r="AJ1" s="104" t="s">
        <v>699</v>
      </c>
      <c r="AK1" s="104" t="s">
        <v>700</v>
      </c>
      <c r="AL1" s="104" t="s">
        <v>701</v>
      </c>
      <c r="AM1" s="104" t="s">
        <v>702</v>
      </c>
      <c r="AN1" s="104" t="s">
        <v>703</v>
      </c>
      <c r="AO1" s="104" t="s">
        <v>704</v>
      </c>
      <c r="AP1" s="104" t="s">
        <v>705</v>
      </c>
      <c r="AQ1" s="104" t="s">
        <v>706</v>
      </c>
      <c r="AR1" s="104" t="s">
        <v>707</v>
      </c>
      <c r="AS1" s="104" t="s">
        <v>708</v>
      </c>
      <c r="AT1" s="104" t="s">
        <v>709</v>
      </c>
      <c r="AU1" s="104" t="s">
        <v>710</v>
      </c>
      <c r="AV1" s="104" t="s">
        <v>711</v>
      </c>
      <c r="AW1" s="105" t="s">
        <v>712</v>
      </c>
    </row>
    <row r="2" spans="1:49" ht="60" customHeight="1" outlineLevel="1" x14ac:dyDescent="0.35">
      <c r="A2" s="97" t="s">
        <v>713</v>
      </c>
      <c r="B2" s="80">
        <v>1</v>
      </c>
      <c r="C2" s="82" t="s">
        <v>19</v>
      </c>
      <c r="D2" s="84" t="s">
        <v>714</v>
      </c>
      <c r="E2" s="84" t="s">
        <v>19</v>
      </c>
      <c r="F2" s="80" t="s">
        <v>19</v>
      </c>
      <c r="G2" s="80" t="s">
        <v>19</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713</v>
      </c>
      <c r="B3" s="81" t="s">
        <v>715</v>
      </c>
      <c r="C3" s="83" t="s">
        <v>716</v>
      </c>
      <c r="D3" s="85" t="s">
        <v>717</v>
      </c>
      <c r="E3" s="85" t="s">
        <v>718</v>
      </c>
      <c r="F3" s="86" t="s">
        <v>719</v>
      </c>
      <c r="G3" s="86" t="s">
        <v>720</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713</v>
      </c>
      <c r="B4" s="81" t="s">
        <v>721</v>
      </c>
      <c r="C4" s="83" t="s">
        <v>722</v>
      </c>
      <c r="D4" s="85" t="s">
        <v>723</v>
      </c>
      <c r="E4" s="85" t="s">
        <v>724</v>
      </c>
      <c r="F4" s="86" t="s">
        <v>719</v>
      </c>
      <c r="G4" s="86" t="s">
        <v>725</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713</v>
      </c>
      <c r="B5" s="81" t="s">
        <v>726</v>
      </c>
      <c r="C5" s="83" t="s">
        <v>727</v>
      </c>
      <c r="D5" s="85" t="s">
        <v>728</v>
      </c>
      <c r="E5" s="85" t="s">
        <v>729</v>
      </c>
      <c r="F5" s="86" t="s">
        <v>719</v>
      </c>
      <c r="G5" s="86" t="s">
        <v>730</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713</v>
      </c>
      <c r="B6" s="81" t="s">
        <v>731</v>
      </c>
      <c r="C6" s="83" t="s">
        <v>732</v>
      </c>
      <c r="D6" s="85" t="s">
        <v>733</v>
      </c>
      <c r="E6" s="85" t="s">
        <v>734</v>
      </c>
      <c r="F6" s="86" t="s">
        <v>719</v>
      </c>
      <c r="G6" s="86" t="s">
        <v>720</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713</v>
      </c>
      <c r="B7" s="81" t="s">
        <v>735</v>
      </c>
      <c r="C7" s="83" t="s">
        <v>736</v>
      </c>
      <c r="D7" s="85" t="s">
        <v>737</v>
      </c>
      <c r="E7" s="85" t="s">
        <v>738</v>
      </c>
      <c r="F7" s="86" t="s">
        <v>719</v>
      </c>
      <c r="G7" s="86" t="s">
        <v>730</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739</v>
      </c>
      <c r="B8" s="80">
        <v>2</v>
      </c>
      <c r="C8" s="82" t="s">
        <v>19</v>
      </c>
      <c r="D8" s="84" t="s">
        <v>740</v>
      </c>
      <c r="E8" s="84" t="s">
        <v>19</v>
      </c>
      <c r="F8" s="80" t="s">
        <v>19</v>
      </c>
      <c r="G8" s="80" t="s">
        <v>19</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739</v>
      </c>
      <c r="B9" s="81" t="s">
        <v>741</v>
      </c>
      <c r="C9" s="83" t="s">
        <v>742</v>
      </c>
      <c r="D9" s="85" t="s">
        <v>743</v>
      </c>
      <c r="E9" s="85" t="s">
        <v>744</v>
      </c>
      <c r="F9" s="86" t="s">
        <v>745</v>
      </c>
      <c r="G9" s="86" t="s">
        <v>720</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739</v>
      </c>
      <c r="B10" s="81" t="s">
        <v>746</v>
      </c>
      <c r="C10" s="83" t="s">
        <v>747</v>
      </c>
      <c r="D10" s="85" t="s">
        <v>748</v>
      </c>
      <c r="E10" s="85" t="s">
        <v>749</v>
      </c>
      <c r="F10" s="86" t="s">
        <v>745</v>
      </c>
      <c r="G10" s="86" t="s">
        <v>720</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739</v>
      </c>
      <c r="B11" s="81" t="s">
        <v>750</v>
      </c>
      <c r="C11" s="83" t="s">
        <v>751</v>
      </c>
      <c r="D11" s="85" t="s">
        <v>752</v>
      </c>
      <c r="E11" s="85" t="s">
        <v>753</v>
      </c>
      <c r="F11" s="86" t="s">
        <v>745</v>
      </c>
      <c r="G11" s="86" t="s">
        <v>725</v>
      </c>
      <c r="H11" s="86">
        <v>1</v>
      </c>
      <c r="I11" s="88">
        <f>IF(COUNTIF(J11:AW11,"&lt;&gt;")=0,"",SUMPRODUCT(((Recommendations[ImplStatus]="Implemented")+(Recommendations[ImplStatus]="Compensated"))*ISNUMBER(MATCH(Recommendations[Id],J11:AW11,0)))/COUNTIF(J11:AW11,"&lt;&gt;"))</f>
        <v>0</v>
      </c>
      <c r="J11" s="90" t="s">
        <v>182</v>
      </c>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739</v>
      </c>
      <c r="B12" s="81" t="s">
        <v>754</v>
      </c>
      <c r="C12" s="83" t="s">
        <v>755</v>
      </c>
      <c r="D12" s="85" t="s">
        <v>756</v>
      </c>
      <c r="E12" s="85" t="s">
        <v>757</v>
      </c>
      <c r="F12" s="86" t="s">
        <v>745</v>
      </c>
      <c r="G12" s="86" t="s">
        <v>730</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739</v>
      </c>
      <c r="B13" s="81" t="s">
        <v>758</v>
      </c>
      <c r="C13" s="83" t="s">
        <v>759</v>
      </c>
      <c r="D13" s="85" t="s">
        <v>760</v>
      </c>
      <c r="E13" s="85" t="s">
        <v>761</v>
      </c>
      <c r="F13" s="86" t="s">
        <v>745</v>
      </c>
      <c r="G13" s="86" t="s">
        <v>762</v>
      </c>
      <c r="H13" s="86">
        <v>2</v>
      </c>
      <c r="I13" s="88">
        <f>IF(COUNTIF(J13:AW13,"&lt;&gt;")=0,"",SUMPRODUCT(((Recommendations[ImplStatus]="Implemented")+(Recommendations[ImplStatus]="Compensated"))*ISNUMBER(MATCH(Recommendations[Id],J13:AW13,0)))/COUNTIF(J13:AW13,"&lt;&gt;"))</f>
        <v>0</v>
      </c>
      <c r="J13" s="90" t="s">
        <v>177</v>
      </c>
      <c r="K13" s="90" t="s">
        <v>345</v>
      </c>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739</v>
      </c>
      <c r="B14" s="81" t="s">
        <v>763</v>
      </c>
      <c r="C14" s="83" t="s">
        <v>764</v>
      </c>
      <c r="D14" s="85" t="s">
        <v>765</v>
      </c>
      <c r="E14" s="85" t="s">
        <v>766</v>
      </c>
      <c r="F14" s="86" t="s">
        <v>745</v>
      </c>
      <c r="G14" s="86" t="s">
        <v>762</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739</v>
      </c>
      <c r="B15" s="81" t="s">
        <v>767</v>
      </c>
      <c r="C15" s="83" t="s">
        <v>768</v>
      </c>
      <c r="D15" s="85" t="s">
        <v>769</v>
      </c>
      <c r="E15" s="85" t="s">
        <v>770</v>
      </c>
      <c r="F15" s="86" t="s">
        <v>745</v>
      </c>
      <c r="G15" s="86" t="s">
        <v>762</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771</v>
      </c>
      <c r="B16" s="80">
        <v>3</v>
      </c>
      <c r="C16" s="82" t="s">
        <v>19</v>
      </c>
      <c r="D16" s="84" t="s">
        <v>772</v>
      </c>
      <c r="E16" s="84" t="s">
        <v>19</v>
      </c>
      <c r="F16" s="80" t="s">
        <v>19</v>
      </c>
      <c r="G16" s="80" t="s">
        <v>19</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771</v>
      </c>
      <c r="B17" s="81" t="s">
        <v>773</v>
      </c>
      <c r="C17" s="83" t="s">
        <v>774</v>
      </c>
      <c r="D17" s="85" t="s">
        <v>775</v>
      </c>
      <c r="E17" s="85" t="s">
        <v>776</v>
      </c>
      <c r="F17" s="86" t="s">
        <v>777</v>
      </c>
      <c r="G17" s="86" t="s">
        <v>778</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771</v>
      </c>
      <c r="B18" s="81" t="s">
        <v>779</v>
      </c>
      <c r="C18" s="83" t="s">
        <v>780</v>
      </c>
      <c r="D18" s="85" t="s">
        <v>781</v>
      </c>
      <c r="E18" s="85" t="s">
        <v>782</v>
      </c>
      <c r="F18" s="86" t="s">
        <v>777</v>
      </c>
      <c r="G18" s="86" t="s">
        <v>720</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771</v>
      </c>
      <c r="B19" s="81" t="s">
        <v>783</v>
      </c>
      <c r="C19" s="83" t="s">
        <v>784</v>
      </c>
      <c r="D19" s="85" t="s">
        <v>785</v>
      </c>
      <c r="E19" s="85" t="s">
        <v>786</v>
      </c>
      <c r="F19" s="86" t="s">
        <v>777</v>
      </c>
      <c r="G19" s="86" t="s">
        <v>762</v>
      </c>
      <c r="H19" s="86">
        <v>1</v>
      </c>
      <c r="I19" s="88">
        <f>IF(COUNTIF(J19:AW19,"&lt;&gt;")=0,"",SUMPRODUCT(((Recommendations[ImplStatus]="Implemented")+(Recommendations[ImplStatus]="Compensated"))*ISNUMBER(MATCH(Recommendations[Id],J19:AW19,0)))/COUNTIF(J19:AW19,"&lt;&gt;"))</f>
        <v>0</v>
      </c>
      <c r="J19" s="90" t="s">
        <v>127</v>
      </c>
      <c r="K19" s="90" t="s">
        <v>132</v>
      </c>
      <c r="L19" s="90" t="s">
        <v>137</v>
      </c>
      <c r="M19" s="90" t="s">
        <v>142</v>
      </c>
      <c r="N19" s="90" t="s">
        <v>147</v>
      </c>
      <c r="O19" s="90" t="s">
        <v>152</v>
      </c>
      <c r="P19" s="90" t="s">
        <v>157</v>
      </c>
      <c r="Q19" s="90" t="s">
        <v>167</v>
      </c>
      <c r="R19" s="90" t="s">
        <v>245</v>
      </c>
      <c r="S19" s="90" t="s">
        <v>250</v>
      </c>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771</v>
      </c>
      <c r="B20" s="81" t="s">
        <v>787</v>
      </c>
      <c r="C20" s="83" t="s">
        <v>788</v>
      </c>
      <c r="D20" s="85" t="s">
        <v>789</v>
      </c>
      <c r="E20" s="85" t="s">
        <v>790</v>
      </c>
      <c r="F20" s="86" t="s">
        <v>777</v>
      </c>
      <c r="G20" s="86" t="s">
        <v>762</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771</v>
      </c>
      <c r="B21" s="81" t="s">
        <v>791</v>
      </c>
      <c r="C21" s="83" t="s">
        <v>792</v>
      </c>
      <c r="D21" s="85" t="s">
        <v>793</v>
      </c>
      <c r="E21" s="85" t="s">
        <v>794</v>
      </c>
      <c r="F21" s="86" t="s">
        <v>777</v>
      </c>
      <c r="G21" s="86" t="s">
        <v>762</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771</v>
      </c>
      <c r="B22" s="81" t="s">
        <v>795</v>
      </c>
      <c r="C22" s="83" t="s">
        <v>796</v>
      </c>
      <c r="D22" s="85" t="s">
        <v>797</v>
      </c>
      <c r="E22" s="85" t="s">
        <v>798</v>
      </c>
      <c r="F22" s="86" t="s">
        <v>777</v>
      </c>
      <c r="G22" s="86" t="s">
        <v>762</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771</v>
      </c>
      <c r="B23" s="81" t="s">
        <v>799</v>
      </c>
      <c r="C23" s="83" t="s">
        <v>800</v>
      </c>
      <c r="D23" s="85" t="s">
        <v>801</v>
      </c>
      <c r="E23" s="85" t="s">
        <v>802</v>
      </c>
      <c r="F23" s="86" t="s">
        <v>777</v>
      </c>
      <c r="G23" s="86" t="s">
        <v>720</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771</v>
      </c>
      <c r="B24" s="81" t="s">
        <v>803</v>
      </c>
      <c r="C24" s="83" t="s">
        <v>804</v>
      </c>
      <c r="D24" s="85" t="s">
        <v>805</v>
      </c>
      <c r="E24" s="85" t="s">
        <v>806</v>
      </c>
      <c r="F24" s="86" t="s">
        <v>777</v>
      </c>
      <c r="G24" s="86" t="s">
        <v>720</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771</v>
      </c>
      <c r="B25" s="81" t="s">
        <v>807</v>
      </c>
      <c r="C25" s="83" t="s">
        <v>808</v>
      </c>
      <c r="D25" s="85" t="s">
        <v>809</v>
      </c>
      <c r="E25" s="85" t="s">
        <v>810</v>
      </c>
      <c r="F25" s="86" t="s">
        <v>777</v>
      </c>
      <c r="G25" s="86" t="s">
        <v>762</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771</v>
      </c>
      <c r="B26" s="81" t="s">
        <v>811</v>
      </c>
      <c r="C26" s="83" t="s">
        <v>812</v>
      </c>
      <c r="D26" s="85" t="s">
        <v>813</v>
      </c>
      <c r="E26" s="85" t="s">
        <v>814</v>
      </c>
      <c r="F26" s="86" t="s">
        <v>777</v>
      </c>
      <c r="G26" s="86" t="s">
        <v>762</v>
      </c>
      <c r="H26" s="86">
        <v>2</v>
      </c>
      <c r="I26" s="88">
        <f>IF(COUNTIF(J26:AW26,"&lt;&gt;")=0,"",SUMPRODUCT(((Recommendations[ImplStatus]="Implemented")+(Recommendations[ImplStatus]="Compensated"))*ISNUMBER(MATCH(Recommendations[Id],J26:AW26,0)))/COUNTIF(J26:AW26,"&lt;&gt;"))</f>
        <v>0</v>
      </c>
      <c r="J26" s="90" t="s">
        <v>13</v>
      </c>
      <c r="K26" s="90" t="s">
        <v>23</v>
      </c>
      <c r="L26" s="90" t="s">
        <v>220</v>
      </c>
      <c r="M26" s="90" t="s">
        <v>325</v>
      </c>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771</v>
      </c>
      <c r="B27" s="81" t="s">
        <v>815</v>
      </c>
      <c r="C27" s="83" t="s">
        <v>816</v>
      </c>
      <c r="D27" s="85" t="s">
        <v>817</v>
      </c>
      <c r="E27" s="85" t="s">
        <v>818</v>
      </c>
      <c r="F27" s="86" t="s">
        <v>777</v>
      </c>
      <c r="G27" s="86" t="s">
        <v>762</v>
      </c>
      <c r="H27" s="86">
        <v>2</v>
      </c>
      <c r="I27" s="88">
        <f>IF(COUNTIF(J27:AW27,"&lt;&gt;")=0,"",SUMPRODUCT(((Recommendations[ImplStatus]="Implemented")+(Recommendations[ImplStatus]="Compensated"))*ISNUMBER(MATCH(Recommendations[Id],J27:AW27,0)))/COUNTIF(J27:AW27,"&lt;&gt;"))</f>
        <v>0</v>
      </c>
      <c r="J27" s="90" t="s">
        <v>310</v>
      </c>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771</v>
      </c>
      <c r="B28" s="81" t="s">
        <v>819</v>
      </c>
      <c r="C28" s="83" t="s">
        <v>820</v>
      </c>
      <c r="D28" s="85" t="s">
        <v>821</v>
      </c>
      <c r="E28" s="85" t="s">
        <v>822</v>
      </c>
      <c r="F28" s="86" t="s">
        <v>777</v>
      </c>
      <c r="G28" s="86" t="s">
        <v>762</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771</v>
      </c>
      <c r="B29" s="81" t="s">
        <v>823</v>
      </c>
      <c r="C29" s="83" t="s">
        <v>824</v>
      </c>
      <c r="D29" s="85" t="s">
        <v>825</v>
      </c>
      <c r="E29" s="85" t="s">
        <v>826</v>
      </c>
      <c r="F29" s="86" t="s">
        <v>777</v>
      </c>
      <c r="G29" s="86" t="s">
        <v>762</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771</v>
      </c>
      <c r="B30" s="81" t="s">
        <v>827</v>
      </c>
      <c r="C30" s="83" t="s">
        <v>828</v>
      </c>
      <c r="D30" s="85" t="s">
        <v>829</v>
      </c>
      <c r="E30" s="85" t="s">
        <v>830</v>
      </c>
      <c r="F30" s="86" t="s">
        <v>777</v>
      </c>
      <c r="G30" s="86" t="s">
        <v>730</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831</v>
      </c>
      <c r="B31" s="80">
        <v>4</v>
      </c>
      <c r="C31" s="82" t="s">
        <v>19</v>
      </c>
      <c r="D31" s="84" t="s">
        <v>832</v>
      </c>
      <c r="E31" s="84" t="s">
        <v>19</v>
      </c>
      <c r="F31" s="80" t="s">
        <v>19</v>
      </c>
      <c r="G31" s="80" t="s">
        <v>19</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831</v>
      </c>
      <c r="B32" s="81" t="s">
        <v>833</v>
      </c>
      <c r="C32" s="83" t="s">
        <v>834</v>
      </c>
      <c r="D32" s="85" t="s">
        <v>835</v>
      </c>
      <c r="E32" s="85" t="s">
        <v>836</v>
      </c>
      <c r="F32" s="86" t="s">
        <v>837</v>
      </c>
      <c r="G32" s="86" t="s">
        <v>778</v>
      </c>
      <c r="H32" s="86">
        <v>1</v>
      </c>
      <c r="I32" s="88" t="str">
        <f>IF(COUNTIF(J32:AW32,"&lt;&gt;")=0,"",SUMPRODUCT(((Recommendations[ImplStatus]="Implemented")+(Recommendations[ImplStatus]="Compensated"))*ISNUMBER(MATCH(Recommendations[Id],J32:AW32,0)))/COUNTIF(J32:AW32,"&lt;&gt;"))</f>
        <v/>
      </c>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831</v>
      </c>
      <c r="B33" s="81" t="s">
        <v>838</v>
      </c>
      <c r="C33" s="83" t="s">
        <v>839</v>
      </c>
      <c r="D33" s="85" t="s">
        <v>840</v>
      </c>
      <c r="E33" s="85" t="s">
        <v>841</v>
      </c>
      <c r="F33" s="86" t="s">
        <v>837</v>
      </c>
      <c r="G33" s="86" t="s">
        <v>778</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831</v>
      </c>
      <c r="B34" s="81" t="s">
        <v>842</v>
      </c>
      <c r="C34" s="83" t="s">
        <v>843</v>
      </c>
      <c r="D34" s="85" t="s">
        <v>844</v>
      </c>
      <c r="E34" s="85" t="s">
        <v>845</v>
      </c>
      <c r="F34" s="86" t="s">
        <v>719</v>
      </c>
      <c r="G34" s="86" t="s">
        <v>762</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831</v>
      </c>
      <c r="B35" s="81" t="s">
        <v>846</v>
      </c>
      <c r="C35" s="83" t="s">
        <v>847</v>
      </c>
      <c r="D35" s="85" t="s">
        <v>848</v>
      </c>
      <c r="E35" s="85" t="s">
        <v>849</v>
      </c>
      <c r="F35" s="86" t="s">
        <v>719</v>
      </c>
      <c r="G35" s="86" t="s">
        <v>762</v>
      </c>
      <c r="H35" s="86">
        <v>1</v>
      </c>
      <c r="I35" s="88">
        <f>IF(COUNTIF(J35:AW35,"&lt;&gt;")=0,"",SUMPRODUCT(((Recommendations[ImplStatus]="Implemented")+(Recommendations[ImplStatus]="Compensated"))*ISNUMBER(MATCH(Recommendations[Id],J35:AW35,0)))/COUNTIF(J35:AW35,"&lt;&gt;"))</f>
        <v>0</v>
      </c>
      <c r="J35" s="90" t="s">
        <v>187</v>
      </c>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831</v>
      </c>
      <c r="B36" s="81" t="s">
        <v>850</v>
      </c>
      <c r="C36" s="83" t="s">
        <v>851</v>
      </c>
      <c r="D36" s="85" t="s">
        <v>852</v>
      </c>
      <c r="E36" s="85" t="s">
        <v>853</v>
      </c>
      <c r="F36" s="86" t="s">
        <v>719</v>
      </c>
      <c r="G36" s="86" t="s">
        <v>762</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831</v>
      </c>
      <c r="B37" s="81" t="s">
        <v>854</v>
      </c>
      <c r="C37" s="83" t="s">
        <v>855</v>
      </c>
      <c r="D37" s="85" t="s">
        <v>856</v>
      </c>
      <c r="E37" s="85" t="s">
        <v>857</v>
      </c>
      <c r="F37" s="86" t="s">
        <v>719</v>
      </c>
      <c r="G37" s="86" t="s">
        <v>762</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831</v>
      </c>
      <c r="B38" s="81" t="s">
        <v>858</v>
      </c>
      <c r="C38" s="83" t="s">
        <v>859</v>
      </c>
      <c r="D38" s="85" t="s">
        <v>860</v>
      </c>
      <c r="E38" s="85" t="s">
        <v>861</v>
      </c>
      <c r="F38" s="86" t="s">
        <v>862</v>
      </c>
      <c r="G38" s="86" t="s">
        <v>762</v>
      </c>
      <c r="H38" s="86">
        <v>1</v>
      </c>
      <c r="I38" s="88">
        <f>IF(COUNTIF(J38:AW38,"&lt;&gt;")=0,"",SUMPRODUCT(((Recommendations[ImplStatus]="Implemented")+(Recommendations[ImplStatus]="Compensated"))*ISNUMBER(MATCH(Recommendations[Id],J38:AW38,0)))/COUNTIF(J38:AW38,"&lt;&gt;"))</f>
        <v>0</v>
      </c>
      <c r="J38" s="90" t="s">
        <v>33</v>
      </c>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831</v>
      </c>
      <c r="B39" s="81" t="s">
        <v>863</v>
      </c>
      <c r="C39" s="83" t="s">
        <v>864</v>
      </c>
      <c r="D39" s="85" t="s">
        <v>865</v>
      </c>
      <c r="E39" s="85" t="s">
        <v>866</v>
      </c>
      <c r="F39" s="86" t="s">
        <v>719</v>
      </c>
      <c r="G39" s="86" t="s">
        <v>762</v>
      </c>
      <c r="H39" s="86">
        <v>2</v>
      </c>
      <c r="I39" s="88">
        <f>IF(COUNTIF(J39:AW39,"&lt;&gt;")=0,"",SUMPRODUCT(((Recommendations[ImplStatus]="Implemented")+(Recommendations[ImplStatus]="Compensated"))*ISNUMBER(MATCH(Recommendations[Id],J39:AW39,0)))/COUNTIF(J39:AW39,"&lt;&gt;"))</f>
        <v>0</v>
      </c>
      <c r="J39" s="90" t="s">
        <v>235</v>
      </c>
      <c r="K39" s="90" t="s">
        <v>405</v>
      </c>
      <c r="L39" s="90" t="s">
        <v>410</v>
      </c>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831</v>
      </c>
      <c r="B40" s="81" t="s">
        <v>867</v>
      </c>
      <c r="C40" s="83" t="s">
        <v>868</v>
      </c>
      <c r="D40" s="85" t="s">
        <v>869</v>
      </c>
      <c r="E40" s="85" t="s">
        <v>870</v>
      </c>
      <c r="F40" s="86" t="s">
        <v>719</v>
      </c>
      <c r="G40" s="86" t="s">
        <v>762</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831</v>
      </c>
      <c r="B41" s="81" t="s">
        <v>871</v>
      </c>
      <c r="C41" s="83" t="s">
        <v>872</v>
      </c>
      <c r="D41" s="85" t="s">
        <v>873</v>
      </c>
      <c r="E41" s="85" t="s">
        <v>874</v>
      </c>
      <c r="F41" s="86" t="s">
        <v>719</v>
      </c>
      <c r="G41" s="86" t="s">
        <v>762</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831</v>
      </c>
      <c r="B42" s="81" t="s">
        <v>875</v>
      </c>
      <c r="C42" s="83" t="s">
        <v>876</v>
      </c>
      <c r="D42" s="85" t="s">
        <v>877</v>
      </c>
      <c r="E42" s="85" t="s">
        <v>878</v>
      </c>
      <c r="F42" s="86" t="s">
        <v>777</v>
      </c>
      <c r="G42" s="86" t="s">
        <v>762</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831</v>
      </c>
      <c r="B43" s="81" t="s">
        <v>879</v>
      </c>
      <c r="C43" s="83" t="s">
        <v>880</v>
      </c>
      <c r="D43" s="85" t="s">
        <v>881</v>
      </c>
      <c r="E43" s="85" t="s">
        <v>882</v>
      </c>
      <c r="F43" s="86" t="s">
        <v>777</v>
      </c>
      <c r="G43" s="86" t="s">
        <v>762</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883</v>
      </c>
      <c r="B44" s="80">
        <v>5</v>
      </c>
      <c r="C44" s="82" t="s">
        <v>19</v>
      </c>
      <c r="D44" s="84" t="s">
        <v>884</v>
      </c>
      <c r="E44" s="84" t="s">
        <v>19</v>
      </c>
      <c r="F44" s="80" t="s">
        <v>19</v>
      </c>
      <c r="G44" s="80" t="s">
        <v>19</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883</v>
      </c>
      <c r="B45" s="81" t="s">
        <v>885</v>
      </c>
      <c r="C45" s="83" t="s">
        <v>886</v>
      </c>
      <c r="D45" s="85" t="s">
        <v>887</v>
      </c>
      <c r="E45" s="85" t="s">
        <v>888</v>
      </c>
      <c r="F45" s="86" t="s">
        <v>862</v>
      </c>
      <c r="G45" s="86" t="s">
        <v>720</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883</v>
      </c>
      <c r="B46" s="81" t="s">
        <v>889</v>
      </c>
      <c r="C46" s="83" t="s">
        <v>890</v>
      </c>
      <c r="D46" s="85" t="s">
        <v>891</v>
      </c>
      <c r="E46" s="85" t="s">
        <v>892</v>
      </c>
      <c r="F46" s="86" t="s">
        <v>862</v>
      </c>
      <c r="G46" s="86" t="s">
        <v>762</v>
      </c>
      <c r="H46" s="86">
        <v>1</v>
      </c>
      <c r="I46" s="88" t="str">
        <f>IF(COUNTIF(J46:AW46,"&lt;&gt;")=0,"",SUMPRODUCT(((Recommendations[ImplStatus]="Implemented")+(Recommendations[ImplStatus]="Compensated"))*ISNUMBER(MATCH(Recommendations[Id],J46:AW46,0)))/COUNTIF(J46:AW46,"&lt;&gt;"))</f>
        <v/>
      </c>
      <c r="J46" s="90"/>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883</v>
      </c>
      <c r="B47" s="81" t="s">
        <v>893</v>
      </c>
      <c r="C47" s="83" t="s">
        <v>894</v>
      </c>
      <c r="D47" s="85" t="s">
        <v>895</v>
      </c>
      <c r="E47" s="85" t="s">
        <v>896</v>
      </c>
      <c r="F47" s="86" t="s">
        <v>862</v>
      </c>
      <c r="G47" s="86" t="s">
        <v>762</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883</v>
      </c>
      <c r="B48" s="81" t="s">
        <v>897</v>
      </c>
      <c r="C48" s="83" t="s">
        <v>898</v>
      </c>
      <c r="D48" s="85" t="s">
        <v>899</v>
      </c>
      <c r="E48" s="85" t="s">
        <v>900</v>
      </c>
      <c r="F48" s="86" t="s">
        <v>862</v>
      </c>
      <c r="G48" s="86" t="s">
        <v>762</v>
      </c>
      <c r="H48" s="86">
        <v>1</v>
      </c>
      <c r="I48" s="88">
        <f>IF(COUNTIF(J48:AW48,"&lt;&gt;")=0,"",SUMPRODUCT(((Recommendations[ImplStatus]="Implemented")+(Recommendations[ImplStatus]="Compensated"))*ISNUMBER(MATCH(Recommendations[Id],J48:AW48,0)))/COUNTIF(J48:AW48,"&lt;&gt;"))</f>
        <v>0</v>
      </c>
      <c r="J48" s="90" t="s">
        <v>192</v>
      </c>
      <c r="K48" s="90" t="s">
        <v>275</v>
      </c>
      <c r="L48" s="90" t="s">
        <v>305</v>
      </c>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883</v>
      </c>
      <c r="B49" s="81" t="s">
        <v>901</v>
      </c>
      <c r="C49" s="83" t="s">
        <v>902</v>
      </c>
      <c r="D49" s="85" t="s">
        <v>903</v>
      </c>
      <c r="E49" s="85" t="s">
        <v>904</v>
      </c>
      <c r="F49" s="86" t="s">
        <v>862</v>
      </c>
      <c r="G49" s="86" t="s">
        <v>720</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883</v>
      </c>
      <c r="B50" s="81" t="s">
        <v>905</v>
      </c>
      <c r="C50" s="83" t="s">
        <v>906</v>
      </c>
      <c r="D50" s="85" t="s">
        <v>907</v>
      </c>
      <c r="E50" s="85" t="s">
        <v>908</v>
      </c>
      <c r="F50" s="86" t="s">
        <v>862</v>
      </c>
      <c r="G50" s="86" t="s">
        <v>778</v>
      </c>
      <c r="H50" s="86">
        <v>2</v>
      </c>
      <c r="I50" s="88">
        <f>IF(COUNTIF(J50:AW50,"&lt;&gt;")=0,"",SUMPRODUCT(((Recommendations[ImplStatus]="Implemented")+(Recommendations[ImplStatus]="Compensated"))*ISNUMBER(MATCH(Recommendations[Id],J50:AW50,0)))/COUNTIF(J50:AW50,"&lt;&gt;"))</f>
        <v>0</v>
      </c>
      <c r="J50" s="90" t="s">
        <v>28</v>
      </c>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909</v>
      </c>
      <c r="B51" s="80">
        <v>6</v>
      </c>
      <c r="C51" s="82" t="s">
        <v>19</v>
      </c>
      <c r="D51" s="84" t="s">
        <v>910</v>
      </c>
      <c r="E51" s="84" t="s">
        <v>19</v>
      </c>
      <c r="F51" s="80" t="s">
        <v>19</v>
      </c>
      <c r="G51" s="80" t="s">
        <v>19</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909</v>
      </c>
      <c r="B52" s="81" t="s">
        <v>911</v>
      </c>
      <c r="C52" s="83" t="s">
        <v>912</v>
      </c>
      <c r="D52" s="85" t="s">
        <v>913</v>
      </c>
      <c r="E52" s="85" t="s">
        <v>914</v>
      </c>
      <c r="F52" s="86" t="s">
        <v>837</v>
      </c>
      <c r="G52" s="86" t="s">
        <v>778</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909</v>
      </c>
      <c r="B53" s="81" t="s">
        <v>915</v>
      </c>
      <c r="C53" s="83" t="s">
        <v>916</v>
      </c>
      <c r="D53" s="85" t="s">
        <v>917</v>
      </c>
      <c r="E53" s="85" t="s">
        <v>918</v>
      </c>
      <c r="F53" s="86" t="s">
        <v>837</v>
      </c>
      <c r="G53" s="86" t="s">
        <v>778</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909</v>
      </c>
      <c r="B54" s="81" t="s">
        <v>919</v>
      </c>
      <c r="C54" s="83" t="s">
        <v>920</v>
      </c>
      <c r="D54" s="85" t="s">
        <v>921</v>
      </c>
      <c r="E54" s="85" t="s">
        <v>922</v>
      </c>
      <c r="F54" s="86" t="s">
        <v>862</v>
      </c>
      <c r="G54" s="86" t="s">
        <v>762</v>
      </c>
      <c r="H54" s="86">
        <v>1</v>
      </c>
      <c r="I54" s="88">
        <f>IF(COUNTIF(J54:AW54,"&lt;&gt;")=0,"",SUMPRODUCT(((Recommendations[ImplStatus]="Implemented")+(Recommendations[ImplStatus]="Compensated"))*ISNUMBER(MATCH(Recommendations[Id],J54:AW54,0)))/COUNTIF(J54:AW54,"&lt;&gt;"))</f>
        <v>0</v>
      </c>
      <c r="J54" s="90" t="s">
        <v>197</v>
      </c>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909</v>
      </c>
      <c r="B55" s="81" t="s">
        <v>923</v>
      </c>
      <c r="C55" s="83" t="s">
        <v>924</v>
      </c>
      <c r="D55" s="85" t="s">
        <v>925</v>
      </c>
      <c r="E55" s="85" t="s">
        <v>926</v>
      </c>
      <c r="F55" s="86" t="s">
        <v>862</v>
      </c>
      <c r="G55" s="86" t="s">
        <v>762</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909</v>
      </c>
      <c r="B56" s="81" t="s">
        <v>927</v>
      </c>
      <c r="C56" s="83" t="s">
        <v>928</v>
      </c>
      <c r="D56" s="85" t="s">
        <v>929</v>
      </c>
      <c r="E56" s="85" t="s">
        <v>930</v>
      </c>
      <c r="F56" s="86" t="s">
        <v>862</v>
      </c>
      <c r="G56" s="86" t="s">
        <v>762</v>
      </c>
      <c r="H56" s="86">
        <v>1</v>
      </c>
      <c r="I56" s="88">
        <f>IF(COUNTIF(J56:AW56,"&lt;&gt;")=0,"",SUMPRODUCT(((Recommendations[ImplStatus]="Implemented")+(Recommendations[ImplStatus]="Compensated"))*ISNUMBER(MATCH(Recommendations[Id],J56:AW56,0)))/COUNTIF(J56:AW56,"&lt;&gt;"))</f>
        <v>0</v>
      </c>
      <c r="J56" s="90" t="s">
        <v>197</v>
      </c>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909</v>
      </c>
      <c r="B57" s="81" t="s">
        <v>931</v>
      </c>
      <c r="C57" s="83" t="s">
        <v>932</v>
      </c>
      <c r="D57" s="85" t="s">
        <v>933</v>
      </c>
      <c r="E57" s="85" t="s">
        <v>934</v>
      </c>
      <c r="F57" s="86" t="s">
        <v>745</v>
      </c>
      <c r="G57" s="86" t="s">
        <v>720</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909</v>
      </c>
      <c r="B58" s="81" t="s">
        <v>935</v>
      </c>
      <c r="C58" s="83" t="s">
        <v>936</v>
      </c>
      <c r="D58" s="85" t="s">
        <v>937</v>
      </c>
      <c r="E58" s="85" t="s">
        <v>938</v>
      </c>
      <c r="F58" s="86" t="s">
        <v>862</v>
      </c>
      <c r="G58" s="86" t="s">
        <v>762</v>
      </c>
      <c r="H58" s="86">
        <v>2</v>
      </c>
      <c r="I58" s="88">
        <f>IF(COUNTIF(J58:AW58,"&lt;&gt;")=0,"",SUMPRODUCT(((Recommendations[ImplStatus]="Implemented")+(Recommendations[ImplStatus]="Compensated"))*ISNUMBER(MATCH(Recommendations[Id],J58:AW58,0)))/COUNTIF(J58:AW58,"&lt;&gt;"))</f>
        <v>0</v>
      </c>
      <c r="J58" s="90" t="s">
        <v>28</v>
      </c>
      <c r="K58" s="90" t="s">
        <v>206</v>
      </c>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909</v>
      </c>
      <c r="B59" s="81" t="s">
        <v>939</v>
      </c>
      <c r="C59" s="83" t="s">
        <v>940</v>
      </c>
      <c r="D59" s="85" t="s">
        <v>941</v>
      </c>
      <c r="E59" s="85" t="s">
        <v>942</v>
      </c>
      <c r="F59" s="86" t="s">
        <v>862</v>
      </c>
      <c r="G59" s="86" t="s">
        <v>778</v>
      </c>
      <c r="H59" s="86">
        <v>3</v>
      </c>
      <c r="I59" s="88">
        <f>IF(COUNTIF(J59:AW59,"&lt;&gt;")=0,"",SUMPRODUCT(((Recommendations[ImplStatus]="Implemented")+(Recommendations[ImplStatus]="Compensated"))*ISNUMBER(MATCH(Recommendations[Id],J59:AW59,0)))/COUNTIF(J59:AW59,"&lt;&gt;"))</f>
        <v>0</v>
      </c>
      <c r="J59" s="90" t="s">
        <v>56</v>
      </c>
      <c r="K59" s="90" t="s">
        <v>290</v>
      </c>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943</v>
      </c>
      <c r="B60" s="80">
        <v>7</v>
      </c>
      <c r="C60" s="82" t="s">
        <v>19</v>
      </c>
      <c r="D60" s="84" t="s">
        <v>944</v>
      </c>
      <c r="E60" s="84" t="s">
        <v>19</v>
      </c>
      <c r="F60" s="80" t="s">
        <v>19</v>
      </c>
      <c r="G60" s="80" t="s">
        <v>19</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943</v>
      </c>
      <c r="B61" s="81" t="s">
        <v>945</v>
      </c>
      <c r="C61" s="83" t="s">
        <v>946</v>
      </c>
      <c r="D61" s="85" t="s">
        <v>947</v>
      </c>
      <c r="E61" s="85" t="s">
        <v>948</v>
      </c>
      <c r="F61" s="86" t="s">
        <v>837</v>
      </c>
      <c r="G61" s="86" t="s">
        <v>778</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943</v>
      </c>
      <c r="B62" s="81" t="s">
        <v>949</v>
      </c>
      <c r="C62" s="83" t="s">
        <v>950</v>
      </c>
      <c r="D62" s="85" t="s">
        <v>951</v>
      </c>
      <c r="E62" s="85" t="s">
        <v>952</v>
      </c>
      <c r="F62" s="86" t="s">
        <v>837</v>
      </c>
      <c r="G62" s="86" t="s">
        <v>778</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943</v>
      </c>
      <c r="B63" s="81" t="s">
        <v>953</v>
      </c>
      <c r="C63" s="83" t="s">
        <v>954</v>
      </c>
      <c r="D63" s="85" t="s">
        <v>955</v>
      </c>
      <c r="E63" s="85" t="s">
        <v>956</v>
      </c>
      <c r="F63" s="86" t="s">
        <v>745</v>
      </c>
      <c r="G63" s="86" t="s">
        <v>762</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943</v>
      </c>
      <c r="B64" s="81" t="s">
        <v>957</v>
      </c>
      <c r="C64" s="83" t="s">
        <v>958</v>
      </c>
      <c r="D64" s="85" t="s">
        <v>959</v>
      </c>
      <c r="E64" s="85" t="s">
        <v>960</v>
      </c>
      <c r="F64" s="86" t="s">
        <v>745</v>
      </c>
      <c r="G64" s="86" t="s">
        <v>762</v>
      </c>
      <c r="H64" s="86">
        <v>1</v>
      </c>
      <c r="I64" s="88">
        <f>IF(COUNTIF(J64:AW64,"&lt;&gt;")=0,"",SUMPRODUCT(((Recommendations[ImplStatus]="Implemented")+(Recommendations[ImplStatus]="Compensated"))*ISNUMBER(MATCH(Recommendations[Id],J64:AW64,0)))/COUNTIF(J64:AW64,"&lt;&gt;"))</f>
        <v>0</v>
      </c>
      <c r="J64" s="90" t="s">
        <v>345</v>
      </c>
      <c r="K64" s="90" t="s">
        <v>350</v>
      </c>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943</v>
      </c>
      <c r="B65" s="81" t="s">
        <v>961</v>
      </c>
      <c r="C65" s="83" t="s">
        <v>962</v>
      </c>
      <c r="D65" s="85" t="s">
        <v>963</v>
      </c>
      <c r="E65" s="85" t="s">
        <v>964</v>
      </c>
      <c r="F65" s="86" t="s">
        <v>745</v>
      </c>
      <c r="G65" s="86" t="s">
        <v>720</v>
      </c>
      <c r="H65" s="86">
        <v>2</v>
      </c>
      <c r="I65" s="88">
        <f>IF(COUNTIF(J65:AW65,"&lt;&gt;")=0,"",SUMPRODUCT(((Recommendations[ImplStatus]="Implemented")+(Recommendations[ImplStatus]="Compensated"))*ISNUMBER(MATCH(Recommendations[Id],J65:AW65,0)))/COUNTIF(J65:AW65,"&lt;&gt;"))</f>
        <v>0</v>
      </c>
      <c r="J65" s="90" t="s">
        <v>420</v>
      </c>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943</v>
      </c>
      <c r="B66" s="81" t="s">
        <v>965</v>
      </c>
      <c r="C66" s="83" t="s">
        <v>966</v>
      </c>
      <c r="D66" s="85" t="s">
        <v>967</v>
      </c>
      <c r="E66" s="85" t="s">
        <v>968</v>
      </c>
      <c r="F66" s="86" t="s">
        <v>745</v>
      </c>
      <c r="G66" s="86" t="s">
        <v>720</v>
      </c>
      <c r="H66" s="86">
        <v>2</v>
      </c>
      <c r="I66" s="88">
        <f>IF(COUNTIF(J66:AW66,"&lt;&gt;")=0,"",SUMPRODUCT(((Recommendations[ImplStatus]="Implemented")+(Recommendations[ImplStatus]="Compensated"))*ISNUMBER(MATCH(Recommendations[Id],J66:AW66,0)))/COUNTIF(J66:AW66,"&lt;&gt;"))</f>
        <v>0</v>
      </c>
      <c r="J66" s="90" t="s">
        <v>420</v>
      </c>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943</v>
      </c>
      <c r="B67" s="81" t="s">
        <v>969</v>
      </c>
      <c r="C67" s="83" t="s">
        <v>970</v>
      </c>
      <c r="D67" s="85" t="s">
        <v>971</v>
      </c>
      <c r="E67" s="85" t="s">
        <v>972</v>
      </c>
      <c r="F67" s="86" t="s">
        <v>745</v>
      </c>
      <c r="G67" s="86" t="s">
        <v>725</v>
      </c>
      <c r="H67" s="86">
        <v>2</v>
      </c>
      <c r="I67" s="88">
        <f>IF(COUNTIF(J67:AW67,"&lt;&gt;")=0,"",SUMPRODUCT(((Recommendations[ImplStatus]="Implemented")+(Recommendations[ImplStatus]="Compensated"))*ISNUMBER(MATCH(Recommendations[Id],J67:AW67,0)))/COUNTIF(J67:AW67,"&lt;&gt;"))</f>
        <v>0</v>
      </c>
      <c r="J67" s="90" t="s">
        <v>340</v>
      </c>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973</v>
      </c>
      <c r="B68" s="80">
        <v>8</v>
      </c>
      <c r="C68" s="82" t="s">
        <v>19</v>
      </c>
      <c r="D68" s="84" t="s">
        <v>974</v>
      </c>
      <c r="E68" s="84" t="s">
        <v>19</v>
      </c>
      <c r="F68" s="80" t="s">
        <v>19</v>
      </c>
      <c r="G68" s="80" t="s">
        <v>19</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973</v>
      </c>
      <c r="B69" s="81" t="s">
        <v>975</v>
      </c>
      <c r="C69" s="83" t="s">
        <v>976</v>
      </c>
      <c r="D69" s="85" t="s">
        <v>977</v>
      </c>
      <c r="E69" s="85" t="s">
        <v>978</v>
      </c>
      <c r="F69" s="86" t="s">
        <v>837</v>
      </c>
      <c r="G69" s="86" t="s">
        <v>778</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973</v>
      </c>
      <c r="B70" s="81" t="s">
        <v>979</v>
      </c>
      <c r="C70" s="83" t="s">
        <v>980</v>
      </c>
      <c r="D70" s="85" t="s">
        <v>981</v>
      </c>
      <c r="E70" s="85" t="s">
        <v>982</v>
      </c>
      <c r="F70" s="86" t="s">
        <v>777</v>
      </c>
      <c r="G70" s="86" t="s">
        <v>730</v>
      </c>
      <c r="H70" s="86">
        <v>1</v>
      </c>
      <c r="I70" s="88">
        <f>IF(COUNTIF(J70:AW70,"&lt;&gt;")=0,"",SUMPRODUCT(((Recommendations[ImplStatus]="Implemented")+(Recommendations[ImplStatus]="Compensated"))*ISNUMBER(MATCH(Recommendations[Id],J70:AW70,0)))/COUNTIF(J70:AW70,"&lt;&gt;"))</f>
        <v>0</v>
      </c>
      <c r="J70" s="90" t="s">
        <v>38</v>
      </c>
      <c r="K70" s="90" t="s">
        <v>43</v>
      </c>
      <c r="L70" s="90" t="s">
        <v>47</v>
      </c>
      <c r="M70" s="90" t="s">
        <v>51</v>
      </c>
      <c r="N70" s="90" t="s">
        <v>78</v>
      </c>
      <c r="O70" s="90" t="s">
        <v>83</v>
      </c>
      <c r="P70" s="90" t="s">
        <v>88</v>
      </c>
      <c r="Q70" s="90" t="s">
        <v>365</v>
      </c>
      <c r="R70" s="90" t="s">
        <v>370</v>
      </c>
      <c r="S70" s="90" t="s">
        <v>375</v>
      </c>
      <c r="T70" s="90" t="s">
        <v>380</v>
      </c>
      <c r="U70" s="90" t="s">
        <v>385</v>
      </c>
      <c r="V70" s="90" t="s">
        <v>390</v>
      </c>
      <c r="W70" s="90" t="s">
        <v>400</v>
      </c>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973</v>
      </c>
      <c r="B71" s="81" t="s">
        <v>983</v>
      </c>
      <c r="C71" s="83" t="s">
        <v>984</v>
      </c>
      <c r="D71" s="85" t="s">
        <v>985</v>
      </c>
      <c r="E71" s="85" t="s">
        <v>986</v>
      </c>
      <c r="F71" s="86" t="s">
        <v>777</v>
      </c>
      <c r="G71" s="86" t="s">
        <v>762</v>
      </c>
      <c r="H71" s="86">
        <v>1</v>
      </c>
      <c r="I71" s="88">
        <f>IF(COUNTIF(J71:AW71,"&lt;&gt;")=0,"",SUMPRODUCT(((Recommendations[ImplStatus]="Implemented")+(Recommendations[ImplStatus]="Compensated"))*ISNUMBER(MATCH(Recommendations[Id],J71:AW71,0)))/COUNTIF(J71:AW71,"&lt;&gt;"))</f>
        <v>0</v>
      </c>
      <c r="J71" s="90" t="s">
        <v>280</v>
      </c>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973</v>
      </c>
      <c r="B72" s="81" t="s">
        <v>987</v>
      </c>
      <c r="C72" s="83" t="s">
        <v>988</v>
      </c>
      <c r="D72" s="85" t="s">
        <v>989</v>
      </c>
      <c r="E72" s="85" t="s">
        <v>990</v>
      </c>
      <c r="F72" s="86" t="s">
        <v>991</v>
      </c>
      <c r="G72" s="86" t="s">
        <v>762</v>
      </c>
      <c r="H72" s="86">
        <v>2</v>
      </c>
      <c r="I72" s="88">
        <f>IF(COUNTIF(J72:AW72,"&lt;&gt;")=0,"",SUMPRODUCT(((Recommendations[ImplStatus]="Implemented")+(Recommendations[ImplStatus]="Compensated"))*ISNUMBER(MATCH(Recommendations[Id],J72:AW72,0)))/COUNTIF(J72:AW72,"&lt;&gt;"))</f>
        <v>0</v>
      </c>
      <c r="J72" s="90" t="s">
        <v>117</v>
      </c>
      <c r="K72" s="90" t="s">
        <v>122</v>
      </c>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973</v>
      </c>
      <c r="B73" s="81" t="s">
        <v>992</v>
      </c>
      <c r="C73" s="83" t="s">
        <v>993</v>
      </c>
      <c r="D73" s="85" t="s">
        <v>994</v>
      </c>
      <c r="E73" s="85" t="s">
        <v>995</v>
      </c>
      <c r="F73" s="86" t="s">
        <v>777</v>
      </c>
      <c r="G73" s="86" t="s">
        <v>730</v>
      </c>
      <c r="H73" s="86">
        <v>2</v>
      </c>
      <c r="I73" s="88">
        <f>IF(COUNTIF(J73:AW73,"&lt;&gt;")=0,"",SUMPRODUCT(((Recommendations[ImplStatus]="Implemented")+(Recommendations[ImplStatus]="Compensated"))*ISNUMBER(MATCH(Recommendations[Id],J73:AW73,0)))/COUNTIF(J73:AW73,"&lt;&gt;"))</f>
        <v>0</v>
      </c>
      <c r="J73" s="90" t="s">
        <v>47</v>
      </c>
      <c r="K73" s="90" t="s">
        <v>78</v>
      </c>
      <c r="L73" s="90" t="s">
        <v>83</v>
      </c>
      <c r="M73" s="90" t="s">
        <v>93</v>
      </c>
      <c r="N73" s="90" t="s">
        <v>98</v>
      </c>
      <c r="O73" s="90" t="s">
        <v>103</v>
      </c>
      <c r="P73" s="90" t="s">
        <v>365</v>
      </c>
      <c r="Q73" s="90" t="s">
        <v>370</v>
      </c>
      <c r="R73" s="90" t="s">
        <v>375</v>
      </c>
      <c r="S73" s="90" t="s">
        <v>380</v>
      </c>
      <c r="T73" s="90" t="s">
        <v>385</v>
      </c>
      <c r="U73" s="90" t="s">
        <v>390</v>
      </c>
      <c r="V73" s="90" t="s">
        <v>395</v>
      </c>
      <c r="W73" s="90" t="s">
        <v>400</v>
      </c>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973</v>
      </c>
      <c r="B74" s="81" t="s">
        <v>996</v>
      </c>
      <c r="C74" s="83" t="s">
        <v>997</v>
      </c>
      <c r="D74" s="85" t="s">
        <v>998</v>
      </c>
      <c r="E74" s="85" t="s">
        <v>999</v>
      </c>
      <c r="F74" s="86" t="s">
        <v>777</v>
      </c>
      <c r="G74" s="86" t="s">
        <v>730</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973</v>
      </c>
      <c r="B75" s="81" t="s">
        <v>1000</v>
      </c>
      <c r="C75" s="83" t="s">
        <v>1001</v>
      </c>
      <c r="D75" s="85" t="s">
        <v>1002</v>
      </c>
      <c r="E75" s="85" t="s">
        <v>1003</v>
      </c>
      <c r="F75" s="86" t="s">
        <v>777</v>
      </c>
      <c r="G75" s="86" t="s">
        <v>730</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973</v>
      </c>
      <c r="B76" s="81" t="s">
        <v>1004</v>
      </c>
      <c r="C76" s="83" t="s">
        <v>1005</v>
      </c>
      <c r="D76" s="85" t="s">
        <v>1006</v>
      </c>
      <c r="E76" s="85" t="s">
        <v>1007</v>
      </c>
      <c r="F76" s="86" t="s">
        <v>777</v>
      </c>
      <c r="G76" s="86" t="s">
        <v>730</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973</v>
      </c>
      <c r="B77" s="81" t="s">
        <v>1008</v>
      </c>
      <c r="C77" s="83" t="s">
        <v>1009</v>
      </c>
      <c r="D77" s="85" t="s">
        <v>1010</v>
      </c>
      <c r="E77" s="85" t="s">
        <v>1011</v>
      </c>
      <c r="F77" s="86" t="s">
        <v>777</v>
      </c>
      <c r="G77" s="86" t="s">
        <v>730</v>
      </c>
      <c r="H77" s="86">
        <v>2</v>
      </c>
      <c r="I77" s="88">
        <f>IF(COUNTIF(J77:AW77,"&lt;&gt;")=0,"",SUMPRODUCT(((Recommendations[ImplStatus]="Implemented")+(Recommendations[ImplStatus]="Compensated"))*ISNUMBER(MATCH(Recommendations[Id],J77:AW77,0)))/COUNTIF(J77:AW77,"&lt;&gt;"))</f>
        <v>0</v>
      </c>
      <c r="J77" s="90" t="s">
        <v>112</v>
      </c>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973</v>
      </c>
      <c r="B78" s="81" t="s">
        <v>1012</v>
      </c>
      <c r="C78" s="83" t="s">
        <v>1013</v>
      </c>
      <c r="D78" s="85" t="s">
        <v>1014</v>
      </c>
      <c r="E78" s="85" t="s">
        <v>1015</v>
      </c>
      <c r="F78" s="86" t="s">
        <v>777</v>
      </c>
      <c r="G78" s="86" t="s">
        <v>762</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973</v>
      </c>
      <c r="B79" s="81" t="s">
        <v>1016</v>
      </c>
      <c r="C79" s="83" t="s">
        <v>1017</v>
      </c>
      <c r="D79" s="85" t="s">
        <v>1018</v>
      </c>
      <c r="E79" s="85" t="s">
        <v>1019</v>
      </c>
      <c r="F79" s="86" t="s">
        <v>777</v>
      </c>
      <c r="G79" s="86" t="s">
        <v>730</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973</v>
      </c>
      <c r="B80" s="81" t="s">
        <v>1020</v>
      </c>
      <c r="C80" s="83" t="s">
        <v>1021</v>
      </c>
      <c r="D80" s="85" t="s">
        <v>1022</v>
      </c>
      <c r="E80" s="85" t="s">
        <v>1023</v>
      </c>
      <c r="F80" s="86" t="s">
        <v>777</v>
      </c>
      <c r="G80" s="86" t="s">
        <v>730</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1024</v>
      </c>
      <c r="B81" s="80">
        <v>9</v>
      </c>
      <c r="C81" s="82" t="s">
        <v>19</v>
      </c>
      <c r="D81" s="84" t="s">
        <v>1025</v>
      </c>
      <c r="E81" s="84" t="s">
        <v>19</v>
      </c>
      <c r="F81" s="80" t="s">
        <v>19</v>
      </c>
      <c r="G81" s="80" t="s">
        <v>19</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1024</v>
      </c>
      <c r="B82" s="81" t="s">
        <v>1026</v>
      </c>
      <c r="C82" s="83" t="s">
        <v>1027</v>
      </c>
      <c r="D82" s="85" t="s">
        <v>1028</v>
      </c>
      <c r="E82" s="85" t="s">
        <v>1029</v>
      </c>
      <c r="F82" s="86" t="s">
        <v>745</v>
      </c>
      <c r="G82" s="86" t="s">
        <v>762</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1024</v>
      </c>
      <c r="B83" s="81" t="s">
        <v>1030</v>
      </c>
      <c r="C83" s="83" t="s">
        <v>1031</v>
      </c>
      <c r="D83" s="85" t="s">
        <v>1032</v>
      </c>
      <c r="E83" s="85" t="s">
        <v>1033</v>
      </c>
      <c r="F83" s="86" t="s">
        <v>719</v>
      </c>
      <c r="G83" s="86" t="s">
        <v>762</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1024</v>
      </c>
      <c r="B84" s="81" t="s">
        <v>1034</v>
      </c>
      <c r="C84" s="83" t="s">
        <v>1035</v>
      </c>
      <c r="D84" s="85" t="s">
        <v>1036</v>
      </c>
      <c r="E84" s="85" t="s">
        <v>1037</v>
      </c>
      <c r="F84" s="86" t="s">
        <v>991</v>
      </c>
      <c r="G84" s="86" t="s">
        <v>762</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1024</v>
      </c>
      <c r="B85" s="81" t="s">
        <v>1038</v>
      </c>
      <c r="C85" s="83" t="s">
        <v>1039</v>
      </c>
      <c r="D85" s="85" t="s">
        <v>1040</v>
      </c>
      <c r="E85" s="85" t="s">
        <v>1041</v>
      </c>
      <c r="F85" s="86" t="s">
        <v>745</v>
      </c>
      <c r="G85" s="86" t="s">
        <v>762</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1024</v>
      </c>
      <c r="B86" s="81" t="s">
        <v>1042</v>
      </c>
      <c r="C86" s="83" t="s">
        <v>1043</v>
      </c>
      <c r="D86" s="85" t="s">
        <v>1044</v>
      </c>
      <c r="E86" s="85" t="s">
        <v>1045</v>
      </c>
      <c r="F86" s="86" t="s">
        <v>991</v>
      </c>
      <c r="G86" s="86" t="s">
        <v>762</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1024</v>
      </c>
      <c r="B87" s="81" t="s">
        <v>1046</v>
      </c>
      <c r="C87" s="83" t="s">
        <v>1047</v>
      </c>
      <c r="D87" s="85" t="s">
        <v>1048</v>
      </c>
      <c r="E87" s="85" t="s">
        <v>1049</v>
      </c>
      <c r="F87" s="86" t="s">
        <v>991</v>
      </c>
      <c r="G87" s="86" t="s">
        <v>762</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1024</v>
      </c>
      <c r="B88" s="81" t="s">
        <v>1050</v>
      </c>
      <c r="C88" s="83" t="s">
        <v>1051</v>
      </c>
      <c r="D88" s="85" t="s">
        <v>1052</v>
      </c>
      <c r="E88" s="85" t="s">
        <v>1053</v>
      </c>
      <c r="F88" s="86" t="s">
        <v>991</v>
      </c>
      <c r="G88" s="86" t="s">
        <v>762</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1054</v>
      </c>
      <c r="B89" s="80">
        <v>10</v>
      </c>
      <c r="C89" s="82" t="s">
        <v>19</v>
      </c>
      <c r="D89" s="84" t="s">
        <v>1055</v>
      </c>
      <c r="E89" s="84" t="s">
        <v>19</v>
      </c>
      <c r="F89" s="80" t="s">
        <v>19</v>
      </c>
      <c r="G89" s="80" t="s">
        <v>19</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1054</v>
      </c>
      <c r="B90" s="81" t="s">
        <v>1056</v>
      </c>
      <c r="C90" s="83" t="s">
        <v>1057</v>
      </c>
      <c r="D90" s="85" t="s">
        <v>1058</v>
      </c>
      <c r="E90" s="85" t="s">
        <v>1059</v>
      </c>
      <c r="F90" s="86" t="s">
        <v>719</v>
      </c>
      <c r="G90" s="86" t="s">
        <v>730</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1054</v>
      </c>
      <c r="B91" s="81" t="s">
        <v>1060</v>
      </c>
      <c r="C91" s="83" t="s">
        <v>1061</v>
      </c>
      <c r="D91" s="85" t="s">
        <v>1062</v>
      </c>
      <c r="E91" s="85" t="s">
        <v>1063</v>
      </c>
      <c r="F91" s="86" t="s">
        <v>719</v>
      </c>
      <c r="G91" s="86" t="s">
        <v>762</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1054</v>
      </c>
      <c r="B92" s="81" t="s">
        <v>1064</v>
      </c>
      <c r="C92" s="83" t="s">
        <v>1065</v>
      </c>
      <c r="D92" s="85" t="s">
        <v>1066</v>
      </c>
      <c r="E92" s="85" t="s">
        <v>1067</v>
      </c>
      <c r="F92" s="86" t="s">
        <v>719</v>
      </c>
      <c r="G92" s="86" t="s">
        <v>762</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1054</v>
      </c>
      <c r="B93" s="81" t="s">
        <v>1068</v>
      </c>
      <c r="C93" s="83" t="s">
        <v>1069</v>
      </c>
      <c r="D93" s="85" t="s">
        <v>1070</v>
      </c>
      <c r="E93" s="85" t="s">
        <v>1071</v>
      </c>
      <c r="F93" s="86" t="s">
        <v>719</v>
      </c>
      <c r="G93" s="86" t="s">
        <v>730</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1054</v>
      </c>
      <c r="B94" s="81" t="s">
        <v>1072</v>
      </c>
      <c r="C94" s="83" t="s">
        <v>1073</v>
      </c>
      <c r="D94" s="85" t="s">
        <v>1074</v>
      </c>
      <c r="E94" s="85" t="s">
        <v>1075</v>
      </c>
      <c r="F94" s="86" t="s">
        <v>719</v>
      </c>
      <c r="G94" s="86" t="s">
        <v>762</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1054</v>
      </c>
      <c r="B95" s="81" t="s">
        <v>1076</v>
      </c>
      <c r="C95" s="83" t="s">
        <v>1077</v>
      </c>
      <c r="D95" s="85" t="s">
        <v>1078</v>
      </c>
      <c r="E95" s="85" t="s">
        <v>1079</v>
      </c>
      <c r="F95" s="86" t="s">
        <v>719</v>
      </c>
      <c r="G95" s="86" t="s">
        <v>762</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1054</v>
      </c>
      <c r="B96" s="81" t="s">
        <v>1080</v>
      </c>
      <c r="C96" s="83" t="s">
        <v>1081</v>
      </c>
      <c r="D96" s="85" t="s">
        <v>1082</v>
      </c>
      <c r="E96" s="85" t="s">
        <v>1083</v>
      </c>
      <c r="F96" s="86" t="s">
        <v>719</v>
      </c>
      <c r="G96" s="86" t="s">
        <v>730</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1084</v>
      </c>
      <c r="B97" s="80">
        <v>11</v>
      </c>
      <c r="C97" s="82" t="s">
        <v>19</v>
      </c>
      <c r="D97" s="84" t="s">
        <v>1085</v>
      </c>
      <c r="E97" s="84" t="s">
        <v>19</v>
      </c>
      <c r="F97" s="80" t="s">
        <v>19</v>
      </c>
      <c r="G97" s="80" t="s">
        <v>19</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1084</v>
      </c>
      <c r="B98" s="81" t="s">
        <v>1086</v>
      </c>
      <c r="C98" s="83" t="s">
        <v>1087</v>
      </c>
      <c r="D98" s="85" t="s">
        <v>1088</v>
      </c>
      <c r="E98" s="85" t="s">
        <v>1089</v>
      </c>
      <c r="F98" s="86" t="s">
        <v>837</v>
      </c>
      <c r="G98" s="86" t="s">
        <v>778</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1084</v>
      </c>
      <c r="B99" s="81" t="s">
        <v>1090</v>
      </c>
      <c r="C99" s="83" t="s">
        <v>1091</v>
      </c>
      <c r="D99" s="85" t="s">
        <v>1092</v>
      </c>
      <c r="E99" s="85" t="s">
        <v>1093</v>
      </c>
      <c r="F99" s="86" t="s">
        <v>777</v>
      </c>
      <c r="G99" s="86" t="s">
        <v>1094</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1084</v>
      </c>
      <c r="B100" s="81" t="s">
        <v>1095</v>
      </c>
      <c r="C100" s="83" t="s">
        <v>1096</v>
      </c>
      <c r="D100" s="85" t="s">
        <v>1097</v>
      </c>
      <c r="E100" s="85" t="s">
        <v>1098</v>
      </c>
      <c r="F100" s="86" t="s">
        <v>777</v>
      </c>
      <c r="G100" s="86" t="s">
        <v>762</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1084</v>
      </c>
      <c r="B101" s="81" t="s">
        <v>1099</v>
      </c>
      <c r="C101" s="83" t="s">
        <v>1100</v>
      </c>
      <c r="D101" s="85" t="s">
        <v>1101</v>
      </c>
      <c r="E101" s="85" t="s">
        <v>1102</v>
      </c>
      <c r="F101" s="86" t="s">
        <v>777</v>
      </c>
      <c r="G101" s="86" t="s">
        <v>1094</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1084</v>
      </c>
      <c r="B102" s="81" t="s">
        <v>1103</v>
      </c>
      <c r="C102" s="83" t="s">
        <v>1104</v>
      </c>
      <c r="D102" s="85" t="s">
        <v>1105</v>
      </c>
      <c r="E102" s="85" t="s">
        <v>1106</v>
      </c>
      <c r="F102" s="86" t="s">
        <v>777</v>
      </c>
      <c r="G102" s="86" t="s">
        <v>1094</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1107</v>
      </c>
      <c r="B103" s="80">
        <v>12</v>
      </c>
      <c r="C103" s="82" t="s">
        <v>19</v>
      </c>
      <c r="D103" s="84" t="s">
        <v>1108</v>
      </c>
      <c r="E103" s="84" t="s">
        <v>19</v>
      </c>
      <c r="F103" s="80" t="s">
        <v>19</v>
      </c>
      <c r="G103" s="80" t="s">
        <v>19</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1107</v>
      </c>
      <c r="B104" s="81" t="s">
        <v>1109</v>
      </c>
      <c r="C104" s="83" t="s">
        <v>1110</v>
      </c>
      <c r="D104" s="85" t="s">
        <v>1111</v>
      </c>
      <c r="E104" s="85" t="s">
        <v>1112</v>
      </c>
      <c r="F104" s="86" t="s">
        <v>991</v>
      </c>
      <c r="G104" s="86" t="s">
        <v>762</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1107</v>
      </c>
      <c r="B105" s="81" t="s">
        <v>1113</v>
      </c>
      <c r="C105" s="83" t="s">
        <v>1114</v>
      </c>
      <c r="D105" s="85" t="s">
        <v>1115</v>
      </c>
      <c r="E105" s="85" t="s">
        <v>1116</v>
      </c>
      <c r="F105" s="86" t="s">
        <v>991</v>
      </c>
      <c r="G105" s="86" t="s">
        <v>762</v>
      </c>
      <c r="H105" s="86">
        <v>2</v>
      </c>
      <c r="I105" s="88">
        <f>IF(COUNTIF(J105:AW105,"&lt;&gt;")=0,"",SUMPRODUCT(((Recommendations[ImplStatus]="Implemented")+(Recommendations[ImplStatus]="Compensated"))*ISNUMBER(MATCH(Recommendations[Id],J105:AW105,0)))/COUNTIF(J105:AW105,"&lt;&gt;"))</f>
        <v>0</v>
      </c>
      <c r="J105" s="90" t="s">
        <v>62</v>
      </c>
      <c r="K105" s="90" t="s">
        <v>67</v>
      </c>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1107</v>
      </c>
      <c r="B106" s="81" t="s">
        <v>1117</v>
      </c>
      <c r="C106" s="83" t="s">
        <v>1118</v>
      </c>
      <c r="D106" s="85" t="s">
        <v>1119</v>
      </c>
      <c r="E106" s="85" t="s">
        <v>1120</v>
      </c>
      <c r="F106" s="86" t="s">
        <v>991</v>
      </c>
      <c r="G106" s="86" t="s">
        <v>762</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1107</v>
      </c>
      <c r="B107" s="81" t="s">
        <v>1121</v>
      </c>
      <c r="C107" s="83" t="s">
        <v>1122</v>
      </c>
      <c r="D107" s="85" t="s">
        <v>1123</v>
      </c>
      <c r="E107" s="85" t="s">
        <v>1124</v>
      </c>
      <c r="F107" s="86" t="s">
        <v>837</v>
      </c>
      <c r="G107" s="86" t="s">
        <v>778</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1107</v>
      </c>
      <c r="B108" s="81" t="s">
        <v>1125</v>
      </c>
      <c r="C108" s="83" t="s">
        <v>1126</v>
      </c>
      <c r="D108" s="85" t="s">
        <v>1127</v>
      </c>
      <c r="E108" s="85" t="s">
        <v>1128</v>
      </c>
      <c r="F108" s="86" t="s">
        <v>991</v>
      </c>
      <c r="G108" s="86" t="s">
        <v>762</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1107</v>
      </c>
      <c r="B109" s="81" t="s">
        <v>1129</v>
      </c>
      <c r="C109" s="83" t="s">
        <v>1130</v>
      </c>
      <c r="D109" s="85" t="s">
        <v>1131</v>
      </c>
      <c r="E109" s="85" t="s">
        <v>1132</v>
      </c>
      <c r="F109" s="86" t="s">
        <v>991</v>
      </c>
      <c r="G109" s="86" t="s">
        <v>762</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1107</v>
      </c>
      <c r="B110" s="81" t="s">
        <v>1133</v>
      </c>
      <c r="C110" s="83" t="s">
        <v>1134</v>
      </c>
      <c r="D110" s="85" t="s">
        <v>1135</v>
      </c>
      <c r="E110" s="85" t="s">
        <v>1136</v>
      </c>
      <c r="F110" s="86" t="s">
        <v>719</v>
      </c>
      <c r="G110" s="86" t="s">
        <v>762</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1107</v>
      </c>
      <c r="B111" s="81" t="s">
        <v>1137</v>
      </c>
      <c r="C111" s="83" t="s">
        <v>1138</v>
      </c>
      <c r="D111" s="85" t="s">
        <v>1139</v>
      </c>
      <c r="E111" s="85" t="s">
        <v>1140</v>
      </c>
      <c r="F111" s="86" t="s">
        <v>719</v>
      </c>
      <c r="G111" s="86" t="s">
        <v>762</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1141</v>
      </c>
      <c r="B112" s="80">
        <v>13</v>
      </c>
      <c r="C112" s="82" t="s">
        <v>19</v>
      </c>
      <c r="D112" s="84" t="s">
        <v>1142</v>
      </c>
      <c r="E112" s="84" t="s">
        <v>19</v>
      </c>
      <c r="F112" s="80" t="s">
        <v>19</v>
      </c>
      <c r="G112" s="80" t="s">
        <v>19</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1141</v>
      </c>
      <c r="B113" s="81" t="s">
        <v>1143</v>
      </c>
      <c r="C113" s="83" t="s">
        <v>1144</v>
      </c>
      <c r="D113" s="85" t="s">
        <v>1145</v>
      </c>
      <c r="E113" s="85" t="s">
        <v>1146</v>
      </c>
      <c r="F113" s="86" t="s">
        <v>991</v>
      </c>
      <c r="G113" s="86" t="s">
        <v>730</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1141</v>
      </c>
      <c r="B114" s="81" t="s">
        <v>1147</v>
      </c>
      <c r="C114" s="83" t="s">
        <v>1148</v>
      </c>
      <c r="D114" s="85" t="s">
        <v>1149</v>
      </c>
      <c r="E114" s="85" t="s">
        <v>1150</v>
      </c>
      <c r="F114" s="86" t="s">
        <v>719</v>
      </c>
      <c r="G114" s="86" t="s">
        <v>730</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1141</v>
      </c>
      <c r="B115" s="81" t="s">
        <v>1151</v>
      </c>
      <c r="C115" s="83" t="s">
        <v>1152</v>
      </c>
      <c r="D115" s="85" t="s">
        <v>1153</v>
      </c>
      <c r="E115" s="85" t="s">
        <v>1154</v>
      </c>
      <c r="F115" s="86" t="s">
        <v>991</v>
      </c>
      <c r="G115" s="86" t="s">
        <v>730</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1141</v>
      </c>
      <c r="B116" s="81" t="s">
        <v>1155</v>
      </c>
      <c r="C116" s="83" t="s">
        <v>1156</v>
      </c>
      <c r="D116" s="85" t="s">
        <v>1157</v>
      </c>
      <c r="E116" s="85" t="s">
        <v>1158</v>
      </c>
      <c r="F116" s="86" t="s">
        <v>991</v>
      </c>
      <c r="G116" s="86" t="s">
        <v>762</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1141</v>
      </c>
      <c r="B117" s="81" t="s">
        <v>1159</v>
      </c>
      <c r="C117" s="83" t="s">
        <v>1160</v>
      </c>
      <c r="D117" s="85" t="s">
        <v>1161</v>
      </c>
      <c r="E117" s="85" t="s">
        <v>1162</v>
      </c>
      <c r="F117" s="86" t="s">
        <v>719</v>
      </c>
      <c r="G117" s="86" t="s">
        <v>762</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1141</v>
      </c>
      <c r="B118" s="81" t="s">
        <v>1163</v>
      </c>
      <c r="C118" s="83" t="s">
        <v>1164</v>
      </c>
      <c r="D118" s="85" t="s">
        <v>1165</v>
      </c>
      <c r="E118" s="85" t="s">
        <v>1166</v>
      </c>
      <c r="F118" s="86" t="s">
        <v>991</v>
      </c>
      <c r="G118" s="86" t="s">
        <v>730</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1141</v>
      </c>
      <c r="B119" s="81" t="s">
        <v>1167</v>
      </c>
      <c r="C119" s="83" t="s">
        <v>1168</v>
      </c>
      <c r="D119" s="85" t="s">
        <v>1169</v>
      </c>
      <c r="E119" s="85" t="s">
        <v>1170</v>
      </c>
      <c r="F119" s="86" t="s">
        <v>719</v>
      </c>
      <c r="G119" s="86" t="s">
        <v>762</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1141</v>
      </c>
      <c r="B120" s="81" t="s">
        <v>1171</v>
      </c>
      <c r="C120" s="83" t="s">
        <v>1172</v>
      </c>
      <c r="D120" s="85" t="s">
        <v>1173</v>
      </c>
      <c r="E120" s="85" t="s">
        <v>1174</v>
      </c>
      <c r="F120" s="86" t="s">
        <v>991</v>
      </c>
      <c r="G120" s="86" t="s">
        <v>762</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1141</v>
      </c>
      <c r="B121" s="81" t="s">
        <v>1175</v>
      </c>
      <c r="C121" s="83" t="s">
        <v>1176</v>
      </c>
      <c r="D121" s="85" t="s">
        <v>1177</v>
      </c>
      <c r="E121" s="85" t="s">
        <v>1178</v>
      </c>
      <c r="F121" s="86" t="s">
        <v>991</v>
      </c>
      <c r="G121" s="86" t="s">
        <v>762</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1141</v>
      </c>
      <c r="B122" s="81" t="s">
        <v>1179</v>
      </c>
      <c r="C122" s="83" t="s">
        <v>1180</v>
      </c>
      <c r="D122" s="85" t="s">
        <v>1181</v>
      </c>
      <c r="E122" s="85" t="s">
        <v>1182</v>
      </c>
      <c r="F122" s="86" t="s">
        <v>991</v>
      </c>
      <c r="G122" s="86" t="s">
        <v>762</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1141</v>
      </c>
      <c r="B123" s="81" t="s">
        <v>1183</v>
      </c>
      <c r="C123" s="83" t="s">
        <v>1184</v>
      </c>
      <c r="D123" s="85" t="s">
        <v>1185</v>
      </c>
      <c r="E123" s="85" t="s">
        <v>1186</v>
      </c>
      <c r="F123" s="86" t="s">
        <v>991</v>
      </c>
      <c r="G123" s="86" t="s">
        <v>730</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1187</v>
      </c>
      <c r="B124" s="80">
        <v>14</v>
      </c>
      <c r="C124" s="82" t="s">
        <v>19</v>
      </c>
      <c r="D124" s="84" t="s">
        <v>1188</v>
      </c>
      <c r="E124" s="84" t="s">
        <v>19</v>
      </c>
      <c r="F124" s="80" t="s">
        <v>19</v>
      </c>
      <c r="G124" s="80" t="s">
        <v>19</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1187</v>
      </c>
      <c r="B125" s="81" t="s">
        <v>1189</v>
      </c>
      <c r="C125" s="83" t="s">
        <v>1190</v>
      </c>
      <c r="D125" s="85" t="s">
        <v>1191</v>
      </c>
      <c r="E125" s="85" t="s">
        <v>1192</v>
      </c>
      <c r="F125" s="86" t="s">
        <v>837</v>
      </c>
      <c r="G125" s="86" t="s">
        <v>778</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1187</v>
      </c>
      <c r="B126" s="81" t="s">
        <v>1193</v>
      </c>
      <c r="C126" s="83" t="s">
        <v>1194</v>
      </c>
      <c r="D126" s="85" t="s">
        <v>1195</v>
      </c>
      <c r="E126" s="85" t="s">
        <v>1196</v>
      </c>
      <c r="F126" s="86" t="s">
        <v>862</v>
      </c>
      <c r="G126" s="86" t="s">
        <v>762</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1187</v>
      </c>
      <c r="B127" s="81" t="s">
        <v>1197</v>
      </c>
      <c r="C127" s="83" t="s">
        <v>1198</v>
      </c>
      <c r="D127" s="85" t="s">
        <v>1199</v>
      </c>
      <c r="E127" s="85" t="s">
        <v>1200</v>
      </c>
      <c r="F127" s="86" t="s">
        <v>862</v>
      </c>
      <c r="G127" s="86" t="s">
        <v>762</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1187</v>
      </c>
      <c r="B128" s="81" t="s">
        <v>1201</v>
      </c>
      <c r="C128" s="83" t="s">
        <v>1202</v>
      </c>
      <c r="D128" s="85" t="s">
        <v>1203</v>
      </c>
      <c r="E128" s="85" t="s">
        <v>1204</v>
      </c>
      <c r="F128" s="86" t="s">
        <v>862</v>
      </c>
      <c r="G128" s="86" t="s">
        <v>762</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1187</v>
      </c>
      <c r="B129" s="81" t="s">
        <v>1205</v>
      </c>
      <c r="C129" s="83" t="s">
        <v>1206</v>
      </c>
      <c r="D129" s="85" t="s">
        <v>1207</v>
      </c>
      <c r="E129" s="85" t="s">
        <v>1208</v>
      </c>
      <c r="F129" s="86" t="s">
        <v>862</v>
      </c>
      <c r="G129" s="86" t="s">
        <v>762</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1187</v>
      </c>
      <c r="B130" s="81" t="s">
        <v>1209</v>
      </c>
      <c r="C130" s="83" t="s">
        <v>1210</v>
      </c>
      <c r="D130" s="85" t="s">
        <v>1211</v>
      </c>
      <c r="E130" s="85" t="s">
        <v>1212</v>
      </c>
      <c r="F130" s="86" t="s">
        <v>862</v>
      </c>
      <c r="G130" s="86" t="s">
        <v>762</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1187</v>
      </c>
      <c r="B131" s="81" t="s">
        <v>1213</v>
      </c>
      <c r="C131" s="83" t="s">
        <v>1214</v>
      </c>
      <c r="D131" s="85" t="s">
        <v>1215</v>
      </c>
      <c r="E131" s="85" t="s">
        <v>1216</v>
      </c>
      <c r="F131" s="86" t="s">
        <v>862</v>
      </c>
      <c r="G131" s="86" t="s">
        <v>762</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1187</v>
      </c>
      <c r="B132" s="81" t="s">
        <v>1217</v>
      </c>
      <c r="C132" s="83" t="s">
        <v>1218</v>
      </c>
      <c r="D132" s="85" t="s">
        <v>1219</v>
      </c>
      <c r="E132" s="85" t="s">
        <v>1220</v>
      </c>
      <c r="F132" s="86" t="s">
        <v>862</v>
      </c>
      <c r="G132" s="86" t="s">
        <v>762</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1187</v>
      </c>
      <c r="B133" s="81" t="s">
        <v>1221</v>
      </c>
      <c r="C133" s="83" t="s">
        <v>1222</v>
      </c>
      <c r="D133" s="85" t="s">
        <v>1223</v>
      </c>
      <c r="E133" s="85" t="s">
        <v>1224</v>
      </c>
      <c r="F133" s="86" t="s">
        <v>862</v>
      </c>
      <c r="G133" s="86" t="s">
        <v>762</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1225</v>
      </c>
      <c r="B134" s="80">
        <v>15</v>
      </c>
      <c r="C134" s="82" t="s">
        <v>19</v>
      </c>
      <c r="D134" s="84" t="s">
        <v>1226</v>
      </c>
      <c r="E134" s="84" t="s">
        <v>19</v>
      </c>
      <c r="F134" s="80" t="s">
        <v>19</v>
      </c>
      <c r="G134" s="80" t="s">
        <v>19</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1225</v>
      </c>
      <c r="B135" s="81" t="s">
        <v>1227</v>
      </c>
      <c r="C135" s="83" t="s">
        <v>1228</v>
      </c>
      <c r="D135" s="85" t="s">
        <v>1229</v>
      </c>
      <c r="E135" s="85" t="s">
        <v>1230</v>
      </c>
      <c r="F135" s="86" t="s">
        <v>862</v>
      </c>
      <c r="G135" s="86" t="s">
        <v>720</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1225</v>
      </c>
      <c r="B136" s="81" t="s">
        <v>1231</v>
      </c>
      <c r="C136" s="83" t="s">
        <v>1232</v>
      </c>
      <c r="D136" s="85" t="s">
        <v>1233</v>
      </c>
      <c r="E136" s="85" t="s">
        <v>1234</v>
      </c>
      <c r="F136" s="86" t="s">
        <v>837</v>
      </c>
      <c r="G136" s="86" t="s">
        <v>778</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1225</v>
      </c>
      <c r="B137" s="81" t="s">
        <v>1235</v>
      </c>
      <c r="C137" s="83" t="s">
        <v>1236</v>
      </c>
      <c r="D137" s="85" t="s">
        <v>1237</v>
      </c>
      <c r="E137" s="85" t="s">
        <v>1238</v>
      </c>
      <c r="F137" s="86" t="s">
        <v>862</v>
      </c>
      <c r="G137" s="86" t="s">
        <v>778</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1225</v>
      </c>
      <c r="B138" s="81" t="s">
        <v>1239</v>
      </c>
      <c r="C138" s="83" t="s">
        <v>1240</v>
      </c>
      <c r="D138" s="85" t="s">
        <v>1241</v>
      </c>
      <c r="E138" s="85" t="s">
        <v>1242</v>
      </c>
      <c r="F138" s="86" t="s">
        <v>837</v>
      </c>
      <c r="G138" s="86" t="s">
        <v>778</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1225</v>
      </c>
      <c r="B139" s="81" t="s">
        <v>1243</v>
      </c>
      <c r="C139" s="83" t="s">
        <v>1244</v>
      </c>
      <c r="D139" s="85" t="s">
        <v>1245</v>
      </c>
      <c r="E139" s="85" t="s">
        <v>1246</v>
      </c>
      <c r="F139" s="86" t="s">
        <v>862</v>
      </c>
      <c r="G139" s="86" t="s">
        <v>778</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1225</v>
      </c>
      <c r="B140" s="81" t="s">
        <v>1247</v>
      </c>
      <c r="C140" s="83" t="s">
        <v>1248</v>
      </c>
      <c r="D140" s="85" t="s">
        <v>1249</v>
      </c>
      <c r="E140" s="85" t="s">
        <v>1250</v>
      </c>
      <c r="F140" s="86" t="s">
        <v>777</v>
      </c>
      <c r="G140" s="86" t="s">
        <v>778</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1225</v>
      </c>
      <c r="B141" s="81" t="s">
        <v>1251</v>
      </c>
      <c r="C141" s="83" t="s">
        <v>1252</v>
      </c>
      <c r="D141" s="85" t="s">
        <v>1253</v>
      </c>
      <c r="E141" s="85" t="s">
        <v>1254</v>
      </c>
      <c r="F141" s="86" t="s">
        <v>777</v>
      </c>
      <c r="G141" s="86" t="s">
        <v>762</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1255</v>
      </c>
      <c r="B142" s="80">
        <v>16</v>
      </c>
      <c r="C142" s="82" t="s">
        <v>19</v>
      </c>
      <c r="D142" s="84" t="s">
        <v>1256</v>
      </c>
      <c r="E142" s="84" t="s">
        <v>19</v>
      </c>
      <c r="F142" s="80" t="s">
        <v>19</v>
      </c>
      <c r="G142" s="80" t="s">
        <v>19</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1255</v>
      </c>
      <c r="B143" s="81" t="s">
        <v>1257</v>
      </c>
      <c r="C143" s="83" t="s">
        <v>1258</v>
      </c>
      <c r="D143" s="85" t="s">
        <v>1259</v>
      </c>
      <c r="E143" s="85" t="s">
        <v>1260</v>
      </c>
      <c r="F143" s="86" t="s">
        <v>837</v>
      </c>
      <c r="G143" s="86" t="s">
        <v>778</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1255</v>
      </c>
      <c r="B144" s="81" t="s">
        <v>1261</v>
      </c>
      <c r="C144" s="83" t="s">
        <v>1262</v>
      </c>
      <c r="D144" s="85" t="s">
        <v>1263</v>
      </c>
      <c r="E144" s="85" t="s">
        <v>1264</v>
      </c>
      <c r="F144" s="86" t="s">
        <v>837</v>
      </c>
      <c r="G144" s="86" t="s">
        <v>778</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1255</v>
      </c>
      <c r="B145" s="81" t="s">
        <v>1265</v>
      </c>
      <c r="C145" s="83" t="s">
        <v>1266</v>
      </c>
      <c r="D145" s="85" t="s">
        <v>1267</v>
      </c>
      <c r="E145" s="85" t="s">
        <v>1268</v>
      </c>
      <c r="F145" s="86" t="s">
        <v>745</v>
      </c>
      <c r="G145" s="86" t="s">
        <v>730</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1255</v>
      </c>
      <c r="B146" s="81" t="s">
        <v>1269</v>
      </c>
      <c r="C146" s="83" t="s">
        <v>1270</v>
      </c>
      <c r="D146" s="85" t="s">
        <v>1271</v>
      </c>
      <c r="E146" s="85" t="s">
        <v>1272</v>
      </c>
      <c r="F146" s="86" t="s">
        <v>745</v>
      </c>
      <c r="G146" s="86" t="s">
        <v>720</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1255</v>
      </c>
      <c r="B147" s="81" t="s">
        <v>1273</v>
      </c>
      <c r="C147" s="83" t="s">
        <v>1274</v>
      </c>
      <c r="D147" s="85" t="s">
        <v>1275</v>
      </c>
      <c r="E147" s="85" t="s">
        <v>1276</v>
      </c>
      <c r="F147" s="86" t="s">
        <v>745</v>
      </c>
      <c r="G147" s="86" t="s">
        <v>762</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1255</v>
      </c>
      <c r="B148" s="81" t="s">
        <v>1277</v>
      </c>
      <c r="C148" s="83" t="s">
        <v>1278</v>
      </c>
      <c r="D148" s="85" t="s">
        <v>1279</v>
      </c>
      <c r="E148" s="85" t="s">
        <v>1280</v>
      </c>
      <c r="F148" s="86" t="s">
        <v>837</v>
      </c>
      <c r="G148" s="86" t="s">
        <v>778</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1255</v>
      </c>
      <c r="B149" s="81" t="s">
        <v>1281</v>
      </c>
      <c r="C149" s="83" t="s">
        <v>1282</v>
      </c>
      <c r="D149" s="85" t="s">
        <v>1283</v>
      </c>
      <c r="E149" s="85" t="s">
        <v>1284</v>
      </c>
      <c r="F149" s="86" t="s">
        <v>745</v>
      </c>
      <c r="G149" s="86" t="s">
        <v>762</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1255</v>
      </c>
      <c r="B150" s="81" t="s">
        <v>1285</v>
      </c>
      <c r="C150" s="83" t="s">
        <v>1286</v>
      </c>
      <c r="D150" s="85" t="s">
        <v>1287</v>
      </c>
      <c r="E150" s="85" t="s">
        <v>1288</v>
      </c>
      <c r="F150" s="86" t="s">
        <v>991</v>
      </c>
      <c r="G150" s="86" t="s">
        <v>762</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1255</v>
      </c>
      <c r="B151" s="81" t="s">
        <v>1289</v>
      </c>
      <c r="C151" s="83" t="s">
        <v>1290</v>
      </c>
      <c r="D151" s="85" t="s">
        <v>1291</v>
      </c>
      <c r="E151" s="85" t="s">
        <v>1292</v>
      </c>
      <c r="F151" s="86" t="s">
        <v>862</v>
      </c>
      <c r="G151" s="86" t="s">
        <v>762</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1255</v>
      </c>
      <c r="B152" s="81" t="s">
        <v>1293</v>
      </c>
      <c r="C152" s="83" t="s">
        <v>1294</v>
      </c>
      <c r="D152" s="85" t="s">
        <v>1295</v>
      </c>
      <c r="E152" s="85" t="s">
        <v>1296</v>
      </c>
      <c r="F152" s="86" t="s">
        <v>745</v>
      </c>
      <c r="G152" s="86" t="s">
        <v>762</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1255</v>
      </c>
      <c r="B153" s="81" t="s">
        <v>1297</v>
      </c>
      <c r="C153" s="83" t="s">
        <v>1298</v>
      </c>
      <c r="D153" s="85" t="s">
        <v>1299</v>
      </c>
      <c r="E153" s="85" t="s">
        <v>1300</v>
      </c>
      <c r="F153" s="86" t="s">
        <v>745</v>
      </c>
      <c r="G153" s="86" t="s">
        <v>762</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1255</v>
      </c>
      <c r="B154" s="81" t="s">
        <v>1301</v>
      </c>
      <c r="C154" s="83" t="s">
        <v>1302</v>
      </c>
      <c r="D154" s="85" t="s">
        <v>1303</v>
      </c>
      <c r="E154" s="85" t="s">
        <v>1304</v>
      </c>
      <c r="F154" s="86" t="s">
        <v>745</v>
      </c>
      <c r="G154" s="86" t="s">
        <v>762</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1255</v>
      </c>
      <c r="B155" s="81" t="s">
        <v>1305</v>
      </c>
      <c r="C155" s="83" t="s">
        <v>1306</v>
      </c>
      <c r="D155" s="85" t="s">
        <v>1307</v>
      </c>
      <c r="E155" s="85" t="s">
        <v>1308</v>
      </c>
      <c r="F155" s="86" t="s">
        <v>745</v>
      </c>
      <c r="G155" s="86" t="s">
        <v>730</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1255</v>
      </c>
      <c r="B156" s="81" t="s">
        <v>1309</v>
      </c>
      <c r="C156" s="83" t="s">
        <v>1310</v>
      </c>
      <c r="D156" s="85" t="s">
        <v>1311</v>
      </c>
      <c r="E156" s="85" t="s">
        <v>1312</v>
      </c>
      <c r="F156" s="86" t="s">
        <v>745</v>
      </c>
      <c r="G156" s="86" t="s">
        <v>762</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1313</v>
      </c>
      <c r="B157" s="80">
        <v>17</v>
      </c>
      <c r="C157" s="82" t="s">
        <v>19</v>
      </c>
      <c r="D157" s="84" t="s">
        <v>1314</v>
      </c>
      <c r="E157" s="84" t="s">
        <v>19</v>
      </c>
      <c r="F157" s="80" t="s">
        <v>19</v>
      </c>
      <c r="G157" s="80" t="s">
        <v>19</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1313</v>
      </c>
      <c r="B158" s="81" t="s">
        <v>1315</v>
      </c>
      <c r="C158" s="83" t="s">
        <v>1316</v>
      </c>
      <c r="D158" s="85" t="s">
        <v>1317</v>
      </c>
      <c r="E158" s="85" t="s">
        <v>1318</v>
      </c>
      <c r="F158" s="86" t="s">
        <v>862</v>
      </c>
      <c r="G158" s="86" t="s">
        <v>725</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1313</v>
      </c>
      <c r="B159" s="81" t="s">
        <v>1319</v>
      </c>
      <c r="C159" s="83" t="s">
        <v>1320</v>
      </c>
      <c r="D159" s="85" t="s">
        <v>1321</v>
      </c>
      <c r="E159" s="85" t="s">
        <v>1322</v>
      </c>
      <c r="F159" s="86" t="s">
        <v>837</v>
      </c>
      <c r="G159" s="86" t="s">
        <v>778</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1313</v>
      </c>
      <c r="B160" s="81" t="s">
        <v>1323</v>
      </c>
      <c r="C160" s="83" t="s">
        <v>1324</v>
      </c>
      <c r="D160" s="85" t="s">
        <v>1325</v>
      </c>
      <c r="E160" s="85" t="s">
        <v>1326</v>
      </c>
      <c r="F160" s="86" t="s">
        <v>837</v>
      </c>
      <c r="G160" s="86" t="s">
        <v>778</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1313</v>
      </c>
      <c r="B161" s="81" t="s">
        <v>1327</v>
      </c>
      <c r="C161" s="83" t="s">
        <v>1328</v>
      </c>
      <c r="D161" s="85" t="s">
        <v>1329</v>
      </c>
      <c r="E161" s="85" t="s">
        <v>1330</v>
      </c>
      <c r="F161" s="86" t="s">
        <v>837</v>
      </c>
      <c r="G161" s="86" t="s">
        <v>778</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1313</v>
      </c>
      <c r="B162" s="81" t="s">
        <v>1331</v>
      </c>
      <c r="C162" s="83" t="s">
        <v>1332</v>
      </c>
      <c r="D162" s="85" t="s">
        <v>1333</v>
      </c>
      <c r="E162" s="85" t="s">
        <v>1334</v>
      </c>
      <c r="F162" s="86" t="s">
        <v>862</v>
      </c>
      <c r="G162" s="86" t="s">
        <v>725</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1313</v>
      </c>
      <c r="B163" s="81" t="s">
        <v>1335</v>
      </c>
      <c r="C163" s="83" t="s">
        <v>1336</v>
      </c>
      <c r="D163" s="85" t="s">
        <v>1337</v>
      </c>
      <c r="E163" s="85" t="s">
        <v>1338</v>
      </c>
      <c r="F163" s="86" t="s">
        <v>862</v>
      </c>
      <c r="G163" s="86" t="s">
        <v>725</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1313</v>
      </c>
      <c r="B164" s="81" t="s">
        <v>1339</v>
      </c>
      <c r="C164" s="83" t="s">
        <v>1340</v>
      </c>
      <c r="D164" s="85" t="s">
        <v>1341</v>
      </c>
      <c r="E164" s="85" t="s">
        <v>1342</v>
      </c>
      <c r="F164" s="86" t="s">
        <v>862</v>
      </c>
      <c r="G164" s="86" t="s">
        <v>1094</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1313</v>
      </c>
      <c r="B165" s="81" t="s">
        <v>1343</v>
      </c>
      <c r="C165" s="83" t="s">
        <v>1344</v>
      </c>
      <c r="D165" s="85" t="s">
        <v>1345</v>
      </c>
      <c r="E165" s="85" t="s">
        <v>1346</v>
      </c>
      <c r="F165" s="86" t="s">
        <v>862</v>
      </c>
      <c r="G165" s="86" t="s">
        <v>1094</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1313</v>
      </c>
      <c r="B166" s="81" t="s">
        <v>1347</v>
      </c>
      <c r="C166" s="83" t="s">
        <v>1348</v>
      </c>
      <c r="D166" s="85" t="s">
        <v>1349</v>
      </c>
      <c r="E166" s="85" t="s">
        <v>1350</v>
      </c>
      <c r="F166" s="86" t="s">
        <v>837</v>
      </c>
      <c r="G166" s="86" t="s">
        <v>1094</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1351</v>
      </c>
      <c r="B167" s="80">
        <v>18</v>
      </c>
      <c r="C167" s="82" t="s">
        <v>19</v>
      </c>
      <c r="D167" s="84" t="s">
        <v>1352</v>
      </c>
      <c r="E167" s="84" t="s">
        <v>19</v>
      </c>
      <c r="F167" s="80" t="s">
        <v>19</v>
      </c>
      <c r="G167" s="80" t="s">
        <v>19</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1351</v>
      </c>
      <c r="B168" s="81" t="s">
        <v>1353</v>
      </c>
      <c r="C168" s="83" t="s">
        <v>1354</v>
      </c>
      <c r="D168" s="85" t="s">
        <v>1355</v>
      </c>
      <c r="E168" s="85" t="s">
        <v>1356</v>
      </c>
      <c r="F168" s="86" t="s">
        <v>837</v>
      </c>
      <c r="G168" s="86" t="s">
        <v>778</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1351</v>
      </c>
      <c r="B169" s="81" t="s">
        <v>1357</v>
      </c>
      <c r="C169" s="83" t="s">
        <v>1358</v>
      </c>
      <c r="D169" s="85" t="s">
        <v>1359</v>
      </c>
      <c r="E169" s="85" t="s">
        <v>1360</v>
      </c>
      <c r="F169" s="86" t="s">
        <v>991</v>
      </c>
      <c r="G169" s="86" t="s">
        <v>730</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1351</v>
      </c>
      <c r="B170" s="81" t="s">
        <v>1361</v>
      </c>
      <c r="C170" s="83" t="s">
        <v>1362</v>
      </c>
      <c r="D170" s="85" t="s">
        <v>1363</v>
      </c>
      <c r="E170" s="85" t="s">
        <v>1364</v>
      </c>
      <c r="F170" s="86" t="s">
        <v>991</v>
      </c>
      <c r="G170" s="86" t="s">
        <v>762</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1351</v>
      </c>
      <c r="B171" s="81" t="s">
        <v>1365</v>
      </c>
      <c r="C171" s="83" t="s">
        <v>1366</v>
      </c>
      <c r="D171" s="85" t="s">
        <v>1367</v>
      </c>
      <c r="E171" s="85" t="s">
        <v>1368</v>
      </c>
      <c r="F171" s="86" t="s">
        <v>991</v>
      </c>
      <c r="G171" s="86" t="s">
        <v>762</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1351</v>
      </c>
      <c r="B172" s="91" t="s">
        <v>1369</v>
      </c>
      <c r="C172" s="92" t="s">
        <v>1370</v>
      </c>
      <c r="D172" s="93" t="s">
        <v>1371</v>
      </c>
      <c r="E172" s="93" t="s">
        <v>1372</v>
      </c>
      <c r="F172" s="94" t="s">
        <v>991</v>
      </c>
      <c r="G172" s="94" t="s">
        <v>730</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65" t="s">
        <v>430</v>
      </c>
      <c r="B176" s="265"/>
      <c r="C176" s="265"/>
      <c r="D176" s="265"/>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IFERROR(INDEX('Recommendations'!$G$2:$G$84, MATCH(J2,'Recommendations'!$A$2:$A$84,0))="Implemented", FALSE))</xm:f>
            <x14:dxf>
              <font>
                <color rgb="FF000000"/>
              </font>
              <fill>
                <patternFill>
                  <bgColor rgb="FF3C7D22"/>
                </patternFill>
              </fill>
            </x14:dxf>
          </x14:cfRule>
          <x14:cfRule type="expression" priority="2" id="{00000000-000E-0000-0400-000002000000}">
            <xm:f>AND(J2&lt;&gt;"", IFERROR(INDEX('Recommendations'!$G$2:$G$84, MATCH(J2,'Recommendations'!$A$2:$A$84,0))="Compensated", FALSE))</xm:f>
            <x14:dxf>
              <font>
                <color rgb="FF000000"/>
              </font>
              <fill>
                <patternFill>
                  <bgColor rgb="FFC6E0B4"/>
                </patternFill>
              </fill>
            </x14:dxf>
          </x14:cfRule>
          <x14:cfRule type="expression" priority="3" id="{00000000-000E-0000-0400-000003000000}">
            <xm:f>AND(J2&lt;&gt;"", IFERROR(INDEX('Recommendations'!$G$2:$G$84, MATCH(J2,'Recommendations'!$A$2:$A$84,0))="Testing", FALSE))</xm:f>
            <x14:dxf>
              <font>
                <color rgb="FF000000"/>
              </font>
              <fill>
                <patternFill>
                  <bgColor rgb="FFFFC000"/>
                </patternFill>
              </fill>
            </x14:dxf>
          </x14:cfRule>
          <x14:cfRule type="expression" priority="4" id="{00000000-000E-0000-0400-000004000000}">
            <xm:f>AND(J2&lt;&gt;"", IFERROR(INDEX('Recommendations'!$G$2:$G$84, MATCH(J2,'Recommendations'!$A$2:$A$84,0))="Failed", FALSE))</xm:f>
            <x14:dxf>
              <font>
                <color rgb="FF000000"/>
              </font>
              <fill>
                <patternFill>
                  <bgColor rgb="FFD82891"/>
                </patternFill>
              </fill>
            </x14:dxf>
          </x14:cfRule>
          <x14:cfRule type="expression" priority="5" id="{00000000-000E-0000-0400-000005000000}">
            <xm:f>AND(J2&lt;&gt;"", IFERROR(INDEX('Recommendations'!$G$2:$G$84, MATCH(J2,'Recommendations'!$A$2:$A$84,0))="Risk Accepted", FALSE))</xm:f>
            <x14:dxf>
              <font>
                <color rgb="FF000000"/>
              </font>
              <fill>
                <patternFill>
                  <bgColor rgb="FFD9D9D9"/>
                </patternFill>
              </fill>
            </x14:dxf>
          </x14:cfRule>
          <x14:cfRule type="expression" priority="6" id="{00000000-000E-0000-0400-000006000000}">
            <xm:f>AND(J2&lt;&gt;"", IFERROR(INDEX('Recommendations'!$G$2:$G$84, MATCH(J2,'Recommendations'!$A$2:$A$84,0))="N/A",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0</v>
      </c>
      <c r="B1" s="121" t="s">
        <v>1373</v>
      </c>
      <c r="C1" s="121" t="s">
        <v>9</v>
      </c>
      <c r="D1" s="121" t="s">
        <v>578</v>
      </c>
      <c r="E1" s="121" t="s">
        <v>1374</v>
      </c>
      <c r="F1" s="121" t="s">
        <v>1375</v>
      </c>
      <c r="G1" s="121" t="s">
        <v>672</v>
      </c>
      <c r="H1" s="121" t="s">
        <v>673</v>
      </c>
      <c r="I1" s="121" t="s">
        <v>674</v>
      </c>
      <c r="J1" s="121" t="s">
        <v>675</v>
      </c>
      <c r="K1" s="121" t="s">
        <v>676</v>
      </c>
      <c r="L1" s="121" t="s">
        <v>677</v>
      </c>
      <c r="M1" s="121" t="s">
        <v>678</v>
      </c>
      <c r="N1" s="121" t="s">
        <v>679</v>
      </c>
      <c r="O1" s="121" t="s">
        <v>680</v>
      </c>
      <c r="P1" s="121" t="s">
        <v>681</v>
      </c>
      <c r="Q1" s="121" t="s">
        <v>682</v>
      </c>
      <c r="R1" s="121" t="s">
        <v>683</v>
      </c>
      <c r="S1" s="121" t="s">
        <v>684</v>
      </c>
      <c r="T1" s="121" t="s">
        <v>685</v>
      </c>
      <c r="U1" s="121" t="s">
        <v>686</v>
      </c>
      <c r="V1" s="121" t="s">
        <v>687</v>
      </c>
      <c r="W1" s="121" t="s">
        <v>688</v>
      </c>
      <c r="X1" s="121" t="s">
        <v>689</v>
      </c>
      <c r="Y1" s="121" t="s">
        <v>690</v>
      </c>
      <c r="Z1" s="121" t="s">
        <v>691</v>
      </c>
      <c r="AA1" s="121" t="s">
        <v>692</v>
      </c>
      <c r="AB1" s="121" t="s">
        <v>693</v>
      </c>
      <c r="AC1" s="121" t="s">
        <v>694</v>
      </c>
      <c r="AD1" s="121" t="s">
        <v>695</v>
      </c>
      <c r="AE1" s="121" t="s">
        <v>696</v>
      </c>
      <c r="AF1" s="121" t="s">
        <v>697</v>
      </c>
      <c r="AG1" s="121" t="s">
        <v>698</v>
      </c>
      <c r="AH1" s="121" t="s">
        <v>699</v>
      </c>
      <c r="AI1" s="121" t="s">
        <v>700</v>
      </c>
      <c r="AJ1" s="121" t="s">
        <v>701</v>
      </c>
      <c r="AK1" s="121" t="s">
        <v>702</v>
      </c>
      <c r="AL1" s="121" t="s">
        <v>703</v>
      </c>
      <c r="AM1" s="121" t="s">
        <v>704</v>
      </c>
      <c r="AN1" s="121" t="s">
        <v>705</v>
      </c>
      <c r="AO1" s="121" t="s">
        <v>706</v>
      </c>
      <c r="AP1" s="121" t="s">
        <v>707</v>
      </c>
      <c r="AQ1" s="121" t="s">
        <v>708</v>
      </c>
      <c r="AR1" s="121" t="s">
        <v>709</v>
      </c>
      <c r="AS1" s="121" t="s">
        <v>710</v>
      </c>
      <c r="AT1" s="121" t="s">
        <v>711</v>
      </c>
      <c r="AU1" s="122" t="s">
        <v>712</v>
      </c>
    </row>
    <row r="2" spans="1:47" ht="60" customHeight="1" x14ac:dyDescent="0.35">
      <c r="A2" s="116" t="s">
        <v>1376</v>
      </c>
      <c r="B2" s="106" t="s">
        <v>1377</v>
      </c>
      <c r="C2" s="107" t="s">
        <v>1378</v>
      </c>
      <c r="D2" s="107" t="s">
        <v>1379</v>
      </c>
      <c r="E2" s="107" t="s">
        <v>1380</v>
      </c>
      <c r="F2" s="108" t="s">
        <v>1381</v>
      </c>
      <c r="G2" s="109" t="str">
        <f>IF(COUNTIF(H2:AU2,"&lt;&gt;")=0,"",SUMPRODUCT(((Recommendations[ImplStatus]="Implemented")+(Recommendations[ImplStatus]="Compensated"))*ISNUMBER(MATCH(Recommendations[Id],H2:AU2,0)))/COUNTIF(H2:AU2,"&lt;&gt;"))</f>
        <v/>
      </c>
      <c r="H2" s="110"/>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1382</v>
      </c>
      <c r="B3" s="106" t="s">
        <v>1383</v>
      </c>
      <c r="C3" s="107" t="s">
        <v>1384</v>
      </c>
      <c r="D3" s="107" t="s">
        <v>1385</v>
      </c>
      <c r="E3" s="107" t="s">
        <v>1386</v>
      </c>
      <c r="F3" s="108" t="s">
        <v>1387</v>
      </c>
      <c r="G3" s="109">
        <f>IF(COUNTIF(H3:AU3,"&lt;&gt;")=0,"",SUMPRODUCT(((Recommendations[ImplStatus]="Implemented")+(Recommendations[ImplStatus]="Compensated"))*ISNUMBER(MATCH(Recommendations[Id],H3:AU3,0)))/COUNTIF(H3:AU3,"&lt;&gt;"))</f>
        <v>0</v>
      </c>
      <c r="H3" s="110" t="s">
        <v>28</v>
      </c>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1388</v>
      </c>
      <c r="B4" s="106" t="s">
        <v>1389</v>
      </c>
      <c r="C4" s="107" t="s">
        <v>1390</v>
      </c>
      <c r="D4" s="107" t="s">
        <v>1391</v>
      </c>
      <c r="E4" s="107" t="s">
        <v>1392</v>
      </c>
      <c r="F4" s="108" t="s">
        <v>1393</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1394</v>
      </c>
      <c r="B5" s="106" t="s">
        <v>1395</v>
      </c>
      <c r="C5" s="107" t="s">
        <v>1396</v>
      </c>
      <c r="D5" s="107" t="s">
        <v>1397</v>
      </c>
      <c r="E5" s="107" t="s">
        <v>1398</v>
      </c>
      <c r="F5" s="108" t="s">
        <v>1399</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1400</v>
      </c>
      <c r="B6" s="106" t="s">
        <v>1401</v>
      </c>
      <c r="C6" s="107" t="s">
        <v>1402</v>
      </c>
      <c r="D6" s="107" t="s">
        <v>1403</v>
      </c>
      <c r="E6" s="107" t="s">
        <v>19</v>
      </c>
      <c r="F6" s="108" t="s">
        <v>1404</v>
      </c>
      <c r="G6" s="109">
        <f>IF(COUNTIF(H6:AU6,"&lt;&gt;")=0,"",SUMPRODUCT(((Recommendations[ImplStatus]="Implemented")+(Recommendations[ImplStatus]="Compensated"))*ISNUMBER(MATCH(Recommendations[Id],H6:AU6,0)))/COUNTIF(H6:AU6,"&lt;&gt;"))</f>
        <v>0</v>
      </c>
      <c r="H6" s="110" t="s">
        <v>225</v>
      </c>
      <c r="I6" s="110" t="s">
        <v>275</v>
      </c>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1405</v>
      </c>
      <c r="B7" s="106" t="s">
        <v>10</v>
      </c>
      <c r="C7" s="107" t="s">
        <v>1406</v>
      </c>
      <c r="D7" s="107" t="s">
        <v>1407</v>
      </c>
      <c r="E7" s="107" t="s">
        <v>19</v>
      </c>
      <c r="F7" s="108" t="s">
        <v>1408</v>
      </c>
      <c r="G7" s="109">
        <f>IF(COUNTIF(H7:AU7,"&lt;&gt;")=0,"",SUMPRODUCT(((Recommendations[ImplStatus]="Implemented")+(Recommendations[ImplStatus]="Compensated"))*ISNUMBER(MATCH(Recommendations[Id],H7:AU7,0)))/COUNTIF(H7:AU7,"&lt;&gt;"))</f>
        <v>0</v>
      </c>
      <c r="H7" s="110" t="s">
        <v>38</v>
      </c>
      <c r="I7" s="110" t="s">
        <v>43</v>
      </c>
      <c r="J7" s="110" t="s">
        <v>47</v>
      </c>
      <c r="K7" s="110" t="s">
        <v>51</v>
      </c>
      <c r="L7" s="110" t="s">
        <v>78</v>
      </c>
      <c r="M7" s="110" t="s">
        <v>83</v>
      </c>
      <c r="N7" s="110" t="s">
        <v>88</v>
      </c>
      <c r="O7" s="110" t="s">
        <v>107</v>
      </c>
      <c r="P7" s="110" t="s">
        <v>112</v>
      </c>
      <c r="Q7" s="110" t="s">
        <v>127</v>
      </c>
      <c r="R7" s="110" t="s">
        <v>157</v>
      </c>
      <c r="S7" s="110" t="s">
        <v>162</v>
      </c>
      <c r="T7" s="110" t="s">
        <v>167</v>
      </c>
      <c r="U7" s="110" t="s">
        <v>172</v>
      </c>
      <c r="V7" s="110" t="s">
        <v>280</v>
      </c>
      <c r="W7" s="110" t="s">
        <v>285</v>
      </c>
      <c r="X7" s="110" t="s">
        <v>365</v>
      </c>
      <c r="Y7" s="110" t="s">
        <v>370</v>
      </c>
      <c r="Z7" s="110" t="s">
        <v>375</v>
      </c>
      <c r="AA7" s="110" t="s">
        <v>380</v>
      </c>
      <c r="AB7" s="110" t="s">
        <v>385</v>
      </c>
      <c r="AC7" s="110" t="s">
        <v>390</v>
      </c>
      <c r="AD7" s="110" t="s">
        <v>400</v>
      </c>
      <c r="AE7" s="110"/>
      <c r="AF7" s="110"/>
      <c r="AG7" s="110"/>
      <c r="AH7" s="110"/>
      <c r="AI7" s="110"/>
      <c r="AJ7" s="110"/>
      <c r="AK7" s="110"/>
      <c r="AL7" s="110"/>
      <c r="AM7" s="110"/>
      <c r="AN7" s="110"/>
      <c r="AO7" s="110"/>
      <c r="AP7" s="110"/>
      <c r="AQ7" s="110"/>
      <c r="AR7" s="110"/>
      <c r="AS7" s="110"/>
      <c r="AT7" s="110"/>
      <c r="AU7" s="118"/>
    </row>
    <row r="8" spans="1:47" ht="60" customHeight="1" x14ac:dyDescent="0.35">
      <c r="A8" s="116" t="s">
        <v>1409</v>
      </c>
      <c r="B8" s="106" t="s">
        <v>1410</v>
      </c>
      <c r="C8" s="107" t="s">
        <v>1411</v>
      </c>
      <c r="D8" s="107" t="s">
        <v>1412</v>
      </c>
      <c r="E8" s="107" t="s">
        <v>19</v>
      </c>
      <c r="F8" s="108" t="s">
        <v>1413</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1414</v>
      </c>
      <c r="B9" s="106" t="s">
        <v>1415</v>
      </c>
      <c r="C9" s="107" t="s">
        <v>1416</v>
      </c>
      <c r="D9" s="107" t="s">
        <v>1417</v>
      </c>
      <c r="E9" s="107" t="s">
        <v>19</v>
      </c>
      <c r="F9" s="108" t="s">
        <v>1418</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1419</v>
      </c>
      <c r="B10" s="106" t="s">
        <v>1420</v>
      </c>
      <c r="C10" s="107" t="s">
        <v>1421</v>
      </c>
      <c r="D10" s="107" t="s">
        <v>1422</v>
      </c>
      <c r="E10" s="107" t="s">
        <v>19</v>
      </c>
      <c r="F10" s="108" t="s">
        <v>1423</v>
      </c>
      <c r="G10" s="109">
        <f>IF(COUNTIF(H10:AU10,"&lt;&gt;")=0,"",SUMPRODUCT(((Recommendations[ImplStatus]="Implemented")+(Recommendations[ImplStatus]="Compensated"))*ISNUMBER(MATCH(Recommendations[Id],H10:AU10,0)))/COUNTIF(H10:AU10,"&lt;&gt;"))</f>
        <v>0</v>
      </c>
      <c r="H10" s="110" t="s">
        <v>177</v>
      </c>
      <c r="I10" s="110" t="s">
        <v>295</v>
      </c>
      <c r="J10" s="110" t="s">
        <v>425</v>
      </c>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1424</v>
      </c>
      <c r="B11" s="106" t="s">
        <v>1425</v>
      </c>
      <c r="C11" s="107" t="s">
        <v>1426</v>
      </c>
      <c r="D11" s="107" t="s">
        <v>1427</v>
      </c>
      <c r="E11" s="107" t="s">
        <v>19</v>
      </c>
      <c r="F11" s="108" t="s">
        <v>1428</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1429</v>
      </c>
      <c r="B12" s="106" t="s">
        <v>1430</v>
      </c>
      <c r="C12" s="107" t="s">
        <v>1431</v>
      </c>
      <c r="D12" s="107" t="s">
        <v>1432</v>
      </c>
      <c r="E12" s="107" t="s">
        <v>19</v>
      </c>
      <c r="F12" s="108" t="s">
        <v>1433</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1434</v>
      </c>
      <c r="B13" s="106" t="s">
        <v>1435</v>
      </c>
      <c r="C13" s="107" t="s">
        <v>1436</v>
      </c>
      <c r="D13" s="107" t="s">
        <v>1437</v>
      </c>
      <c r="E13" s="107" t="s">
        <v>19</v>
      </c>
      <c r="F13" s="108" t="s">
        <v>1438</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1439</v>
      </c>
      <c r="B14" s="106" t="s">
        <v>1440</v>
      </c>
      <c r="C14" s="107" t="s">
        <v>1441</v>
      </c>
      <c r="D14" s="107" t="s">
        <v>1442</v>
      </c>
      <c r="E14" s="107" t="s">
        <v>19</v>
      </c>
      <c r="F14" s="108" t="s">
        <v>1443</v>
      </c>
      <c r="G14" s="109">
        <f>IF(COUNTIF(H14:AU14,"&lt;&gt;")=0,"",SUMPRODUCT(((Recommendations[ImplStatus]="Implemented")+(Recommendations[ImplStatus]="Compensated"))*ISNUMBER(MATCH(Recommendations[Id],H14:AU14,0)))/COUNTIF(H14:AU14,"&lt;&gt;"))</f>
        <v>0</v>
      </c>
      <c r="H14" s="110" t="s">
        <v>182</v>
      </c>
      <c r="I14" s="110" t="s">
        <v>235</v>
      </c>
      <c r="J14" s="110" t="s">
        <v>405</v>
      </c>
      <c r="K14" s="110" t="s">
        <v>410</v>
      </c>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1444</v>
      </c>
      <c r="B15" s="106" t="s">
        <v>1445</v>
      </c>
      <c r="C15" s="107" t="s">
        <v>1446</v>
      </c>
      <c r="D15" s="107" t="s">
        <v>1447</v>
      </c>
      <c r="E15" s="107" t="s">
        <v>19</v>
      </c>
      <c r="F15" s="108" t="s">
        <v>1448</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1449</v>
      </c>
      <c r="B16" s="106" t="s">
        <v>1450</v>
      </c>
      <c r="C16" s="107" t="s">
        <v>1451</v>
      </c>
      <c r="D16" s="107" t="s">
        <v>1452</v>
      </c>
      <c r="E16" s="107" t="s">
        <v>19</v>
      </c>
      <c r="F16" s="108" t="s">
        <v>1453</v>
      </c>
      <c r="G16" s="109">
        <f>IF(COUNTIF(H16:AU16,"&lt;&gt;")=0,"",SUMPRODUCT(((Recommendations[ImplStatus]="Implemented")+(Recommendations[ImplStatus]="Compensated"))*ISNUMBER(MATCH(Recommendations[Id],H16:AU16,0)))/COUNTIF(H16:AU16,"&lt;&gt;"))</f>
        <v>0</v>
      </c>
      <c r="H16" s="110" t="s">
        <v>13</v>
      </c>
      <c r="I16" s="110" t="s">
        <v>23</v>
      </c>
      <c r="J16" s="110" t="s">
        <v>172</v>
      </c>
      <c r="K16" s="110" t="s">
        <v>206</v>
      </c>
      <c r="L16" s="110" t="s">
        <v>220</v>
      </c>
      <c r="M16" s="110" t="s">
        <v>310</v>
      </c>
      <c r="N16" s="110" t="s">
        <v>325</v>
      </c>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1454</v>
      </c>
      <c r="B17" s="106" t="s">
        <v>1455</v>
      </c>
      <c r="C17" s="107" t="s">
        <v>1456</v>
      </c>
      <c r="D17" s="107" t="s">
        <v>1457</v>
      </c>
      <c r="E17" s="107" t="s">
        <v>19</v>
      </c>
      <c r="F17" s="108" t="s">
        <v>1458</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1459</v>
      </c>
      <c r="B18" s="106" t="s">
        <v>1460</v>
      </c>
      <c r="C18" s="107" t="s">
        <v>1461</v>
      </c>
      <c r="D18" s="107" t="s">
        <v>1462</v>
      </c>
      <c r="E18" s="107" t="s">
        <v>19</v>
      </c>
      <c r="F18" s="108" t="s">
        <v>1463</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1464</v>
      </c>
      <c r="B19" s="106" t="s">
        <v>1465</v>
      </c>
      <c r="C19" s="107" t="s">
        <v>1466</v>
      </c>
      <c r="D19" s="107" t="s">
        <v>1467</v>
      </c>
      <c r="E19" s="107" t="s">
        <v>19</v>
      </c>
      <c r="F19" s="108" t="s">
        <v>1468</v>
      </c>
      <c r="G19" s="109">
        <f>IF(COUNTIF(H19:AU19,"&lt;&gt;")=0,"",SUMPRODUCT(((Recommendations[ImplStatus]="Implemented")+(Recommendations[ImplStatus]="Compensated"))*ISNUMBER(MATCH(Recommendations[Id],H19:AU19,0)))/COUNTIF(H19:AU19,"&lt;&gt;"))</f>
        <v>0</v>
      </c>
      <c r="H19" s="110" t="s">
        <v>235</v>
      </c>
      <c r="I19" s="110" t="s">
        <v>240</v>
      </c>
      <c r="J19" s="110" t="s">
        <v>330</v>
      </c>
      <c r="K19" s="110" t="s">
        <v>335</v>
      </c>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1469</v>
      </c>
      <c r="B20" s="106" t="s">
        <v>1470</v>
      </c>
      <c r="C20" s="107" t="s">
        <v>1471</v>
      </c>
      <c r="D20" s="107" t="s">
        <v>1472</v>
      </c>
      <c r="E20" s="107" t="s">
        <v>19</v>
      </c>
      <c r="F20" s="108" t="s">
        <v>1473</v>
      </c>
      <c r="G20" s="109">
        <f>IF(COUNTIF(H20:AU20,"&lt;&gt;")=0,"",SUMPRODUCT(((Recommendations[ImplStatus]="Implemented")+(Recommendations[ImplStatus]="Compensated"))*ISNUMBER(MATCH(Recommendations[Id],H20:AU20,0)))/COUNTIF(H20:AU20,"&lt;&gt;"))</f>
        <v>0</v>
      </c>
      <c r="H20" s="110" t="s">
        <v>187</v>
      </c>
      <c r="I20" s="110" t="s">
        <v>265</v>
      </c>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1474</v>
      </c>
      <c r="B21" s="106" t="s">
        <v>1475</v>
      </c>
      <c r="C21" s="107" t="s">
        <v>1476</v>
      </c>
      <c r="D21" s="107" t="s">
        <v>1477</v>
      </c>
      <c r="E21" s="107" t="s">
        <v>1478</v>
      </c>
      <c r="F21" s="108" t="s">
        <v>1479</v>
      </c>
      <c r="G21" s="109">
        <f>IF(COUNTIF(H21:AU21,"&lt;&gt;")=0,"",SUMPRODUCT(((Recommendations[ImplStatus]="Implemented")+(Recommendations[ImplStatus]="Compensated"))*ISNUMBER(MATCH(Recommendations[Id],H21:AU21,0)))/COUNTIF(H21:AU21,"&lt;&gt;"))</f>
        <v>0</v>
      </c>
      <c r="H21" s="110" t="s">
        <v>405</v>
      </c>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1480</v>
      </c>
      <c r="B22" s="106" t="s">
        <v>1481</v>
      </c>
      <c r="C22" s="107" t="s">
        <v>1482</v>
      </c>
      <c r="D22" s="107" t="s">
        <v>1483</v>
      </c>
      <c r="E22" s="107" t="s">
        <v>1484</v>
      </c>
      <c r="F22" s="108" t="s">
        <v>1485</v>
      </c>
      <c r="G22" s="109">
        <f>IF(COUNTIF(H22:AU22,"&lt;&gt;")=0,"",SUMPRODUCT(((Recommendations[ImplStatus]="Implemented")+(Recommendations[ImplStatus]="Compensated"))*ISNUMBER(MATCH(Recommendations[Id],H22:AU22,0)))/COUNTIF(H22:AU22,"&lt;&gt;"))</f>
        <v>0</v>
      </c>
      <c r="H22" s="110" t="s">
        <v>415</v>
      </c>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1486</v>
      </c>
      <c r="B23" s="106" t="s">
        <v>1487</v>
      </c>
      <c r="C23" s="107" t="s">
        <v>1488</v>
      </c>
      <c r="D23" s="107" t="s">
        <v>1489</v>
      </c>
      <c r="E23" s="107" t="s">
        <v>1490</v>
      </c>
      <c r="F23" s="108" t="s">
        <v>1491</v>
      </c>
      <c r="G23" s="109">
        <f>IF(COUNTIF(H23:AU23,"&lt;&gt;")=0,"",SUMPRODUCT(((Recommendations[ImplStatus]="Implemented")+(Recommendations[ImplStatus]="Compensated"))*ISNUMBER(MATCH(Recommendations[Id],H23:AU23,0)))/COUNTIF(H23:AU23,"&lt;&gt;"))</f>
        <v>0</v>
      </c>
      <c r="H23" s="110" t="s">
        <v>182</v>
      </c>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1492</v>
      </c>
      <c r="B24" s="106" t="s">
        <v>1493</v>
      </c>
      <c r="C24" s="107" t="s">
        <v>1494</v>
      </c>
      <c r="D24" s="107" t="s">
        <v>1495</v>
      </c>
      <c r="E24" s="107" t="s">
        <v>19</v>
      </c>
      <c r="F24" s="108" t="s">
        <v>1496</v>
      </c>
      <c r="G24" s="109">
        <f>IF(COUNTIF(H24:AU24,"&lt;&gt;")=0,"",SUMPRODUCT(((Recommendations[ImplStatus]="Implemented")+(Recommendations[ImplStatus]="Compensated"))*ISNUMBER(MATCH(Recommendations[Id],H24:AU24,0)))/COUNTIF(H24:AU24,"&lt;&gt;"))</f>
        <v>0</v>
      </c>
      <c r="H24" s="110" t="s">
        <v>197</v>
      </c>
      <c r="I24" s="110" t="s">
        <v>201</v>
      </c>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1497</v>
      </c>
      <c r="B25" s="106" t="s">
        <v>1498</v>
      </c>
      <c r="C25" s="107" t="s">
        <v>1499</v>
      </c>
      <c r="D25" s="107" t="s">
        <v>19</v>
      </c>
      <c r="E25" s="107" t="s">
        <v>19</v>
      </c>
      <c r="F25" s="108" t="s">
        <v>1500</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1501</v>
      </c>
      <c r="B26" s="106" t="s">
        <v>1502</v>
      </c>
      <c r="C26" s="107" t="s">
        <v>1503</v>
      </c>
      <c r="D26" s="107" t="s">
        <v>1504</v>
      </c>
      <c r="E26" s="107" t="s">
        <v>19</v>
      </c>
      <c r="F26" s="108" t="s">
        <v>1505</v>
      </c>
      <c r="G26" s="109">
        <f>IF(COUNTIF(H26:AU26,"&lt;&gt;")=0,"",SUMPRODUCT(((Recommendations[ImplStatus]="Implemented")+(Recommendations[ImplStatus]="Compensated"))*ISNUMBER(MATCH(Recommendations[Id],H26:AU26,0)))/COUNTIF(H26:AU26,"&lt;&gt;"))</f>
        <v>0</v>
      </c>
      <c r="H26" s="110" t="s">
        <v>62</v>
      </c>
      <c r="I26" s="110" t="s">
        <v>67</v>
      </c>
      <c r="J26" s="110" t="s">
        <v>187</v>
      </c>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1506</v>
      </c>
      <c r="B27" s="106" t="s">
        <v>1507</v>
      </c>
      <c r="C27" s="107" t="s">
        <v>1508</v>
      </c>
      <c r="D27" s="107" t="s">
        <v>1509</v>
      </c>
      <c r="E27" s="107" t="s">
        <v>1510</v>
      </c>
      <c r="F27" s="108" t="s">
        <v>1511</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1512</v>
      </c>
      <c r="B28" s="106" t="s">
        <v>1513</v>
      </c>
      <c r="C28" s="107" t="s">
        <v>1514</v>
      </c>
      <c r="D28" s="107" t="s">
        <v>19</v>
      </c>
      <c r="E28" s="107" t="s">
        <v>19</v>
      </c>
      <c r="F28" s="108" t="s">
        <v>1515</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1516</v>
      </c>
      <c r="B29" s="106" t="s">
        <v>1517</v>
      </c>
      <c r="C29" s="107" t="s">
        <v>1518</v>
      </c>
      <c r="D29" s="107" t="s">
        <v>1519</v>
      </c>
      <c r="E29" s="107" t="s">
        <v>1520</v>
      </c>
      <c r="F29" s="108" t="s">
        <v>1521</v>
      </c>
      <c r="G29" s="109" t="str">
        <f>IF(COUNTIF(H29:AU29,"&lt;&gt;")=0,"",SUMPRODUCT(((Recommendations[ImplStatus]="Implemented")+(Recommendations[ImplStatus]="Compensated"))*ISNUMBER(MATCH(Recommendations[Id],H29:AU29,0)))/COUNTIF(H29:AU29,"&lt;&gt;"))</f>
        <v/>
      </c>
      <c r="H29" s="110"/>
      <c r="I29" s="110"/>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1522</v>
      </c>
      <c r="B30" s="106" t="s">
        <v>1523</v>
      </c>
      <c r="C30" s="107" t="s">
        <v>1524</v>
      </c>
      <c r="D30" s="107" t="s">
        <v>1525</v>
      </c>
      <c r="E30" s="107" t="s">
        <v>19</v>
      </c>
      <c r="F30" s="108" t="s">
        <v>1526</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1527</v>
      </c>
      <c r="B31" s="106" t="s">
        <v>1528</v>
      </c>
      <c r="C31" s="107" t="s">
        <v>1529</v>
      </c>
      <c r="D31" s="107" t="s">
        <v>1530</v>
      </c>
      <c r="E31" s="107" t="s">
        <v>1531</v>
      </c>
      <c r="F31" s="108" t="s">
        <v>1532</v>
      </c>
      <c r="G31" s="109">
        <f>IF(COUNTIF(H31:AU31,"&lt;&gt;")=0,"",SUMPRODUCT(((Recommendations[ImplStatus]="Implemented")+(Recommendations[ImplStatus]="Compensated"))*ISNUMBER(MATCH(Recommendations[Id],H31:AU31,0)))/COUNTIF(H31:AU31,"&lt;&gt;"))</f>
        <v>0</v>
      </c>
      <c r="H31" s="110" t="s">
        <v>33</v>
      </c>
      <c r="I31" s="110" t="s">
        <v>192</v>
      </c>
      <c r="J31" s="110" t="s">
        <v>275</v>
      </c>
      <c r="K31" s="110" t="s">
        <v>305</v>
      </c>
      <c r="L31" s="110"/>
      <c r="M31" s="110"/>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1533</v>
      </c>
      <c r="B32" s="106" t="s">
        <v>1534</v>
      </c>
      <c r="C32" s="107" t="s">
        <v>1535</v>
      </c>
      <c r="D32" s="107" t="s">
        <v>1536</v>
      </c>
      <c r="E32" s="107" t="s">
        <v>1537</v>
      </c>
      <c r="F32" s="108" t="s">
        <v>1538</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1539</v>
      </c>
      <c r="B33" s="106" t="s">
        <v>1540</v>
      </c>
      <c r="C33" s="107" t="s">
        <v>1541</v>
      </c>
      <c r="D33" s="107" t="s">
        <v>1542</v>
      </c>
      <c r="E33" s="107" t="s">
        <v>19</v>
      </c>
      <c r="F33" s="108" t="s">
        <v>1543</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1544</v>
      </c>
      <c r="B34" s="106" t="s">
        <v>1545</v>
      </c>
      <c r="C34" s="107" t="s">
        <v>1546</v>
      </c>
      <c r="D34" s="107" t="s">
        <v>1547</v>
      </c>
      <c r="E34" s="107" t="s">
        <v>19</v>
      </c>
      <c r="F34" s="108" t="s">
        <v>1548</v>
      </c>
      <c r="G34" s="109">
        <f>IF(COUNTIF(H34:AU34,"&lt;&gt;")=0,"",SUMPRODUCT(((Recommendations[ImplStatus]="Implemented")+(Recommendations[ImplStatus]="Compensated"))*ISNUMBER(MATCH(Recommendations[Id],H34:AU34,0)))/COUNTIF(H34:AU34,"&lt;&gt;"))</f>
        <v>0</v>
      </c>
      <c r="H34" s="110" t="s">
        <v>127</v>
      </c>
      <c r="I34" s="110" t="s">
        <v>132</v>
      </c>
      <c r="J34" s="110" t="s">
        <v>137</v>
      </c>
      <c r="K34" s="110" t="s">
        <v>142</v>
      </c>
      <c r="L34" s="110" t="s">
        <v>147</v>
      </c>
      <c r="M34" s="110" t="s">
        <v>152</v>
      </c>
      <c r="N34" s="110" t="s">
        <v>157</v>
      </c>
      <c r="O34" s="110" t="s">
        <v>167</v>
      </c>
      <c r="P34" s="110" t="s">
        <v>245</v>
      </c>
      <c r="Q34" s="110" t="s">
        <v>250</v>
      </c>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1549</v>
      </c>
      <c r="B35" s="106" t="s">
        <v>1550</v>
      </c>
      <c r="C35" s="107" t="s">
        <v>1551</v>
      </c>
      <c r="D35" s="107" t="s">
        <v>1552</v>
      </c>
      <c r="E35" s="107" t="s">
        <v>1553</v>
      </c>
      <c r="F35" s="108" t="s">
        <v>1554</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1555</v>
      </c>
      <c r="B36" s="106" t="s">
        <v>1556</v>
      </c>
      <c r="C36" s="107" t="s">
        <v>1557</v>
      </c>
      <c r="D36" s="107" t="s">
        <v>1558</v>
      </c>
      <c r="E36" s="107" t="s">
        <v>1559</v>
      </c>
      <c r="F36" s="108" t="s">
        <v>1560</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1561</v>
      </c>
      <c r="B37" s="106" t="s">
        <v>1562</v>
      </c>
      <c r="C37" s="107" t="s">
        <v>1563</v>
      </c>
      <c r="D37" s="107" t="s">
        <v>1564</v>
      </c>
      <c r="E37" s="107" t="s">
        <v>19</v>
      </c>
      <c r="F37" s="108" t="s">
        <v>1565</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1566</v>
      </c>
      <c r="B38" s="106" t="s">
        <v>1567</v>
      </c>
      <c r="C38" s="107" t="s">
        <v>1568</v>
      </c>
      <c r="D38" s="107" t="s">
        <v>1569</v>
      </c>
      <c r="E38" s="107" t="s">
        <v>1570</v>
      </c>
      <c r="F38" s="108" t="s">
        <v>1571</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1572</v>
      </c>
      <c r="B39" s="106" t="s">
        <v>1573</v>
      </c>
      <c r="C39" s="107" t="s">
        <v>1574</v>
      </c>
      <c r="D39" s="107" t="s">
        <v>1575</v>
      </c>
      <c r="E39" s="107" t="s">
        <v>19</v>
      </c>
      <c r="F39" s="108" t="s">
        <v>1576</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1577</v>
      </c>
      <c r="B40" s="106" t="s">
        <v>1578</v>
      </c>
      <c r="C40" s="107" t="s">
        <v>1579</v>
      </c>
      <c r="D40" s="107" t="s">
        <v>1580</v>
      </c>
      <c r="E40" s="107" t="s">
        <v>1581</v>
      </c>
      <c r="F40" s="108" t="s">
        <v>1582</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1583</v>
      </c>
      <c r="B41" s="106" t="s">
        <v>1584</v>
      </c>
      <c r="C41" s="107" t="s">
        <v>1585</v>
      </c>
      <c r="D41" s="107" t="s">
        <v>1586</v>
      </c>
      <c r="E41" s="107" t="s">
        <v>1587</v>
      </c>
      <c r="F41" s="108" t="s">
        <v>1588</v>
      </c>
      <c r="G41" s="109">
        <f>IF(COUNTIF(H41:AU41,"&lt;&gt;")=0,"",SUMPRODUCT(((Recommendations[ImplStatus]="Implemented")+(Recommendations[ImplStatus]="Compensated"))*ISNUMBER(MATCH(Recommendations[Id],H41:AU41,0)))/COUNTIF(H41:AU41,"&lt;&gt;"))</f>
        <v>0</v>
      </c>
      <c r="H41" s="110" t="s">
        <v>340</v>
      </c>
      <c r="I41" s="110" t="s">
        <v>345</v>
      </c>
      <c r="J41" s="110" t="s">
        <v>350</v>
      </c>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1589</v>
      </c>
      <c r="B42" s="106" t="s">
        <v>1590</v>
      </c>
      <c r="C42" s="107" t="s">
        <v>1591</v>
      </c>
      <c r="D42" s="107" t="s">
        <v>1592</v>
      </c>
      <c r="E42" s="107" t="s">
        <v>1593</v>
      </c>
      <c r="F42" s="108" t="s">
        <v>1594</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1595</v>
      </c>
      <c r="B43" s="106" t="s">
        <v>1596</v>
      </c>
      <c r="C43" s="107" t="s">
        <v>1597</v>
      </c>
      <c r="D43" s="107" t="s">
        <v>1598</v>
      </c>
      <c r="E43" s="107" t="s">
        <v>1599</v>
      </c>
      <c r="F43" s="108" t="s">
        <v>1600</v>
      </c>
      <c r="G43" s="109">
        <f>IF(COUNTIF(H43:AU43,"&lt;&gt;")=0,"",SUMPRODUCT(((Recommendations[ImplStatus]="Implemented")+(Recommendations[ImplStatus]="Compensated"))*ISNUMBER(MATCH(Recommendations[Id],H43:AU43,0)))/COUNTIF(H43:AU43,"&lt;&gt;"))</f>
        <v>0</v>
      </c>
      <c r="H43" s="110" t="s">
        <v>28</v>
      </c>
      <c r="I43" s="110" t="s">
        <v>33</v>
      </c>
      <c r="J43" s="110" t="s">
        <v>56</v>
      </c>
      <c r="K43" s="110" t="s">
        <v>290</v>
      </c>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1601</v>
      </c>
      <c r="B44" s="106" t="s">
        <v>1602</v>
      </c>
      <c r="C44" s="107" t="s">
        <v>1603</v>
      </c>
      <c r="D44" s="107" t="s">
        <v>1604</v>
      </c>
      <c r="E44" s="107" t="s">
        <v>19</v>
      </c>
      <c r="F44" s="108" t="s">
        <v>1605</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1606</v>
      </c>
      <c r="B45" s="111" t="s">
        <v>1607</v>
      </c>
      <c r="C45" s="112" t="s">
        <v>1608</v>
      </c>
      <c r="D45" s="112" t="s">
        <v>1609</v>
      </c>
      <c r="E45" s="112" t="s">
        <v>1610</v>
      </c>
      <c r="F45" s="113" t="s">
        <v>1611</v>
      </c>
      <c r="G45" s="114">
        <f>IF(COUNTIF(H45:AU45,"&lt;&gt;")=0,"",SUMPRODUCT(((Recommendations[ImplStatus]="Implemented")+(Recommendations[ImplStatus]="Compensated"))*ISNUMBER(MATCH(Recommendations[Id],H45:AU45,0)))/COUNTIF(H45:AU45,"&lt;&gt;"))</f>
        <v>0</v>
      </c>
      <c r="H45" s="115" t="s">
        <v>420</v>
      </c>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65" t="s">
        <v>430</v>
      </c>
      <c r="B49" s="265"/>
      <c r="C49" s="265"/>
      <c r="D49" s="265"/>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IFERROR(INDEX('Recommendations'!$G$2:$G$84, MATCH(H2,'Recommendations'!$A$2:$A$84,0))="Implemented", FALSE))</xm:f>
            <x14:dxf>
              <font>
                <color rgb="FF000000"/>
              </font>
              <fill>
                <patternFill>
                  <bgColor rgb="FF3C7D22"/>
                </patternFill>
              </fill>
            </x14:dxf>
          </x14:cfRule>
          <x14:cfRule type="expression" priority="2" id="{00000000-000E-0000-0500-000002000000}">
            <xm:f>AND(H2&lt;&gt;"", IFERROR(INDEX('Recommendations'!$G$2:$G$84, MATCH(H2,'Recommendations'!$A$2:$A$84,0))="Compensated", FALSE))</xm:f>
            <x14:dxf>
              <font>
                <color rgb="FF000000"/>
              </font>
              <fill>
                <patternFill>
                  <bgColor rgb="FFC6E0B4"/>
                </patternFill>
              </fill>
            </x14:dxf>
          </x14:cfRule>
          <x14:cfRule type="expression" priority="3" id="{00000000-000E-0000-0500-000003000000}">
            <xm:f>AND(H2&lt;&gt;"", IFERROR(INDEX('Recommendations'!$G$2:$G$84, MATCH(H2,'Recommendations'!$A$2:$A$84,0))="Testing", FALSE))</xm:f>
            <x14:dxf>
              <font>
                <color rgb="FF000000"/>
              </font>
              <fill>
                <patternFill>
                  <bgColor rgb="FFFFC000"/>
                </patternFill>
              </fill>
            </x14:dxf>
          </x14:cfRule>
          <x14:cfRule type="expression" priority="4" id="{00000000-000E-0000-0500-000004000000}">
            <xm:f>AND(H2&lt;&gt;"", IFERROR(INDEX('Recommendations'!$G$2:$G$84, MATCH(H2,'Recommendations'!$A$2:$A$84,0))="Failed", FALSE))</xm:f>
            <x14:dxf>
              <font>
                <color rgb="FF000000"/>
              </font>
              <fill>
                <patternFill>
                  <bgColor rgb="FFD82891"/>
                </patternFill>
              </fill>
            </x14:dxf>
          </x14:cfRule>
          <x14:cfRule type="expression" priority="5" id="{00000000-000E-0000-0500-000005000000}">
            <xm:f>AND(H2&lt;&gt;"", IFERROR(INDEX('Recommendations'!$G$2:$G$84, MATCH(H2,'Recommendations'!$A$2:$A$84,0))="Risk Accepted", FALSE))</xm:f>
            <x14:dxf>
              <font>
                <color rgb="FF000000"/>
              </font>
              <fill>
                <patternFill>
                  <bgColor rgb="FFD9D9D9"/>
                </patternFill>
              </fill>
            </x14:dxf>
          </x14:cfRule>
          <x14:cfRule type="expression" priority="6" id="{00000000-000E-0000-0500-000006000000}">
            <xm:f>AND(H2&lt;&gt;"", IFERROR(INDEX('Recommendations'!$G$2:$G$84, MATCH(H2,'Recommendations'!$A$2:$A$84,0))="N/A",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1612</v>
      </c>
      <c r="B1" s="145" t="s">
        <v>666</v>
      </c>
      <c r="C1" s="145" t="s">
        <v>0</v>
      </c>
      <c r="D1" s="145" t="s">
        <v>667</v>
      </c>
      <c r="E1" s="145" t="s">
        <v>1613</v>
      </c>
      <c r="F1" s="145" t="s">
        <v>1614</v>
      </c>
      <c r="G1" s="145" t="s">
        <v>1615</v>
      </c>
      <c r="H1" s="145" t="s">
        <v>1616</v>
      </c>
      <c r="I1" s="145" t="s">
        <v>672</v>
      </c>
      <c r="J1" s="145" t="s">
        <v>673</v>
      </c>
      <c r="K1" s="145" t="s">
        <v>674</v>
      </c>
      <c r="L1" s="145" t="s">
        <v>675</v>
      </c>
      <c r="M1" s="145" t="s">
        <v>676</v>
      </c>
      <c r="N1" s="145" t="s">
        <v>677</v>
      </c>
      <c r="O1" s="145" t="s">
        <v>678</v>
      </c>
      <c r="P1" s="145" t="s">
        <v>679</v>
      </c>
      <c r="Q1" s="145" t="s">
        <v>680</v>
      </c>
      <c r="R1" s="145" t="s">
        <v>681</v>
      </c>
      <c r="S1" s="145" t="s">
        <v>682</v>
      </c>
      <c r="T1" s="145" t="s">
        <v>683</v>
      </c>
      <c r="U1" s="145" t="s">
        <v>684</v>
      </c>
      <c r="V1" s="145" t="s">
        <v>685</v>
      </c>
      <c r="W1" s="145" t="s">
        <v>686</v>
      </c>
      <c r="X1" s="145" t="s">
        <v>687</v>
      </c>
      <c r="Y1" s="145" t="s">
        <v>688</v>
      </c>
      <c r="Z1" s="145" t="s">
        <v>689</v>
      </c>
      <c r="AA1" s="145" t="s">
        <v>690</v>
      </c>
      <c r="AB1" s="145" t="s">
        <v>691</v>
      </c>
      <c r="AC1" s="145" t="s">
        <v>692</v>
      </c>
      <c r="AD1" s="145" t="s">
        <v>693</v>
      </c>
      <c r="AE1" s="145" t="s">
        <v>694</v>
      </c>
      <c r="AF1" s="145" t="s">
        <v>695</v>
      </c>
      <c r="AG1" s="145" t="s">
        <v>696</v>
      </c>
      <c r="AH1" s="145" t="s">
        <v>697</v>
      </c>
      <c r="AI1" s="145" t="s">
        <v>698</v>
      </c>
      <c r="AJ1" s="145" t="s">
        <v>699</v>
      </c>
      <c r="AK1" s="145" t="s">
        <v>700</v>
      </c>
      <c r="AL1" s="145" t="s">
        <v>701</v>
      </c>
      <c r="AM1" s="145" t="s">
        <v>702</v>
      </c>
      <c r="AN1" s="145" t="s">
        <v>703</v>
      </c>
      <c r="AO1" s="145" t="s">
        <v>704</v>
      </c>
      <c r="AP1" s="145" t="s">
        <v>705</v>
      </c>
      <c r="AQ1" s="145" t="s">
        <v>706</v>
      </c>
      <c r="AR1" s="145" t="s">
        <v>707</v>
      </c>
      <c r="AS1" s="145" t="s">
        <v>708</v>
      </c>
      <c r="AT1" s="145" t="s">
        <v>709</v>
      </c>
      <c r="AU1" s="145" t="s">
        <v>710</v>
      </c>
      <c r="AV1" s="145" t="s">
        <v>711</v>
      </c>
      <c r="AW1" s="146" t="s">
        <v>712</v>
      </c>
    </row>
    <row r="2" spans="1:49" ht="60" customHeight="1" outlineLevel="1" x14ac:dyDescent="0.35">
      <c r="A2" s="138" t="s">
        <v>1617</v>
      </c>
      <c r="B2" s="124"/>
      <c r="C2" s="123" t="s">
        <v>1618</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1617</v>
      </c>
      <c r="B3" s="125" t="s">
        <v>883</v>
      </c>
      <c r="C3" s="126" t="s">
        <v>1619</v>
      </c>
      <c r="D3" s="128" t="s">
        <v>1620</v>
      </c>
      <c r="E3" s="128" t="s">
        <v>1621</v>
      </c>
      <c r="F3" s="128" t="s">
        <v>1622</v>
      </c>
      <c r="G3" s="128" t="s">
        <v>1623</v>
      </c>
      <c r="H3" s="128" t="s">
        <v>1624</v>
      </c>
      <c r="I3" s="130">
        <f>IF(COUNTIF(J3:AW3,"&lt;&gt;")=0,"",SUMPRODUCT(((Recommendations[ImplStatus]="Implemented")+(Recommendations[ImplStatus]="Compensated"))*ISNUMBER(MATCH(Recommendations[Id],J3:AW3,0)))/COUNTIF(J3:AW3,"&lt;&gt;"))</f>
        <v>0</v>
      </c>
      <c r="J3" s="132" t="s">
        <v>28</v>
      </c>
      <c r="K3" s="132" t="s">
        <v>33</v>
      </c>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1617</v>
      </c>
      <c r="B4" s="125" t="s">
        <v>1625</v>
      </c>
      <c r="C4" s="126" t="s">
        <v>1626</v>
      </c>
      <c r="D4" s="128" t="s">
        <v>1627</v>
      </c>
      <c r="E4" s="128" t="s">
        <v>1628</v>
      </c>
      <c r="F4" s="128" t="s">
        <v>1629</v>
      </c>
      <c r="G4" s="128" t="s">
        <v>1630</v>
      </c>
      <c r="H4" s="128" t="s">
        <v>1631</v>
      </c>
      <c r="I4" s="130">
        <f>IF(COUNTIF(J4:AW4,"&lt;&gt;")=0,"",SUMPRODUCT(((Recommendations[ImplStatus]="Implemented")+(Recommendations[ImplStatus]="Compensated"))*ISNUMBER(MATCH(Recommendations[Id],J4:AW4,0)))/COUNTIF(J4:AW4,"&lt;&gt;"))</f>
        <v>0</v>
      </c>
      <c r="J4" s="132" t="s">
        <v>56</v>
      </c>
      <c r="K4" s="132" t="s">
        <v>290</v>
      </c>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1617</v>
      </c>
      <c r="B5" s="125" t="s">
        <v>1632</v>
      </c>
      <c r="C5" s="126" t="s">
        <v>1633</v>
      </c>
      <c r="D5" s="128" t="s">
        <v>1634</v>
      </c>
      <c r="E5" s="128" t="s">
        <v>1635</v>
      </c>
      <c r="F5" s="128" t="s">
        <v>1636</v>
      </c>
      <c r="G5" s="128" t="s">
        <v>1637</v>
      </c>
      <c r="H5" s="128" t="s">
        <v>1638</v>
      </c>
      <c r="I5" s="130">
        <f>IF(COUNTIF(J5:AW5,"&lt;&gt;")=0,"",SUMPRODUCT(((Recommendations[ImplStatus]="Implemented")+(Recommendations[ImplStatus]="Compensated"))*ISNUMBER(MATCH(Recommendations[Id],J5:AW5,0)))/COUNTIF(J5:AW5,"&lt;&gt;"))</f>
        <v>0</v>
      </c>
      <c r="J5" s="132" t="s">
        <v>62</v>
      </c>
      <c r="K5" s="132" t="s">
        <v>67</v>
      </c>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1617</v>
      </c>
      <c r="B6" s="125" t="s">
        <v>1639</v>
      </c>
      <c r="C6" s="126" t="s">
        <v>1640</v>
      </c>
      <c r="D6" s="128" t="s">
        <v>1641</v>
      </c>
      <c r="E6" s="128" t="s">
        <v>1642</v>
      </c>
      <c r="F6" s="128" t="s">
        <v>1643</v>
      </c>
      <c r="G6" s="128" t="s">
        <v>1644</v>
      </c>
      <c r="H6" s="128" t="s">
        <v>1645</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1617</v>
      </c>
      <c r="B7" s="125" t="s">
        <v>1646</v>
      </c>
      <c r="C7" s="126" t="s">
        <v>1647</v>
      </c>
      <c r="D7" s="128" t="s">
        <v>1648</v>
      </c>
      <c r="E7" s="128" t="s">
        <v>1649</v>
      </c>
      <c r="F7" s="128" t="s">
        <v>1650</v>
      </c>
      <c r="G7" s="128" t="s">
        <v>1651</v>
      </c>
      <c r="H7" s="128" t="s">
        <v>1652</v>
      </c>
      <c r="I7" s="130">
        <f>IF(COUNTIF(J7:AW7,"&lt;&gt;")=0,"",SUMPRODUCT(((Recommendations[ImplStatus]="Implemented")+(Recommendations[ImplStatus]="Compensated"))*ISNUMBER(MATCH(Recommendations[Id],J7:AW7,0)))/COUNTIF(J7:AW7,"&lt;&gt;"))</f>
        <v>0</v>
      </c>
      <c r="J7" s="132" t="s">
        <v>56</v>
      </c>
      <c r="K7" s="132" t="s">
        <v>250</v>
      </c>
      <c r="L7" s="132" t="s">
        <v>255</v>
      </c>
      <c r="M7" s="132" t="s">
        <v>275</v>
      </c>
      <c r="N7" s="132" t="s">
        <v>305</v>
      </c>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1617</v>
      </c>
      <c r="B8" s="125" t="s">
        <v>1653</v>
      </c>
      <c r="C8" s="126" t="s">
        <v>1654</v>
      </c>
      <c r="D8" s="128" t="s">
        <v>1655</v>
      </c>
      <c r="E8" s="128" t="s">
        <v>1656</v>
      </c>
      <c r="F8" s="128" t="s">
        <v>1657</v>
      </c>
      <c r="G8" s="128" t="s">
        <v>1651</v>
      </c>
      <c r="H8" s="128" t="s">
        <v>1658</v>
      </c>
      <c r="I8" s="130">
        <f>IF(COUNTIF(J8:AW8,"&lt;&gt;")=0,"",SUMPRODUCT(((Recommendations[ImplStatus]="Implemented")+(Recommendations[ImplStatus]="Compensated"))*ISNUMBER(MATCH(Recommendations[Id],J8:AW8,0)))/COUNTIF(J8:AW8,"&lt;&gt;"))</f>
        <v>0</v>
      </c>
      <c r="J8" s="132" t="s">
        <v>192</v>
      </c>
      <c r="K8" s="132" t="s">
        <v>275</v>
      </c>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1617</v>
      </c>
      <c r="B9" s="125" t="s">
        <v>1659</v>
      </c>
      <c r="C9" s="126" t="s">
        <v>1660</v>
      </c>
      <c r="D9" s="128" t="s">
        <v>1661</v>
      </c>
      <c r="E9" s="128" t="s">
        <v>1662</v>
      </c>
      <c r="F9" s="128" t="s">
        <v>1663</v>
      </c>
      <c r="G9" s="128" t="s">
        <v>1664</v>
      </c>
      <c r="H9" s="128" t="s">
        <v>1665</v>
      </c>
      <c r="I9" s="130">
        <f>IF(COUNTIF(J9:AW9,"&lt;&gt;")=0,"",SUMPRODUCT(((Recommendations[ImplStatus]="Implemented")+(Recommendations[ImplStatus]="Compensated"))*ISNUMBER(MATCH(Recommendations[Id],J9:AW9,0)))/COUNTIF(J9:AW9,"&lt;&gt;"))</f>
        <v>0</v>
      </c>
      <c r="J9" s="132" t="s">
        <v>215</v>
      </c>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1617</v>
      </c>
      <c r="B10" s="125" t="s">
        <v>1666</v>
      </c>
      <c r="C10" s="126" t="s">
        <v>1667</v>
      </c>
      <c r="D10" s="128" t="s">
        <v>1668</v>
      </c>
      <c r="E10" s="128" t="s">
        <v>1669</v>
      </c>
      <c r="F10" s="128" t="s">
        <v>1670</v>
      </c>
      <c r="G10" s="128" t="s">
        <v>1671</v>
      </c>
      <c r="H10" s="128" t="s">
        <v>1672</v>
      </c>
      <c r="I10" s="130" t="str">
        <f>IF(COUNTIF(J10:AW10,"&lt;&gt;")=0,"",SUMPRODUCT(((Recommendations[ImplStatus]="Implemented")+(Recommendations[ImplStatus]="Compensated"))*ISNUMBER(MATCH(Recommendations[Id],J10:AW10,0)))/COUNTIF(J10:AW10,"&lt;&gt;"))</f>
        <v/>
      </c>
      <c r="J10" s="132"/>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1617</v>
      </c>
      <c r="B11" s="125" t="s">
        <v>1673</v>
      </c>
      <c r="C11" s="126" t="s">
        <v>1674</v>
      </c>
      <c r="D11" s="128" t="s">
        <v>1675</v>
      </c>
      <c r="E11" s="128" t="s">
        <v>1676</v>
      </c>
      <c r="F11" s="128" t="s">
        <v>1677</v>
      </c>
      <c r="G11" s="128" t="s">
        <v>1678</v>
      </c>
      <c r="H11" s="128" t="s">
        <v>1679</v>
      </c>
      <c r="I11" s="130">
        <f>IF(COUNTIF(J11:AW11,"&lt;&gt;")=0,"",SUMPRODUCT(((Recommendations[ImplStatus]="Implemented")+(Recommendations[ImplStatus]="Compensated"))*ISNUMBER(MATCH(Recommendations[Id],J11:AW11,0)))/COUNTIF(J11:AW11,"&lt;&gt;"))</f>
        <v>0</v>
      </c>
      <c r="J11" s="132" t="s">
        <v>72</v>
      </c>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1617</v>
      </c>
      <c r="B12" s="125" t="s">
        <v>1680</v>
      </c>
      <c r="C12" s="126" t="s">
        <v>1681</v>
      </c>
      <c r="D12" s="128" t="s">
        <v>1682</v>
      </c>
      <c r="E12" s="128" t="s">
        <v>1683</v>
      </c>
      <c r="F12" s="128" t="s">
        <v>1684</v>
      </c>
      <c r="G12" s="128" t="s">
        <v>1671</v>
      </c>
      <c r="H12" s="128" t="s">
        <v>1685</v>
      </c>
      <c r="I12" s="130" t="str">
        <f>IF(COUNTIF(J12:AW12,"&lt;&gt;")=0,"",SUMPRODUCT(((Recommendations[ImplStatus]="Implemented")+(Recommendations[ImplStatus]="Compensated"))*ISNUMBER(MATCH(Recommendations[Id],J12:AW12,0)))/COUNTIF(J12:AW12,"&lt;&gt;"))</f>
        <v/>
      </c>
      <c r="J12" s="132"/>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1617</v>
      </c>
      <c r="B13" s="125" t="s">
        <v>1686</v>
      </c>
      <c r="C13" s="126" t="s">
        <v>1687</v>
      </c>
      <c r="D13" s="128" t="s">
        <v>1688</v>
      </c>
      <c r="E13" s="128" t="s">
        <v>1689</v>
      </c>
      <c r="F13" s="128" t="s">
        <v>1690</v>
      </c>
      <c r="G13" s="128" t="s">
        <v>1671</v>
      </c>
      <c r="H13" s="128" t="s">
        <v>1691</v>
      </c>
      <c r="I13" s="130">
        <f>IF(COUNTIF(J13:AW13,"&lt;&gt;")=0,"",SUMPRODUCT(((Recommendations[ImplStatus]="Implemented")+(Recommendations[ImplStatus]="Compensated"))*ISNUMBER(MATCH(Recommendations[Id],J13:AW13,0)))/COUNTIF(J13:AW13,"&lt;&gt;"))</f>
        <v>0</v>
      </c>
      <c r="J13" s="132" t="s">
        <v>192</v>
      </c>
      <c r="K13" s="132" t="s">
        <v>210</v>
      </c>
      <c r="L13" s="132" t="s">
        <v>270</v>
      </c>
      <c r="M13" s="132" t="s">
        <v>300</v>
      </c>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1617</v>
      </c>
      <c r="B14" s="125" t="s">
        <v>1692</v>
      </c>
      <c r="C14" s="126" t="s">
        <v>1693</v>
      </c>
      <c r="D14" s="128" t="s">
        <v>1694</v>
      </c>
      <c r="E14" s="128" t="s">
        <v>1695</v>
      </c>
      <c r="F14" s="128" t="s">
        <v>1696</v>
      </c>
      <c r="G14" s="128" t="s">
        <v>1697</v>
      </c>
      <c r="H14" s="128" t="s">
        <v>1698</v>
      </c>
      <c r="I14" s="130" t="str">
        <f>IF(COUNTIF(J14:AW14,"&lt;&gt;")=0,"",SUMPRODUCT(((Recommendations[ImplStatus]="Implemented")+(Recommendations[ImplStatus]="Compensated"))*ISNUMBER(MATCH(Recommendations[Id],J14:AW14,0)))/COUNTIF(J14:AW14,"&lt;&gt;"))</f>
        <v/>
      </c>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1617</v>
      </c>
      <c r="B15" s="125" t="s">
        <v>1699</v>
      </c>
      <c r="C15" s="126" t="s">
        <v>1700</v>
      </c>
      <c r="D15" s="128" t="s">
        <v>1701</v>
      </c>
      <c r="E15" s="128" t="s">
        <v>1702</v>
      </c>
      <c r="F15" s="128" t="s">
        <v>1703</v>
      </c>
      <c r="G15" s="128" t="s">
        <v>1704</v>
      </c>
      <c r="H15" s="128" t="s">
        <v>1705</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1617</v>
      </c>
      <c r="B16" s="125" t="s">
        <v>1706</v>
      </c>
      <c r="C16" s="126" t="s">
        <v>1707</v>
      </c>
      <c r="D16" s="128" t="s">
        <v>1708</v>
      </c>
      <c r="E16" s="128" t="s">
        <v>1709</v>
      </c>
      <c r="F16" s="128" t="s">
        <v>1710</v>
      </c>
      <c r="G16" s="128" t="s">
        <v>1711</v>
      </c>
      <c r="H16" s="128" t="s">
        <v>1712</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1617</v>
      </c>
      <c r="B17" s="125" t="s">
        <v>1713</v>
      </c>
      <c r="C17" s="126" t="s">
        <v>1714</v>
      </c>
      <c r="D17" s="128" t="s">
        <v>1715</v>
      </c>
      <c r="E17" s="128" t="s">
        <v>1716</v>
      </c>
      <c r="F17" s="128" t="s">
        <v>1717</v>
      </c>
      <c r="G17" s="128" t="s">
        <v>1718</v>
      </c>
      <c r="H17" s="128" t="s">
        <v>1719</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1617</v>
      </c>
      <c r="B18" s="125" t="s">
        <v>1720</v>
      </c>
      <c r="C18" s="126" t="s">
        <v>1721</v>
      </c>
      <c r="D18" s="128" t="s">
        <v>1722</v>
      </c>
      <c r="E18" s="128" t="s">
        <v>1723</v>
      </c>
      <c r="F18" s="128" t="s">
        <v>19</v>
      </c>
      <c r="G18" s="128" t="s">
        <v>19</v>
      </c>
      <c r="H18" s="128" t="s">
        <v>19</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1724</v>
      </c>
      <c r="B19" s="124"/>
      <c r="C19" s="123" t="s">
        <v>1725</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1724</v>
      </c>
      <c r="B20" s="125" t="s">
        <v>1726</v>
      </c>
      <c r="C20" s="126" t="s">
        <v>1727</v>
      </c>
      <c r="D20" s="128" t="s">
        <v>1728</v>
      </c>
      <c r="E20" s="128" t="s">
        <v>1729</v>
      </c>
      <c r="F20" s="128" t="s">
        <v>1730</v>
      </c>
      <c r="G20" s="128" t="s">
        <v>1731</v>
      </c>
      <c r="H20" s="128" t="s">
        <v>1732</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1724</v>
      </c>
      <c r="B21" s="125" t="s">
        <v>1733</v>
      </c>
      <c r="C21" s="126" t="s">
        <v>1734</v>
      </c>
      <c r="D21" s="128" t="s">
        <v>1735</v>
      </c>
      <c r="E21" s="128" t="s">
        <v>1736</v>
      </c>
      <c r="F21" s="128" t="s">
        <v>1737</v>
      </c>
      <c r="G21" s="128" t="s">
        <v>1738</v>
      </c>
      <c r="H21" s="128" t="s">
        <v>1739</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1740</v>
      </c>
      <c r="B22" s="124"/>
      <c r="C22" s="123" t="s">
        <v>1741</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1740</v>
      </c>
      <c r="B23" s="125" t="s">
        <v>1742</v>
      </c>
      <c r="C23" s="126" t="s">
        <v>1743</v>
      </c>
      <c r="D23" s="128" t="s">
        <v>1744</v>
      </c>
      <c r="E23" s="128" t="s">
        <v>1745</v>
      </c>
      <c r="F23" s="128" t="s">
        <v>1746</v>
      </c>
      <c r="G23" s="128" t="s">
        <v>1747</v>
      </c>
      <c r="H23" s="128" t="s">
        <v>1748</v>
      </c>
      <c r="I23" s="130">
        <f>IF(COUNTIF(J23:AW23,"&lt;&gt;")=0,"",SUMPRODUCT(((Recommendations[ImplStatus]="Implemented")+(Recommendations[ImplStatus]="Compensated"))*ISNUMBER(MATCH(Recommendations[Id],J23:AW23,0)))/COUNTIF(J23:AW23,"&lt;&gt;"))</f>
        <v>0</v>
      </c>
      <c r="J23" s="132" t="s">
        <v>38</v>
      </c>
      <c r="K23" s="132" t="s">
        <v>43</v>
      </c>
      <c r="L23" s="132" t="s">
        <v>47</v>
      </c>
      <c r="M23" s="132" t="s">
        <v>51</v>
      </c>
      <c r="N23" s="132" t="s">
        <v>78</v>
      </c>
      <c r="O23" s="132" t="s">
        <v>83</v>
      </c>
      <c r="P23" s="132" t="s">
        <v>290</v>
      </c>
      <c r="Q23" s="132" t="s">
        <v>365</v>
      </c>
      <c r="R23" s="132" t="s">
        <v>370</v>
      </c>
      <c r="S23" s="132" t="s">
        <v>375</v>
      </c>
      <c r="T23" s="132" t="s">
        <v>380</v>
      </c>
      <c r="U23" s="132" t="s">
        <v>385</v>
      </c>
      <c r="V23" s="132" t="s">
        <v>390</v>
      </c>
      <c r="W23" s="132" t="s">
        <v>400</v>
      </c>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1740</v>
      </c>
      <c r="B24" s="125" t="s">
        <v>1749</v>
      </c>
      <c r="C24" s="126" t="s">
        <v>1750</v>
      </c>
      <c r="D24" s="128" t="s">
        <v>1751</v>
      </c>
      <c r="E24" s="128" t="s">
        <v>1752</v>
      </c>
      <c r="F24" s="128" t="s">
        <v>1753</v>
      </c>
      <c r="G24" s="128" t="s">
        <v>1754</v>
      </c>
      <c r="H24" s="128" t="s">
        <v>1755</v>
      </c>
      <c r="I24" s="130">
        <f>IF(COUNTIF(J24:AW24,"&lt;&gt;")=0,"",SUMPRODUCT(((Recommendations[ImplStatus]="Implemented")+(Recommendations[ImplStatus]="Compensated"))*ISNUMBER(MATCH(Recommendations[Id],J24:AW24,0)))/COUNTIF(J24:AW24,"&lt;&gt;"))</f>
        <v>0</v>
      </c>
      <c r="J24" s="132" t="s">
        <v>38</v>
      </c>
      <c r="K24" s="132" t="s">
        <v>43</v>
      </c>
      <c r="L24" s="132" t="s">
        <v>51</v>
      </c>
      <c r="M24" s="132" t="s">
        <v>78</v>
      </c>
      <c r="N24" s="132" t="s">
        <v>83</v>
      </c>
      <c r="O24" s="132" t="s">
        <v>93</v>
      </c>
      <c r="P24" s="132" t="s">
        <v>98</v>
      </c>
      <c r="Q24" s="132" t="s">
        <v>103</v>
      </c>
      <c r="R24" s="132" t="s">
        <v>365</v>
      </c>
      <c r="S24" s="132" t="s">
        <v>370</v>
      </c>
      <c r="T24" s="132" t="s">
        <v>375</v>
      </c>
      <c r="U24" s="132" t="s">
        <v>380</v>
      </c>
      <c r="V24" s="132" t="s">
        <v>385</v>
      </c>
      <c r="W24" s="132" t="s">
        <v>395</v>
      </c>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1740</v>
      </c>
      <c r="B25" s="125" t="s">
        <v>1756</v>
      </c>
      <c r="C25" s="126" t="s">
        <v>1757</v>
      </c>
      <c r="D25" s="128" t="s">
        <v>1758</v>
      </c>
      <c r="E25" s="128" t="s">
        <v>1759</v>
      </c>
      <c r="F25" s="128" t="s">
        <v>1760</v>
      </c>
      <c r="G25" s="128" t="s">
        <v>1761</v>
      </c>
      <c r="H25" s="128" t="s">
        <v>1762</v>
      </c>
      <c r="I25" s="130">
        <f>IF(COUNTIF(J25:AW25,"&lt;&gt;")=0,"",SUMPRODUCT(((Recommendations[ImplStatus]="Implemented")+(Recommendations[ImplStatus]="Compensated"))*ISNUMBER(MATCH(Recommendations[Id],J25:AW25,0)))/COUNTIF(J25:AW25,"&lt;&gt;"))</f>
        <v>0</v>
      </c>
      <c r="J25" s="132" t="s">
        <v>47</v>
      </c>
      <c r="K25" s="132" t="s">
        <v>78</v>
      </c>
      <c r="L25" s="132" t="s">
        <v>88</v>
      </c>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1740</v>
      </c>
      <c r="B26" s="125" t="s">
        <v>1763</v>
      </c>
      <c r="C26" s="126" t="s">
        <v>1764</v>
      </c>
      <c r="D26" s="128" t="s">
        <v>1765</v>
      </c>
      <c r="E26" s="128" t="s">
        <v>1766</v>
      </c>
      <c r="F26" s="128" t="s">
        <v>1767</v>
      </c>
      <c r="G26" s="128" t="s">
        <v>1754</v>
      </c>
      <c r="H26" s="128" t="s">
        <v>1768</v>
      </c>
      <c r="I26" s="130">
        <f>IF(COUNTIF(J26:AW26,"&lt;&gt;")=0,"",SUMPRODUCT(((Recommendations[ImplStatus]="Implemented")+(Recommendations[ImplStatus]="Compensated"))*ISNUMBER(MATCH(Recommendations[Id],J26:AW26,0)))/COUNTIF(J26:AW26,"&lt;&gt;"))</f>
        <v>0</v>
      </c>
      <c r="J26" s="132" t="s">
        <v>107</v>
      </c>
      <c r="K26" s="132" t="s">
        <v>280</v>
      </c>
      <c r="L26" s="132" t="s">
        <v>285</v>
      </c>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1740</v>
      </c>
      <c r="B27" s="125" t="s">
        <v>1769</v>
      </c>
      <c r="C27" s="126" t="s">
        <v>1770</v>
      </c>
      <c r="D27" s="128" t="s">
        <v>1771</v>
      </c>
      <c r="E27" s="128" t="s">
        <v>1772</v>
      </c>
      <c r="F27" s="128" t="s">
        <v>1773</v>
      </c>
      <c r="G27" s="128" t="s">
        <v>1774</v>
      </c>
      <c r="H27" s="128" t="s">
        <v>1775</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1740</v>
      </c>
      <c r="B28" s="125" t="s">
        <v>1776</v>
      </c>
      <c r="C28" s="126" t="s">
        <v>1777</v>
      </c>
      <c r="D28" s="128" t="s">
        <v>1778</v>
      </c>
      <c r="E28" s="128" t="s">
        <v>1779</v>
      </c>
      <c r="F28" s="128" t="s">
        <v>1780</v>
      </c>
      <c r="G28" s="128" t="s">
        <v>1781</v>
      </c>
      <c r="H28" s="128" t="s">
        <v>1782</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1740</v>
      </c>
      <c r="B29" s="125" t="s">
        <v>1783</v>
      </c>
      <c r="C29" s="126" t="s">
        <v>1784</v>
      </c>
      <c r="D29" s="128" t="s">
        <v>1785</v>
      </c>
      <c r="E29" s="128" t="s">
        <v>1786</v>
      </c>
      <c r="F29" s="128" t="s">
        <v>1787</v>
      </c>
      <c r="G29" s="128" t="s">
        <v>1671</v>
      </c>
      <c r="H29" s="128" t="s">
        <v>1788</v>
      </c>
      <c r="I29" s="130">
        <f>IF(COUNTIF(J29:AW29,"&lt;&gt;")=0,"",SUMPRODUCT(((Recommendations[ImplStatus]="Implemented")+(Recommendations[ImplStatus]="Compensated"))*ISNUMBER(MATCH(Recommendations[Id],J29:AW29,0)))/COUNTIF(J29:AW29,"&lt;&gt;"))</f>
        <v>0</v>
      </c>
      <c r="J29" s="132" t="s">
        <v>98</v>
      </c>
      <c r="K29" s="132" t="s">
        <v>117</v>
      </c>
      <c r="L29" s="132" t="s">
        <v>122</v>
      </c>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1740</v>
      </c>
      <c r="B30" s="125" t="s">
        <v>1789</v>
      </c>
      <c r="C30" s="126" t="s">
        <v>1790</v>
      </c>
      <c r="D30" s="128" t="s">
        <v>1791</v>
      </c>
      <c r="E30" s="128" t="s">
        <v>1792</v>
      </c>
      <c r="F30" s="128" t="s">
        <v>1793</v>
      </c>
      <c r="G30" s="128" t="s">
        <v>1754</v>
      </c>
      <c r="H30" s="128" t="s">
        <v>1794</v>
      </c>
      <c r="I30" s="130">
        <f>IF(COUNTIF(J30:AW30,"&lt;&gt;")=0,"",SUMPRODUCT(((Recommendations[ImplStatus]="Implemented")+(Recommendations[ImplStatus]="Compensated"))*ISNUMBER(MATCH(Recommendations[Id],J30:AW30,0)))/COUNTIF(J30:AW30,"&lt;&gt;"))</f>
        <v>0</v>
      </c>
      <c r="J30" s="132" t="s">
        <v>112</v>
      </c>
      <c r="K30" s="132" t="s">
        <v>127</v>
      </c>
      <c r="L30" s="132" t="s">
        <v>132</v>
      </c>
      <c r="M30" s="132" t="s">
        <v>137</v>
      </c>
      <c r="N30" s="132" t="s">
        <v>142</v>
      </c>
      <c r="O30" s="132" t="s">
        <v>147</v>
      </c>
      <c r="P30" s="132" t="s">
        <v>152</v>
      </c>
      <c r="Q30" s="132" t="s">
        <v>157</v>
      </c>
      <c r="R30" s="132" t="s">
        <v>162</v>
      </c>
      <c r="S30" s="132" t="s">
        <v>167</v>
      </c>
      <c r="T30" s="132" t="s">
        <v>172</v>
      </c>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1795</v>
      </c>
      <c r="B31" s="124"/>
      <c r="C31" s="123" t="s">
        <v>1796</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1795</v>
      </c>
      <c r="B32" s="125" t="s">
        <v>1797</v>
      </c>
      <c r="C32" s="126" t="s">
        <v>1798</v>
      </c>
      <c r="D32" s="128" t="s">
        <v>1799</v>
      </c>
      <c r="E32" s="128" t="s">
        <v>1800</v>
      </c>
      <c r="F32" s="128" t="s">
        <v>1801</v>
      </c>
      <c r="G32" s="128" t="s">
        <v>1802</v>
      </c>
      <c r="H32" s="128" t="s">
        <v>1803</v>
      </c>
      <c r="I32" s="130" t="str">
        <f>IF(COUNTIF(J32:AW32,"&lt;&gt;")=0,"",SUMPRODUCT(((Recommendations[ImplStatus]="Implemented")+(Recommendations[ImplStatus]="Compensated"))*ISNUMBER(MATCH(Recommendations[Id],J32:AW32,0)))/COUNTIF(J32:AW32,"&lt;&gt;"))</f>
        <v/>
      </c>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1795</v>
      </c>
      <c r="B33" s="125" t="s">
        <v>1804</v>
      </c>
      <c r="C33" s="126" t="s">
        <v>1805</v>
      </c>
      <c r="D33" s="128" t="s">
        <v>1806</v>
      </c>
      <c r="E33" s="128" t="s">
        <v>1807</v>
      </c>
      <c r="F33" s="128" t="s">
        <v>1808</v>
      </c>
      <c r="G33" s="128" t="s">
        <v>1809</v>
      </c>
      <c r="H33" s="128" t="s">
        <v>1810</v>
      </c>
      <c r="I33" s="130" t="str">
        <f>IF(COUNTIF(J33:AW33,"&lt;&gt;")=0,"",SUMPRODUCT(((Recommendations[ImplStatus]="Implemented")+(Recommendations[ImplStatus]="Compensated"))*ISNUMBER(MATCH(Recommendations[Id],J33:AW33,0)))/COUNTIF(J33:AW33,"&lt;&gt;"))</f>
        <v/>
      </c>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1795</v>
      </c>
      <c r="B34" s="125" t="s">
        <v>1811</v>
      </c>
      <c r="C34" s="126" t="s">
        <v>1812</v>
      </c>
      <c r="D34" s="128" t="s">
        <v>1813</v>
      </c>
      <c r="E34" s="128" t="s">
        <v>1814</v>
      </c>
      <c r="F34" s="128" t="s">
        <v>1815</v>
      </c>
      <c r="G34" s="128" t="s">
        <v>1816</v>
      </c>
      <c r="H34" s="128" t="s">
        <v>1817</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1795</v>
      </c>
      <c r="B35" s="125" t="s">
        <v>1818</v>
      </c>
      <c r="C35" s="126" t="s">
        <v>1819</v>
      </c>
      <c r="D35" s="128" t="s">
        <v>1820</v>
      </c>
      <c r="E35" s="128" t="s">
        <v>1821</v>
      </c>
      <c r="F35" s="128" t="s">
        <v>1822</v>
      </c>
      <c r="G35" s="128" t="s">
        <v>1823</v>
      </c>
      <c r="H35" s="128" t="s">
        <v>1824</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1795</v>
      </c>
      <c r="B36" s="125" t="s">
        <v>1825</v>
      </c>
      <c r="C36" s="126" t="s">
        <v>1826</v>
      </c>
      <c r="D36" s="128" t="s">
        <v>1827</v>
      </c>
      <c r="E36" s="128" t="s">
        <v>1828</v>
      </c>
      <c r="F36" s="128" t="s">
        <v>1829</v>
      </c>
      <c r="G36" s="128" t="s">
        <v>1830</v>
      </c>
      <c r="H36" s="128" t="s">
        <v>1831</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1795</v>
      </c>
      <c r="B37" s="125" t="s">
        <v>1832</v>
      </c>
      <c r="C37" s="126" t="s">
        <v>1833</v>
      </c>
      <c r="D37" s="128" t="s">
        <v>1834</v>
      </c>
      <c r="E37" s="128" t="s">
        <v>1835</v>
      </c>
      <c r="F37" s="128" t="s">
        <v>1836</v>
      </c>
      <c r="G37" s="128" t="s">
        <v>1837</v>
      </c>
      <c r="H37" s="128" t="s">
        <v>1838</v>
      </c>
      <c r="I37" s="130">
        <f>IF(COUNTIF(J37:AW37,"&lt;&gt;")=0,"",SUMPRODUCT(((Recommendations[ImplStatus]="Implemented")+(Recommendations[ImplStatus]="Compensated"))*ISNUMBER(MATCH(Recommendations[Id],J37:AW37,0)))/COUNTIF(J37:AW37,"&lt;&gt;"))</f>
        <v>0</v>
      </c>
      <c r="J37" s="132" t="s">
        <v>182</v>
      </c>
      <c r="K37" s="132" t="s">
        <v>215</v>
      </c>
      <c r="L37" s="132" t="s">
        <v>225</v>
      </c>
      <c r="M37" s="132" t="s">
        <v>235</v>
      </c>
      <c r="N37" s="132" t="s">
        <v>255</v>
      </c>
      <c r="O37" s="132" t="s">
        <v>405</v>
      </c>
      <c r="P37" s="132" t="s">
        <v>410</v>
      </c>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42"/>
    </row>
    <row r="38" spans="1:49" ht="60" customHeight="1" x14ac:dyDescent="0.35">
      <c r="A38" s="139" t="s">
        <v>1795</v>
      </c>
      <c r="B38" s="125" t="s">
        <v>1839</v>
      </c>
      <c r="C38" s="126" t="s">
        <v>1840</v>
      </c>
      <c r="D38" s="128" t="s">
        <v>1841</v>
      </c>
      <c r="E38" s="128" t="s">
        <v>1842</v>
      </c>
      <c r="F38" s="128" t="s">
        <v>1843</v>
      </c>
      <c r="G38" s="128" t="s">
        <v>1844</v>
      </c>
      <c r="H38" s="128" t="s">
        <v>1845</v>
      </c>
      <c r="I38" s="130">
        <f>IF(COUNTIF(J38:AW38,"&lt;&gt;")=0,"",SUMPRODUCT(((Recommendations[ImplStatus]="Implemented")+(Recommendations[ImplStatus]="Compensated"))*ISNUMBER(MATCH(Recommendations[Id],J38:AW38,0)))/COUNTIF(J38:AW38,"&lt;&gt;"))</f>
        <v>0</v>
      </c>
      <c r="J38" s="132" t="s">
        <v>177</v>
      </c>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1795</v>
      </c>
      <c r="B39" s="125" t="s">
        <v>1846</v>
      </c>
      <c r="C39" s="126" t="s">
        <v>1847</v>
      </c>
      <c r="D39" s="128" t="s">
        <v>1848</v>
      </c>
      <c r="E39" s="128" t="s">
        <v>1849</v>
      </c>
      <c r="F39" s="128" t="s">
        <v>1850</v>
      </c>
      <c r="G39" s="128" t="s">
        <v>1851</v>
      </c>
      <c r="H39" s="128" t="s">
        <v>1852</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1795</v>
      </c>
      <c r="B40" s="125" t="s">
        <v>1853</v>
      </c>
      <c r="C40" s="126" t="s">
        <v>1854</v>
      </c>
      <c r="D40" s="128" t="s">
        <v>1855</v>
      </c>
      <c r="E40" s="128" t="s">
        <v>1856</v>
      </c>
      <c r="F40" s="128" t="s">
        <v>1857</v>
      </c>
      <c r="G40" s="128" t="s">
        <v>1858</v>
      </c>
      <c r="H40" s="128" t="s">
        <v>1859</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1795</v>
      </c>
      <c r="B41" s="125" t="s">
        <v>1860</v>
      </c>
      <c r="C41" s="126" t="s">
        <v>1861</v>
      </c>
      <c r="D41" s="128" t="s">
        <v>1862</v>
      </c>
      <c r="E41" s="128" t="s">
        <v>1863</v>
      </c>
      <c r="F41" s="128" t="s">
        <v>1864</v>
      </c>
      <c r="G41" s="128" t="s">
        <v>1802</v>
      </c>
      <c r="H41" s="128" t="s">
        <v>1865</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1866</v>
      </c>
      <c r="B42" s="124"/>
      <c r="C42" s="123" t="s">
        <v>1867</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1866</v>
      </c>
      <c r="B43" s="125" t="s">
        <v>1868</v>
      </c>
      <c r="C43" s="126" t="s">
        <v>1869</v>
      </c>
      <c r="D43" s="128" t="s">
        <v>1870</v>
      </c>
      <c r="E43" s="128" t="s">
        <v>1871</v>
      </c>
      <c r="F43" s="128" t="s">
        <v>1872</v>
      </c>
      <c r="G43" s="128" t="s">
        <v>1873</v>
      </c>
      <c r="H43" s="128" t="s">
        <v>1874</v>
      </c>
      <c r="I43" s="130">
        <f>IF(COUNTIF(J43:AW43,"&lt;&gt;")=0,"",SUMPRODUCT(((Recommendations[ImplStatus]="Implemented")+(Recommendations[ImplStatus]="Compensated"))*ISNUMBER(MATCH(Recommendations[Id],J43:AW43,0)))/COUNTIF(J43:AW43,"&lt;&gt;"))</f>
        <v>0</v>
      </c>
      <c r="J43" s="132" t="s">
        <v>162</v>
      </c>
      <c r="K43" s="132" t="s">
        <v>206</v>
      </c>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1866</v>
      </c>
      <c r="B44" s="125" t="s">
        <v>1875</v>
      </c>
      <c r="C44" s="126" t="s">
        <v>1876</v>
      </c>
      <c r="D44" s="128" t="s">
        <v>1877</v>
      </c>
      <c r="E44" s="128" t="s">
        <v>1878</v>
      </c>
      <c r="F44" s="128" t="s">
        <v>1879</v>
      </c>
      <c r="G44" s="128" t="s">
        <v>1880</v>
      </c>
      <c r="H44" s="128" t="s">
        <v>1881</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1866</v>
      </c>
      <c r="B45" s="125" t="s">
        <v>1882</v>
      </c>
      <c r="C45" s="126" t="s">
        <v>1883</v>
      </c>
      <c r="D45" s="128" t="s">
        <v>1884</v>
      </c>
      <c r="E45" s="128" t="s">
        <v>1885</v>
      </c>
      <c r="F45" s="128" t="s">
        <v>1886</v>
      </c>
      <c r="G45" s="128" t="s">
        <v>1887</v>
      </c>
      <c r="H45" s="128" t="s">
        <v>1888</v>
      </c>
      <c r="I45" s="130">
        <f>IF(COUNTIF(J45:AW45,"&lt;&gt;")=0,"",SUMPRODUCT(((Recommendations[ImplStatus]="Implemented")+(Recommendations[ImplStatus]="Compensated"))*ISNUMBER(MATCH(Recommendations[Id],J45:AW45,0)))/COUNTIF(J45:AW45,"&lt;&gt;"))</f>
        <v>0</v>
      </c>
      <c r="J45" s="132" t="s">
        <v>197</v>
      </c>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1866</v>
      </c>
      <c r="B46" s="125" t="s">
        <v>1889</v>
      </c>
      <c r="C46" s="126" t="s">
        <v>1890</v>
      </c>
      <c r="D46" s="128" t="s">
        <v>1891</v>
      </c>
      <c r="E46" s="128" t="s">
        <v>1892</v>
      </c>
      <c r="F46" s="128" t="s">
        <v>1893</v>
      </c>
      <c r="G46" s="128" t="s">
        <v>1887</v>
      </c>
      <c r="H46" s="128" t="s">
        <v>1894</v>
      </c>
      <c r="I46" s="130">
        <f>IF(COUNTIF(J46:AW46,"&lt;&gt;")=0,"",SUMPRODUCT(((Recommendations[ImplStatus]="Implemented")+(Recommendations[ImplStatus]="Compensated"))*ISNUMBER(MATCH(Recommendations[Id],J46:AW46,0)))/COUNTIF(J46:AW46,"&lt;&gt;"))</f>
        <v>0</v>
      </c>
      <c r="J46" s="132" t="s">
        <v>201</v>
      </c>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1866</v>
      </c>
      <c r="B47" s="125" t="s">
        <v>1895</v>
      </c>
      <c r="C47" s="126" t="s">
        <v>1896</v>
      </c>
      <c r="D47" s="128" t="s">
        <v>1897</v>
      </c>
      <c r="E47" s="128" t="s">
        <v>1898</v>
      </c>
      <c r="F47" s="128" t="s">
        <v>1899</v>
      </c>
      <c r="G47" s="128" t="s">
        <v>1900</v>
      </c>
      <c r="H47" s="128" t="s">
        <v>1901</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1866</v>
      </c>
      <c r="B48" s="125" t="s">
        <v>1902</v>
      </c>
      <c r="C48" s="126" t="s">
        <v>1903</v>
      </c>
      <c r="D48" s="128" t="s">
        <v>1904</v>
      </c>
      <c r="E48" s="128" t="s">
        <v>1905</v>
      </c>
      <c r="F48" s="128" t="s">
        <v>1906</v>
      </c>
      <c r="G48" s="128" t="s">
        <v>1907</v>
      </c>
      <c r="H48" s="128" t="s">
        <v>1908</v>
      </c>
      <c r="I48" s="130" t="str">
        <f>IF(COUNTIF(J48:AW48,"&lt;&gt;")=0,"",SUMPRODUCT(((Recommendations[ImplStatus]="Implemented")+(Recommendations[ImplStatus]="Compensated"))*ISNUMBER(MATCH(Recommendations[Id],J48:AW48,0)))/COUNTIF(J48:AW48,"&lt;&gt;"))</f>
        <v/>
      </c>
      <c r="J48" s="132"/>
      <c r="K48" s="132"/>
      <c r="L48" s="132"/>
      <c r="M48" s="132"/>
      <c r="N48" s="132"/>
      <c r="O48" s="132"/>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1866</v>
      </c>
      <c r="B49" s="125" t="s">
        <v>1909</v>
      </c>
      <c r="C49" s="126" t="s">
        <v>1910</v>
      </c>
      <c r="D49" s="128" t="s">
        <v>1911</v>
      </c>
      <c r="E49" s="128" t="s">
        <v>1912</v>
      </c>
      <c r="F49" s="128" t="s">
        <v>1913</v>
      </c>
      <c r="G49" s="128" t="s">
        <v>1671</v>
      </c>
      <c r="H49" s="128" t="s">
        <v>1914</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1866</v>
      </c>
      <c r="B50" s="125" t="s">
        <v>1915</v>
      </c>
      <c r="C50" s="126" t="s">
        <v>1916</v>
      </c>
      <c r="D50" s="128" t="s">
        <v>1917</v>
      </c>
      <c r="E50" s="128" t="s">
        <v>1918</v>
      </c>
      <c r="F50" s="128" t="s">
        <v>1919</v>
      </c>
      <c r="G50" s="128" t="s">
        <v>1920</v>
      </c>
      <c r="H50" s="128" t="s">
        <v>1921</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1922</v>
      </c>
      <c r="B51" s="124"/>
      <c r="C51" s="123" t="s">
        <v>1923</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1922</v>
      </c>
      <c r="B52" s="125" t="s">
        <v>1924</v>
      </c>
      <c r="C52" s="126" t="s">
        <v>1925</v>
      </c>
      <c r="D52" s="128" t="s">
        <v>1926</v>
      </c>
      <c r="E52" s="128" t="s">
        <v>1927</v>
      </c>
      <c r="F52" s="128" t="s">
        <v>1928</v>
      </c>
      <c r="G52" s="128" t="s">
        <v>1929</v>
      </c>
      <c r="H52" s="128" t="s">
        <v>1930</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1922</v>
      </c>
      <c r="B53" s="125" t="s">
        <v>1931</v>
      </c>
      <c r="C53" s="126" t="s">
        <v>1932</v>
      </c>
      <c r="D53" s="128" t="s">
        <v>1933</v>
      </c>
      <c r="E53" s="128" t="s">
        <v>1934</v>
      </c>
      <c r="F53" s="128" t="s">
        <v>1935</v>
      </c>
      <c r="G53" s="128" t="s">
        <v>1936</v>
      </c>
      <c r="H53" s="128" t="s">
        <v>1937</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1922</v>
      </c>
      <c r="B54" s="125" t="s">
        <v>1938</v>
      </c>
      <c r="C54" s="126" t="s">
        <v>1939</v>
      </c>
      <c r="D54" s="128" t="s">
        <v>1940</v>
      </c>
      <c r="E54" s="128" t="s">
        <v>1941</v>
      </c>
      <c r="F54" s="128" t="s">
        <v>1942</v>
      </c>
      <c r="G54" s="128" t="s">
        <v>1943</v>
      </c>
      <c r="H54" s="128" t="s">
        <v>19</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1922</v>
      </c>
      <c r="B55" s="125" t="s">
        <v>1944</v>
      </c>
      <c r="C55" s="126" t="s">
        <v>1945</v>
      </c>
      <c r="D55" s="128" t="s">
        <v>1946</v>
      </c>
      <c r="E55" s="128" t="s">
        <v>1947</v>
      </c>
      <c r="F55" s="128" t="s">
        <v>1948</v>
      </c>
      <c r="G55" s="128" t="s">
        <v>1949</v>
      </c>
      <c r="H55" s="128" t="s">
        <v>19</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1922</v>
      </c>
      <c r="B56" s="125" t="s">
        <v>1950</v>
      </c>
      <c r="C56" s="126" t="s">
        <v>1951</v>
      </c>
      <c r="D56" s="128" t="s">
        <v>1952</v>
      </c>
      <c r="E56" s="128" t="s">
        <v>1953</v>
      </c>
      <c r="F56" s="128" t="s">
        <v>1954</v>
      </c>
      <c r="G56" s="128" t="s">
        <v>1955</v>
      </c>
      <c r="H56" s="128" t="s">
        <v>1956</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1957</v>
      </c>
      <c r="B57" s="124"/>
      <c r="C57" s="123" t="s">
        <v>1958</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1957</v>
      </c>
      <c r="B58" s="125" t="s">
        <v>1959</v>
      </c>
      <c r="C58" s="126" t="s">
        <v>1960</v>
      </c>
      <c r="D58" s="128" t="s">
        <v>1961</v>
      </c>
      <c r="E58" s="128" t="s">
        <v>1962</v>
      </c>
      <c r="F58" s="128" t="s">
        <v>1963</v>
      </c>
      <c r="G58" s="128" t="s">
        <v>1964</v>
      </c>
      <c r="H58" s="128" t="s">
        <v>1965</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1957</v>
      </c>
      <c r="B59" s="125" t="s">
        <v>1966</v>
      </c>
      <c r="C59" s="126" t="s">
        <v>1967</v>
      </c>
      <c r="D59" s="128" t="s">
        <v>1968</v>
      </c>
      <c r="E59" s="128" t="s">
        <v>1969</v>
      </c>
      <c r="F59" s="128" t="s">
        <v>1970</v>
      </c>
      <c r="G59" s="128" t="s">
        <v>1971</v>
      </c>
      <c r="H59" s="128" t="s">
        <v>1972</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1957</v>
      </c>
      <c r="B60" s="125" t="s">
        <v>1973</v>
      </c>
      <c r="C60" s="126" t="s">
        <v>1974</v>
      </c>
      <c r="D60" s="128" t="s">
        <v>1975</v>
      </c>
      <c r="E60" s="128" t="s">
        <v>1976</v>
      </c>
      <c r="F60" s="128" t="s">
        <v>1977</v>
      </c>
      <c r="G60" s="128" t="s">
        <v>1978</v>
      </c>
      <c r="H60" s="128" t="s">
        <v>1979</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1980</v>
      </c>
      <c r="B61" s="124"/>
      <c r="C61" s="123" t="s">
        <v>1981</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1980</v>
      </c>
      <c r="B62" s="125" t="s">
        <v>1982</v>
      </c>
      <c r="C62" s="126" t="s">
        <v>1983</v>
      </c>
      <c r="D62" s="128" t="s">
        <v>1984</v>
      </c>
      <c r="E62" s="128" t="s">
        <v>1985</v>
      </c>
      <c r="F62" s="128" t="s">
        <v>1986</v>
      </c>
      <c r="G62" s="128" t="s">
        <v>1987</v>
      </c>
      <c r="H62" s="128" t="s">
        <v>1988</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1980</v>
      </c>
      <c r="B63" s="125" t="s">
        <v>1989</v>
      </c>
      <c r="C63" s="126" t="s">
        <v>1990</v>
      </c>
      <c r="D63" s="128" t="s">
        <v>1991</v>
      </c>
      <c r="E63" s="128" t="s">
        <v>1992</v>
      </c>
      <c r="F63" s="128" t="s">
        <v>1993</v>
      </c>
      <c r="G63" s="128" t="s">
        <v>1994</v>
      </c>
      <c r="H63" s="128" t="s">
        <v>1995</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1980</v>
      </c>
      <c r="B64" s="125" t="s">
        <v>1996</v>
      </c>
      <c r="C64" s="126" t="s">
        <v>1997</v>
      </c>
      <c r="D64" s="128" t="s">
        <v>1998</v>
      </c>
      <c r="E64" s="128" t="s">
        <v>1999</v>
      </c>
      <c r="F64" s="128" t="s">
        <v>2000</v>
      </c>
      <c r="G64" s="128" t="s">
        <v>2001</v>
      </c>
      <c r="H64" s="128" t="s">
        <v>2002</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1980</v>
      </c>
      <c r="B65" s="125" t="s">
        <v>2003</v>
      </c>
      <c r="C65" s="126" t="s">
        <v>2004</v>
      </c>
      <c r="D65" s="128" t="s">
        <v>2005</v>
      </c>
      <c r="E65" s="128" t="s">
        <v>2006</v>
      </c>
      <c r="F65" s="128" t="s">
        <v>2007</v>
      </c>
      <c r="G65" s="128" t="s">
        <v>2008</v>
      </c>
      <c r="H65" s="128" t="s">
        <v>2009</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1980</v>
      </c>
      <c r="B66" s="125" t="s">
        <v>2010</v>
      </c>
      <c r="C66" s="126" t="s">
        <v>2011</v>
      </c>
      <c r="D66" s="128" t="s">
        <v>2012</v>
      </c>
      <c r="E66" s="128" t="s">
        <v>2013</v>
      </c>
      <c r="F66" s="128" t="s">
        <v>2014</v>
      </c>
      <c r="G66" s="128" t="s">
        <v>2015</v>
      </c>
      <c r="H66" s="128" t="s">
        <v>2016</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1980</v>
      </c>
      <c r="B67" s="125" t="s">
        <v>2017</v>
      </c>
      <c r="C67" s="126" t="s">
        <v>2018</v>
      </c>
      <c r="D67" s="128" t="s">
        <v>2019</v>
      </c>
      <c r="E67" s="128" t="s">
        <v>2020</v>
      </c>
      <c r="F67" s="128" t="s">
        <v>2021</v>
      </c>
      <c r="G67" s="128" t="s">
        <v>2022</v>
      </c>
      <c r="H67" s="128" t="s">
        <v>2023</v>
      </c>
      <c r="I67" s="130">
        <f>IF(COUNTIF(J67:AW67,"&lt;&gt;")=0,"",SUMPRODUCT(((Recommendations[ImplStatus]="Implemented")+(Recommendations[ImplStatus]="Compensated"))*ISNUMBER(MATCH(Recommendations[Id],J67:AW67,0)))/COUNTIF(J67:AW67,"&lt;&gt;"))</f>
        <v>0</v>
      </c>
      <c r="J67" s="132" t="s">
        <v>410</v>
      </c>
      <c r="K67" s="132" t="s">
        <v>415</v>
      </c>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1980</v>
      </c>
      <c r="B68" s="125" t="s">
        <v>2024</v>
      </c>
      <c r="C68" s="126" t="s">
        <v>2025</v>
      </c>
      <c r="D68" s="128" t="s">
        <v>2026</v>
      </c>
      <c r="E68" s="128" t="s">
        <v>2027</v>
      </c>
      <c r="F68" s="128" t="s">
        <v>2028</v>
      </c>
      <c r="G68" s="128" t="s">
        <v>2029</v>
      </c>
      <c r="H68" s="128" t="s">
        <v>2030</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2031</v>
      </c>
      <c r="B69" s="124"/>
      <c r="C69" s="123" t="s">
        <v>2032</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2031</v>
      </c>
      <c r="B70" s="125" t="s">
        <v>2033</v>
      </c>
      <c r="C70" s="126" t="s">
        <v>2034</v>
      </c>
      <c r="D70" s="128" t="s">
        <v>2035</v>
      </c>
      <c r="E70" s="128" t="s">
        <v>2036</v>
      </c>
      <c r="F70" s="128" t="s">
        <v>2037</v>
      </c>
      <c r="G70" s="128" t="s">
        <v>2038</v>
      </c>
      <c r="H70" s="128" t="s">
        <v>2039</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2031</v>
      </c>
      <c r="B71" s="125" t="s">
        <v>2040</v>
      </c>
      <c r="C71" s="126" t="s">
        <v>2041</v>
      </c>
      <c r="D71" s="128" t="s">
        <v>2042</v>
      </c>
      <c r="E71" s="128" t="s">
        <v>2043</v>
      </c>
      <c r="F71" s="128" t="s">
        <v>2044</v>
      </c>
      <c r="G71" s="128" t="s">
        <v>2045</v>
      </c>
      <c r="H71" s="128" t="s">
        <v>2046</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2047</v>
      </c>
      <c r="B72" s="124"/>
      <c r="C72" s="123" t="s">
        <v>2048</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2047</v>
      </c>
      <c r="B73" s="125" t="s">
        <v>2049</v>
      </c>
      <c r="C73" s="126" t="s">
        <v>2050</v>
      </c>
      <c r="D73" s="128" t="s">
        <v>2051</v>
      </c>
      <c r="E73" s="128" t="s">
        <v>2052</v>
      </c>
      <c r="F73" s="128" t="s">
        <v>2053</v>
      </c>
      <c r="G73" s="128" t="s">
        <v>2054</v>
      </c>
      <c r="H73" s="128" t="s">
        <v>2055</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2047</v>
      </c>
      <c r="B74" s="125" t="s">
        <v>2056</v>
      </c>
      <c r="C74" s="126" t="s">
        <v>2057</v>
      </c>
      <c r="D74" s="128" t="s">
        <v>2058</v>
      </c>
      <c r="E74" s="128" t="s">
        <v>2059</v>
      </c>
      <c r="F74" s="128" t="s">
        <v>2060</v>
      </c>
      <c r="G74" s="128" t="s">
        <v>2061</v>
      </c>
      <c r="H74" s="128" t="s">
        <v>2062</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2047</v>
      </c>
      <c r="B75" s="125" t="s">
        <v>2063</v>
      </c>
      <c r="C75" s="126" t="s">
        <v>2064</v>
      </c>
      <c r="D75" s="128" t="s">
        <v>2065</v>
      </c>
      <c r="E75" s="128" t="s">
        <v>2066</v>
      </c>
      <c r="F75" s="128" t="s">
        <v>2067</v>
      </c>
      <c r="G75" s="128" t="s">
        <v>2068</v>
      </c>
      <c r="H75" s="128" t="s">
        <v>2069</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2047</v>
      </c>
      <c r="B76" s="125" t="s">
        <v>2070</v>
      </c>
      <c r="C76" s="126" t="s">
        <v>2071</v>
      </c>
      <c r="D76" s="128" t="s">
        <v>2072</v>
      </c>
      <c r="E76" s="128" t="s">
        <v>2073</v>
      </c>
      <c r="F76" s="128" t="s">
        <v>2074</v>
      </c>
      <c r="G76" s="128" t="s">
        <v>2075</v>
      </c>
      <c r="H76" s="128" t="s">
        <v>2076</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2047</v>
      </c>
      <c r="B77" s="125" t="s">
        <v>2077</v>
      </c>
      <c r="C77" s="126" t="s">
        <v>2078</v>
      </c>
      <c r="D77" s="128" t="s">
        <v>2079</v>
      </c>
      <c r="E77" s="128" t="s">
        <v>2080</v>
      </c>
      <c r="F77" s="128" t="s">
        <v>2081</v>
      </c>
      <c r="G77" s="128" t="s">
        <v>2075</v>
      </c>
      <c r="H77" s="128" t="s">
        <v>2082</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2083</v>
      </c>
      <c r="B78" s="124"/>
      <c r="C78" s="123" t="s">
        <v>2084</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2083</v>
      </c>
      <c r="B79" s="125" t="s">
        <v>2083</v>
      </c>
      <c r="C79" s="126" t="s">
        <v>2085</v>
      </c>
      <c r="D79" s="128" t="s">
        <v>2086</v>
      </c>
      <c r="E79" s="128" t="s">
        <v>2087</v>
      </c>
      <c r="F79" s="128" t="s">
        <v>2088</v>
      </c>
      <c r="G79" s="128" t="s">
        <v>2089</v>
      </c>
      <c r="H79" s="128" t="s">
        <v>2090</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2083</v>
      </c>
      <c r="B80" s="125" t="s">
        <v>2091</v>
      </c>
      <c r="C80" s="126" t="s">
        <v>2092</v>
      </c>
      <c r="D80" s="128" t="s">
        <v>2093</v>
      </c>
      <c r="E80" s="128" t="s">
        <v>2094</v>
      </c>
      <c r="F80" s="128" t="s">
        <v>2095</v>
      </c>
      <c r="G80" s="128" t="s">
        <v>2096</v>
      </c>
      <c r="H80" s="128" t="s">
        <v>2097</v>
      </c>
      <c r="I80" s="130">
        <f>IF(COUNTIF(J80:AW80,"&lt;&gt;")=0,"",SUMPRODUCT(((Recommendations[ImplStatus]="Implemented")+(Recommendations[ImplStatus]="Compensated"))*ISNUMBER(MATCH(Recommendations[Id],J80:AW80,0)))/COUNTIF(J80:AW80,"&lt;&gt;"))</f>
        <v>0</v>
      </c>
      <c r="J80" s="132" t="s">
        <v>420</v>
      </c>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2083</v>
      </c>
      <c r="B81" s="125" t="s">
        <v>2098</v>
      </c>
      <c r="C81" s="126" t="s">
        <v>2099</v>
      </c>
      <c r="D81" s="128" t="s">
        <v>2100</v>
      </c>
      <c r="E81" s="128" t="s">
        <v>2101</v>
      </c>
      <c r="F81" s="128" t="s">
        <v>2102</v>
      </c>
      <c r="G81" s="128" t="s">
        <v>2103</v>
      </c>
      <c r="H81" s="128" t="s">
        <v>2104</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2105</v>
      </c>
      <c r="B82" s="124"/>
      <c r="C82" s="123" t="s">
        <v>2106</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2105</v>
      </c>
      <c r="B83" s="125" t="s">
        <v>2107</v>
      </c>
      <c r="C83" s="126" t="s">
        <v>2108</v>
      </c>
      <c r="D83" s="128" t="s">
        <v>2109</v>
      </c>
      <c r="E83" s="128" t="s">
        <v>2110</v>
      </c>
      <c r="F83" s="128" t="s">
        <v>2111</v>
      </c>
      <c r="G83" s="128" t="s">
        <v>2112</v>
      </c>
      <c r="H83" s="128" t="s">
        <v>2113</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2105</v>
      </c>
      <c r="B84" s="125" t="s">
        <v>2114</v>
      </c>
      <c r="C84" s="126" t="s">
        <v>2115</v>
      </c>
      <c r="D84" s="128" t="s">
        <v>2116</v>
      </c>
      <c r="E84" s="128" t="s">
        <v>2117</v>
      </c>
      <c r="F84" s="128" t="s">
        <v>2118</v>
      </c>
      <c r="G84" s="128" t="s">
        <v>2119</v>
      </c>
      <c r="H84" s="128" t="s">
        <v>2120</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2105</v>
      </c>
      <c r="B85" s="125" t="s">
        <v>2121</v>
      </c>
      <c r="C85" s="126" t="s">
        <v>2122</v>
      </c>
      <c r="D85" s="128" t="s">
        <v>2123</v>
      </c>
      <c r="E85" s="128" t="s">
        <v>2124</v>
      </c>
      <c r="F85" s="128" t="s">
        <v>2125</v>
      </c>
      <c r="G85" s="128" t="s">
        <v>2126</v>
      </c>
      <c r="H85" s="128" t="s">
        <v>2127</v>
      </c>
      <c r="I85" s="130">
        <f>IF(COUNTIF(J85:AW85,"&lt;&gt;")=0,"",SUMPRODUCT(((Recommendations[ImplStatus]="Implemented")+(Recommendations[ImplStatus]="Compensated"))*ISNUMBER(MATCH(Recommendations[Id],J85:AW85,0)))/COUNTIF(J85:AW85,"&lt;&gt;"))</f>
        <v>0</v>
      </c>
      <c r="J85" s="132" t="s">
        <v>355</v>
      </c>
      <c r="K85" s="132" t="s">
        <v>360</v>
      </c>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2105</v>
      </c>
      <c r="B86" s="125" t="s">
        <v>2128</v>
      </c>
      <c r="C86" s="126" t="s">
        <v>2129</v>
      </c>
      <c r="D86" s="128" t="s">
        <v>2130</v>
      </c>
      <c r="E86" s="128" t="s">
        <v>2131</v>
      </c>
      <c r="F86" s="128" t="s">
        <v>2132</v>
      </c>
      <c r="G86" s="128" t="s">
        <v>2133</v>
      </c>
      <c r="H86" s="128" t="s">
        <v>19</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2134</v>
      </c>
      <c r="B87" s="124"/>
      <c r="C87" s="123" t="s">
        <v>2135</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2134</v>
      </c>
      <c r="B88" s="125" t="s">
        <v>2136</v>
      </c>
      <c r="C88" s="126" t="s">
        <v>2137</v>
      </c>
      <c r="D88" s="128" t="s">
        <v>2138</v>
      </c>
      <c r="E88" s="128" t="s">
        <v>2139</v>
      </c>
      <c r="F88" s="128" t="s">
        <v>2140</v>
      </c>
      <c r="G88" s="128" t="s">
        <v>2141</v>
      </c>
      <c r="H88" s="128" t="s">
        <v>2142</v>
      </c>
      <c r="I88" s="130" t="str">
        <f>IF(COUNTIF(J88:AW88,"&lt;&gt;")=0,"",SUMPRODUCT(((Recommendations[ImplStatus]="Implemented")+(Recommendations[ImplStatus]="Compensated"))*ISNUMBER(MATCH(Recommendations[Id],J88:AW88,0)))/COUNTIF(J88:AW88,"&lt;&gt;"))</f>
        <v/>
      </c>
      <c r="J88" s="132"/>
      <c r="K88" s="132"/>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2134</v>
      </c>
      <c r="B89" s="125" t="s">
        <v>2143</v>
      </c>
      <c r="C89" s="126" t="s">
        <v>2144</v>
      </c>
      <c r="D89" s="128" t="s">
        <v>2145</v>
      </c>
      <c r="E89" s="128" t="s">
        <v>2146</v>
      </c>
      <c r="F89" s="128" t="s">
        <v>2147</v>
      </c>
      <c r="G89" s="128" t="s">
        <v>1671</v>
      </c>
      <c r="H89" s="128" t="s">
        <v>2148</v>
      </c>
      <c r="I89" s="130">
        <f>IF(COUNTIF(J89:AW89,"&lt;&gt;")=0,"",SUMPRODUCT(((Recommendations[ImplStatus]="Implemented")+(Recommendations[ImplStatus]="Compensated"))*ISNUMBER(MATCH(Recommendations[Id],J89:AW89,0)))/COUNTIF(J89:AW89,"&lt;&gt;"))</f>
        <v>0</v>
      </c>
      <c r="J89" s="132" t="s">
        <v>230</v>
      </c>
      <c r="K89" s="132" t="s">
        <v>240</v>
      </c>
      <c r="L89" s="132" t="s">
        <v>245</v>
      </c>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2134</v>
      </c>
      <c r="B90" s="125" t="s">
        <v>2149</v>
      </c>
      <c r="C90" s="126" t="s">
        <v>2150</v>
      </c>
      <c r="D90" s="128" t="s">
        <v>2151</v>
      </c>
      <c r="E90" s="128" t="s">
        <v>2152</v>
      </c>
      <c r="F90" s="128" t="s">
        <v>2153</v>
      </c>
      <c r="G90" s="128" t="s">
        <v>2141</v>
      </c>
      <c r="H90" s="128" t="s">
        <v>2154</v>
      </c>
      <c r="I90" s="130">
        <f>IF(COUNTIF(J90:AW90,"&lt;&gt;")=0,"",SUMPRODUCT(((Recommendations[ImplStatus]="Implemented")+(Recommendations[ImplStatus]="Compensated"))*ISNUMBER(MATCH(Recommendations[Id],J90:AW90,0)))/COUNTIF(J90:AW90,"&lt;&gt;"))</f>
        <v>0</v>
      </c>
      <c r="J90" s="132" t="s">
        <v>62</v>
      </c>
      <c r="K90" s="132" t="s">
        <v>67</v>
      </c>
      <c r="L90" s="132" t="s">
        <v>187</v>
      </c>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2134</v>
      </c>
      <c r="B91" s="125" t="s">
        <v>2155</v>
      </c>
      <c r="C91" s="126" t="s">
        <v>2156</v>
      </c>
      <c r="D91" s="128" t="s">
        <v>2157</v>
      </c>
      <c r="E91" s="128" t="s">
        <v>2158</v>
      </c>
      <c r="F91" s="128" t="s">
        <v>2159</v>
      </c>
      <c r="G91" s="128" t="s">
        <v>1671</v>
      </c>
      <c r="H91" s="128" t="s">
        <v>2160</v>
      </c>
      <c r="I91" s="130">
        <f>IF(COUNTIF(J91:AW91,"&lt;&gt;")=0,"",SUMPRODUCT(((Recommendations[ImplStatus]="Implemented")+(Recommendations[ImplStatus]="Compensated"))*ISNUMBER(MATCH(Recommendations[Id],J91:AW91,0)))/COUNTIF(J91:AW91,"&lt;&gt;"))</f>
        <v>0</v>
      </c>
      <c r="J91" s="132" t="s">
        <v>13</v>
      </c>
      <c r="K91" s="132" t="s">
        <v>23</v>
      </c>
      <c r="L91" s="132" t="s">
        <v>206</v>
      </c>
      <c r="M91" s="132" t="s">
        <v>220</v>
      </c>
      <c r="N91" s="132" t="s">
        <v>325</v>
      </c>
      <c r="O91" s="132"/>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2134</v>
      </c>
      <c r="B92" s="125" t="s">
        <v>2161</v>
      </c>
      <c r="C92" s="126" t="s">
        <v>2162</v>
      </c>
      <c r="D92" s="128" t="s">
        <v>2163</v>
      </c>
      <c r="E92" s="128" t="s">
        <v>2164</v>
      </c>
      <c r="F92" s="128" t="s">
        <v>2165</v>
      </c>
      <c r="G92" s="128" t="s">
        <v>1671</v>
      </c>
      <c r="H92" s="128" t="s">
        <v>2166</v>
      </c>
      <c r="I92" s="130">
        <f>IF(COUNTIF(J92:AW92,"&lt;&gt;")=0,"",SUMPRODUCT(((Recommendations[ImplStatus]="Implemented")+(Recommendations[ImplStatus]="Compensated"))*ISNUMBER(MATCH(Recommendations[Id],J92:AW92,0)))/COUNTIF(J92:AW92,"&lt;&gt;"))</f>
        <v>0</v>
      </c>
      <c r="J92" s="132" t="s">
        <v>210</v>
      </c>
      <c r="K92" s="132" t="s">
        <v>270</v>
      </c>
      <c r="L92" s="132" t="s">
        <v>300</v>
      </c>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2134</v>
      </c>
      <c r="B93" s="125" t="s">
        <v>2167</v>
      </c>
      <c r="C93" s="126" t="s">
        <v>2168</v>
      </c>
      <c r="D93" s="128" t="s">
        <v>2169</v>
      </c>
      <c r="E93" s="128" t="s">
        <v>2170</v>
      </c>
      <c r="F93" s="128" t="s">
        <v>2171</v>
      </c>
      <c r="G93" s="128" t="s">
        <v>2172</v>
      </c>
      <c r="H93" s="128" t="s">
        <v>2173</v>
      </c>
      <c r="I93" s="130" t="str">
        <f>IF(COUNTIF(J93:AW93,"&lt;&gt;")=0,"",SUMPRODUCT(((Recommendations[ImplStatus]="Implemented")+(Recommendations[ImplStatus]="Compensated"))*ISNUMBER(MATCH(Recommendations[Id],J93:AW93,0)))/COUNTIF(J93:AW93,"&lt;&gt;"))</f>
        <v/>
      </c>
      <c r="J93" s="132"/>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2134</v>
      </c>
      <c r="B94" s="125" t="s">
        <v>2174</v>
      </c>
      <c r="C94" s="126" t="s">
        <v>2175</v>
      </c>
      <c r="D94" s="128" t="s">
        <v>2176</v>
      </c>
      <c r="E94" s="128" t="s">
        <v>2177</v>
      </c>
      <c r="F94" s="128" t="s">
        <v>2178</v>
      </c>
      <c r="G94" s="128" t="s">
        <v>2179</v>
      </c>
      <c r="H94" s="128" t="s">
        <v>2180</v>
      </c>
      <c r="I94" s="130">
        <f>IF(COUNTIF(J94:AW94,"&lt;&gt;")=0,"",SUMPRODUCT(((Recommendations[ImplStatus]="Implemented")+(Recommendations[ImplStatus]="Compensated"))*ISNUMBER(MATCH(Recommendations[Id],J94:AW94,0)))/COUNTIF(J94:AW94,"&lt;&gt;"))</f>
        <v>0</v>
      </c>
      <c r="J94" s="132" t="s">
        <v>172</v>
      </c>
      <c r="K94" s="132" t="s">
        <v>201</v>
      </c>
      <c r="L94" s="132" t="s">
        <v>206</v>
      </c>
      <c r="M94" s="132" t="s">
        <v>220</v>
      </c>
      <c r="N94" s="132" t="s">
        <v>310</v>
      </c>
      <c r="O94" s="132" t="s">
        <v>425</v>
      </c>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2134</v>
      </c>
      <c r="B95" s="125" t="s">
        <v>2181</v>
      </c>
      <c r="C95" s="126" t="s">
        <v>2182</v>
      </c>
      <c r="D95" s="128" t="s">
        <v>2183</v>
      </c>
      <c r="E95" s="128" t="s">
        <v>2184</v>
      </c>
      <c r="F95" s="128" t="s">
        <v>2185</v>
      </c>
      <c r="G95" s="128" t="s">
        <v>2186</v>
      </c>
      <c r="H95" s="128" t="s">
        <v>2187</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2134</v>
      </c>
      <c r="B96" s="125" t="s">
        <v>2188</v>
      </c>
      <c r="C96" s="126" t="s">
        <v>2189</v>
      </c>
      <c r="D96" s="128" t="s">
        <v>2190</v>
      </c>
      <c r="E96" s="128" t="s">
        <v>2191</v>
      </c>
      <c r="F96" s="128" t="s">
        <v>2192</v>
      </c>
      <c r="G96" s="128" t="s">
        <v>2193</v>
      </c>
      <c r="H96" s="128" t="s">
        <v>2194</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2134</v>
      </c>
      <c r="B97" s="125" t="s">
        <v>2195</v>
      </c>
      <c r="C97" s="126" t="s">
        <v>2196</v>
      </c>
      <c r="D97" s="128" t="s">
        <v>2197</v>
      </c>
      <c r="E97" s="128" t="s">
        <v>2198</v>
      </c>
      <c r="F97" s="128" t="s">
        <v>2199</v>
      </c>
      <c r="G97" s="128" t="s">
        <v>2200</v>
      </c>
      <c r="H97" s="128" t="s">
        <v>2201</v>
      </c>
      <c r="I97" s="130">
        <f>IF(COUNTIF(J97:AW97,"&lt;&gt;")=0,"",SUMPRODUCT(((Recommendations[ImplStatus]="Implemented")+(Recommendations[ImplStatus]="Compensated"))*ISNUMBER(MATCH(Recommendations[Id],J97:AW97,0)))/COUNTIF(J97:AW97,"&lt;&gt;"))</f>
        <v>0</v>
      </c>
      <c r="J97" s="132" t="s">
        <v>220</v>
      </c>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2202</v>
      </c>
      <c r="B98" s="124"/>
      <c r="C98" s="123" t="s">
        <v>2203</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2202</v>
      </c>
      <c r="B99" s="125" t="s">
        <v>2204</v>
      </c>
      <c r="C99" s="126" t="s">
        <v>2205</v>
      </c>
      <c r="D99" s="128" t="s">
        <v>2206</v>
      </c>
      <c r="E99" s="128" t="s">
        <v>2207</v>
      </c>
      <c r="F99" s="128" t="s">
        <v>2208</v>
      </c>
      <c r="G99" s="128" t="s">
        <v>2209</v>
      </c>
      <c r="H99" s="128" t="s">
        <v>2210</v>
      </c>
      <c r="I99" s="130">
        <f>IF(COUNTIF(J99:AW99,"&lt;&gt;")=0,"",SUMPRODUCT(((Recommendations[ImplStatus]="Implemented")+(Recommendations[ImplStatus]="Compensated"))*ISNUMBER(MATCH(Recommendations[Id],J99:AW99,0)))/COUNTIF(J99:AW99,"&lt;&gt;"))</f>
        <v>0</v>
      </c>
      <c r="J99" s="132" t="s">
        <v>340</v>
      </c>
      <c r="K99" s="132" t="s">
        <v>345</v>
      </c>
      <c r="L99" s="132" t="s">
        <v>350</v>
      </c>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2202</v>
      </c>
      <c r="B100" s="125" t="s">
        <v>2211</v>
      </c>
      <c r="C100" s="126" t="s">
        <v>2212</v>
      </c>
      <c r="D100" s="128" t="s">
        <v>2213</v>
      </c>
      <c r="E100" s="128" t="s">
        <v>2214</v>
      </c>
      <c r="F100" s="128" t="s">
        <v>2215</v>
      </c>
      <c r="G100" s="128" t="s">
        <v>2216</v>
      </c>
      <c r="H100" s="128" t="s">
        <v>2217</v>
      </c>
      <c r="I100" s="130" t="str">
        <f>IF(COUNTIF(J100:AW100,"&lt;&gt;")=0,"",SUMPRODUCT(((Recommendations[ImplStatus]="Implemented")+(Recommendations[ImplStatus]="Compensated"))*ISNUMBER(MATCH(Recommendations[Id],J100:AW100,0)))/COUNTIF(J100:AW100,"&lt;&gt;"))</f>
        <v/>
      </c>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2202</v>
      </c>
      <c r="B101" s="125" t="s">
        <v>2218</v>
      </c>
      <c r="C101" s="126" t="s">
        <v>2219</v>
      </c>
      <c r="D101" s="128" t="s">
        <v>2220</v>
      </c>
      <c r="E101" s="128" t="s">
        <v>2221</v>
      </c>
      <c r="F101" s="128" t="s">
        <v>19</v>
      </c>
      <c r="G101" s="128" t="s">
        <v>19</v>
      </c>
      <c r="H101" s="128" t="s">
        <v>19</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2202</v>
      </c>
      <c r="B102" s="125" t="s">
        <v>2222</v>
      </c>
      <c r="C102" s="126" t="s">
        <v>2223</v>
      </c>
      <c r="D102" s="128" t="s">
        <v>2224</v>
      </c>
      <c r="E102" s="128" t="s">
        <v>2225</v>
      </c>
      <c r="F102" s="128" t="s">
        <v>2226</v>
      </c>
      <c r="G102" s="128" t="s">
        <v>2227</v>
      </c>
      <c r="H102" s="128" t="s">
        <v>2228</v>
      </c>
      <c r="I102" s="130">
        <f>IF(COUNTIF(J102:AW102,"&lt;&gt;")=0,"",SUMPRODUCT(((Recommendations[ImplStatus]="Implemented")+(Recommendations[ImplStatus]="Compensated"))*ISNUMBER(MATCH(Recommendations[Id],J102:AW102,0)))/COUNTIF(J102:AW102,"&lt;&gt;"))</f>
        <v>0</v>
      </c>
      <c r="J102" s="132" t="s">
        <v>360</v>
      </c>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2202</v>
      </c>
      <c r="B103" s="125" t="s">
        <v>2229</v>
      </c>
      <c r="C103" s="126" t="s">
        <v>2230</v>
      </c>
      <c r="D103" s="128" t="s">
        <v>2231</v>
      </c>
      <c r="E103" s="128" t="s">
        <v>2232</v>
      </c>
      <c r="F103" s="128" t="s">
        <v>2233</v>
      </c>
      <c r="G103" s="128" t="s">
        <v>2234</v>
      </c>
      <c r="H103" s="128" t="s">
        <v>2235</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2236</v>
      </c>
      <c r="B104" s="124"/>
      <c r="C104" s="123" t="s">
        <v>2237</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2236</v>
      </c>
      <c r="B105" s="125" t="s">
        <v>2238</v>
      </c>
      <c r="C105" s="126" t="s">
        <v>2239</v>
      </c>
      <c r="D105" s="128" t="s">
        <v>2240</v>
      </c>
      <c r="E105" s="128" t="s">
        <v>2241</v>
      </c>
      <c r="F105" s="128" t="s">
        <v>2242</v>
      </c>
      <c r="G105" s="128" t="s">
        <v>2243</v>
      </c>
      <c r="H105" s="128" t="s">
        <v>19</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2236</v>
      </c>
      <c r="B106" s="125" t="s">
        <v>2244</v>
      </c>
      <c r="C106" s="126" t="s">
        <v>2245</v>
      </c>
      <c r="D106" s="128" t="s">
        <v>2246</v>
      </c>
      <c r="E106" s="128" t="s">
        <v>2247</v>
      </c>
      <c r="F106" s="128" t="s">
        <v>2248</v>
      </c>
      <c r="G106" s="128" t="s">
        <v>2249</v>
      </c>
      <c r="H106" s="128" t="s">
        <v>2250</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2236</v>
      </c>
      <c r="B107" s="125" t="s">
        <v>2251</v>
      </c>
      <c r="C107" s="126" t="s">
        <v>2252</v>
      </c>
      <c r="D107" s="128" t="s">
        <v>2253</v>
      </c>
      <c r="E107" s="128" t="s">
        <v>2254</v>
      </c>
      <c r="F107" s="128" t="s">
        <v>2255</v>
      </c>
      <c r="G107" s="128" t="s">
        <v>2256</v>
      </c>
      <c r="H107" s="128" t="s">
        <v>2257</v>
      </c>
      <c r="I107" s="130">
        <f>IF(COUNTIF(J107:AW107,"&lt;&gt;")=0,"",SUMPRODUCT(((Recommendations[ImplStatus]="Implemented")+(Recommendations[ImplStatus]="Compensated"))*ISNUMBER(MATCH(Recommendations[Id],J107:AW107,0)))/COUNTIF(J107:AW107,"&lt;&gt;"))</f>
        <v>0</v>
      </c>
      <c r="J107" s="132" t="s">
        <v>72</v>
      </c>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2258</v>
      </c>
      <c r="B108" s="124"/>
      <c r="C108" s="123" t="s">
        <v>2259</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2258</v>
      </c>
      <c r="B109" s="125" t="s">
        <v>2260</v>
      </c>
      <c r="C109" s="126" t="s">
        <v>2261</v>
      </c>
      <c r="D109" s="128" t="s">
        <v>2262</v>
      </c>
      <c r="E109" s="128" t="s">
        <v>2263</v>
      </c>
      <c r="F109" s="128" t="s">
        <v>2264</v>
      </c>
      <c r="G109" s="128" t="s">
        <v>2265</v>
      </c>
      <c r="H109" s="128" t="s">
        <v>2266</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2258</v>
      </c>
      <c r="B110" s="125" t="s">
        <v>2267</v>
      </c>
      <c r="C110" s="126" t="s">
        <v>2268</v>
      </c>
      <c r="D110" s="128" t="s">
        <v>2269</v>
      </c>
      <c r="E110" s="128" t="s">
        <v>2270</v>
      </c>
      <c r="F110" s="128" t="s">
        <v>2271</v>
      </c>
      <c r="G110" s="128" t="s">
        <v>2272</v>
      </c>
      <c r="H110" s="128" t="s">
        <v>2273</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2258</v>
      </c>
      <c r="B111" s="125" t="s">
        <v>2274</v>
      </c>
      <c r="C111" s="126" t="s">
        <v>2275</v>
      </c>
      <c r="D111" s="128" t="s">
        <v>2276</v>
      </c>
      <c r="E111" s="128" t="s">
        <v>2277</v>
      </c>
      <c r="F111" s="128" t="s">
        <v>2278</v>
      </c>
      <c r="G111" s="128" t="s">
        <v>2279</v>
      </c>
      <c r="H111" s="128" t="s">
        <v>2280</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2281</v>
      </c>
      <c r="B112" s="124"/>
      <c r="C112" s="123" t="s">
        <v>2282</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2281</v>
      </c>
      <c r="B113" s="125" t="s">
        <v>2283</v>
      </c>
      <c r="C113" s="126" t="s">
        <v>2284</v>
      </c>
      <c r="D113" s="128" t="s">
        <v>2285</v>
      </c>
      <c r="E113" s="128" t="s">
        <v>2286</v>
      </c>
      <c r="F113" s="128" t="s">
        <v>2287</v>
      </c>
      <c r="G113" s="128" t="s">
        <v>2288</v>
      </c>
      <c r="H113" s="128" t="s">
        <v>2289</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2281</v>
      </c>
      <c r="B114" s="125" t="s">
        <v>2290</v>
      </c>
      <c r="C114" s="126" t="s">
        <v>2291</v>
      </c>
      <c r="D114" s="128" t="s">
        <v>2292</v>
      </c>
      <c r="E114" s="128" t="s">
        <v>2293</v>
      </c>
      <c r="F114" s="128" t="s">
        <v>2294</v>
      </c>
      <c r="G114" s="128" t="s">
        <v>2288</v>
      </c>
      <c r="H114" s="128" t="s">
        <v>2295</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2281</v>
      </c>
      <c r="B115" s="133" t="s">
        <v>2296</v>
      </c>
      <c r="C115" s="134" t="s">
        <v>2297</v>
      </c>
      <c r="D115" s="135" t="s">
        <v>2298</v>
      </c>
      <c r="E115" s="135" t="s">
        <v>2299</v>
      </c>
      <c r="F115" s="135" t="s">
        <v>2300</v>
      </c>
      <c r="G115" s="135" t="s">
        <v>2301</v>
      </c>
      <c r="H115" s="135" t="s">
        <v>2302</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65" t="s">
        <v>430</v>
      </c>
      <c r="B119" s="265"/>
      <c r="C119" s="265"/>
      <c r="D119" s="265"/>
      <c r="E119" s="265"/>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IFERROR(INDEX('Recommendations'!$G$2:$G$84, MATCH(J2,'Recommendations'!$A$2:$A$84,0))="Implemented", FALSE))</xm:f>
            <x14:dxf>
              <font>
                <color rgb="FF000000"/>
              </font>
              <fill>
                <patternFill>
                  <bgColor rgb="FF3C7D22"/>
                </patternFill>
              </fill>
            </x14:dxf>
          </x14:cfRule>
          <x14:cfRule type="expression" priority="2" id="{00000000-000E-0000-0600-000002000000}">
            <xm:f>AND(J2&lt;&gt;"", IFERROR(INDEX('Recommendations'!$G$2:$G$84, MATCH(J2,'Recommendations'!$A$2:$A$84,0))="Compensated", FALSE))</xm:f>
            <x14:dxf>
              <font>
                <color rgb="FF000000"/>
              </font>
              <fill>
                <patternFill>
                  <bgColor rgb="FFC6E0B4"/>
                </patternFill>
              </fill>
            </x14:dxf>
          </x14:cfRule>
          <x14:cfRule type="expression" priority="3" id="{00000000-000E-0000-0600-000003000000}">
            <xm:f>AND(J2&lt;&gt;"", IFERROR(INDEX('Recommendations'!$G$2:$G$84, MATCH(J2,'Recommendations'!$A$2:$A$84,0))="Testing", FALSE))</xm:f>
            <x14:dxf>
              <font>
                <color rgb="FF000000"/>
              </font>
              <fill>
                <patternFill>
                  <bgColor rgb="FFFFC000"/>
                </patternFill>
              </fill>
            </x14:dxf>
          </x14:cfRule>
          <x14:cfRule type="expression" priority="4" id="{00000000-000E-0000-0600-000004000000}">
            <xm:f>AND(J2&lt;&gt;"", IFERROR(INDEX('Recommendations'!$G$2:$G$84, MATCH(J2,'Recommendations'!$A$2:$A$84,0))="Failed", FALSE))</xm:f>
            <x14:dxf>
              <font>
                <color rgb="FF000000"/>
              </font>
              <fill>
                <patternFill>
                  <bgColor rgb="FFD82891"/>
                </patternFill>
              </fill>
            </x14:dxf>
          </x14:cfRule>
          <x14:cfRule type="expression" priority="5" id="{00000000-000E-0000-0600-000005000000}">
            <xm:f>AND(J2&lt;&gt;"", IFERROR(INDEX('Recommendations'!$G$2:$G$84, MATCH(J2,'Recommendations'!$A$2:$A$84,0))="Risk Accepted", FALSE))</xm:f>
            <x14:dxf>
              <font>
                <color rgb="FF000000"/>
              </font>
              <fill>
                <patternFill>
                  <bgColor rgb="FFD9D9D9"/>
                </patternFill>
              </fill>
            </x14:dxf>
          </x14:cfRule>
          <x14:cfRule type="expression" priority="6" id="{00000000-000E-0000-0600-000006000000}">
            <xm:f>AND(J2&lt;&gt;"", IFERROR(INDEX('Recommendations'!$G$2:$G$84, MATCH(J2,'Recommendations'!$A$2:$A$84,0))="N/A",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2303</v>
      </c>
      <c r="B1" s="184" t="s">
        <v>2304</v>
      </c>
      <c r="C1" s="184" t="s">
        <v>0</v>
      </c>
      <c r="D1" s="184" t="s">
        <v>2305</v>
      </c>
      <c r="E1" s="184" t="s">
        <v>2306</v>
      </c>
      <c r="F1" s="184" t="s">
        <v>2307</v>
      </c>
      <c r="G1" s="184" t="s">
        <v>672</v>
      </c>
      <c r="H1" s="184" t="s">
        <v>673</v>
      </c>
      <c r="I1" s="184" t="s">
        <v>674</v>
      </c>
      <c r="J1" s="184" t="s">
        <v>675</v>
      </c>
      <c r="K1" s="184" t="s">
        <v>676</v>
      </c>
      <c r="L1" s="184" t="s">
        <v>677</v>
      </c>
      <c r="M1" s="184" t="s">
        <v>678</v>
      </c>
      <c r="N1" s="184" t="s">
        <v>679</v>
      </c>
      <c r="O1" s="184" t="s">
        <v>680</v>
      </c>
      <c r="P1" s="184" t="s">
        <v>681</v>
      </c>
      <c r="Q1" s="184" t="s">
        <v>682</v>
      </c>
      <c r="R1" s="184" t="s">
        <v>683</v>
      </c>
      <c r="S1" s="184" t="s">
        <v>684</v>
      </c>
      <c r="T1" s="184" t="s">
        <v>685</v>
      </c>
      <c r="U1" s="184" t="s">
        <v>686</v>
      </c>
      <c r="V1" s="184" t="s">
        <v>687</v>
      </c>
      <c r="W1" s="184" t="s">
        <v>688</v>
      </c>
      <c r="X1" s="184" t="s">
        <v>689</v>
      </c>
      <c r="Y1" s="184" t="s">
        <v>690</v>
      </c>
      <c r="Z1" s="184" t="s">
        <v>691</v>
      </c>
      <c r="AA1" s="184" t="s">
        <v>692</v>
      </c>
      <c r="AB1" s="184" t="s">
        <v>693</v>
      </c>
      <c r="AC1" s="184" t="s">
        <v>694</v>
      </c>
      <c r="AD1" s="184" t="s">
        <v>695</v>
      </c>
      <c r="AE1" s="184" t="s">
        <v>696</v>
      </c>
      <c r="AF1" s="184" t="s">
        <v>697</v>
      </c>
      <c r="AG1" s="184" t="s">
        <v>698</v>
      </c>
      <c r="AH1" s="184" t="s">
        <v>699</v>
      </c>
      <c r="AI1" s="184" t="s">
        <v>700</v>
      </c>
      <c r="AJ1" s="184" t="s">
        <v>701</v>
      </c>
      <c r="AK1" s="184" t="s">
        <v>702</v>
      </c>
      <c r="AL1" s="184" t="s">
        <v>703</v>
      </c>
      <c r="AM1" s="184" t="s">
        <v>704</v>
      </c>
      <c r="AN1" s="184" t="s">
        <v>705</v>
      </c>
      <c r="AO1" s="184" t="s">
        <v>706</v>
      </c>
      <c r="AP1" s="184" t="s">
        <v>707</v>
      </c>
      <c r="AQ1" s="184" t="s">
        <v>708</v>
      </c>
      <c r="AR1" s="184" t="s">
        <v>709</v>
      </c>
      <c r="AS1" s="184" t="s">
        <v>710</v>
      </c>
      <c r="AT1" s="184" t="s">
        <v>711</v>
      </c>
      <c r="AU1" s="185" t="s">
        <v>712</v>
      </c>
    </row>
    <row r="2" spans="1:47" ht="60" customHeight="1" outlineLevel="1" x14ac:dyDescent="0.35">
      <c r="A2" s="175" t="s">
        <v>2308</v>
      </c>
      <c r="B2" s="149" t="s">
        <v>19</v>
      </c>
      <c r="C2" s="147" t="s">
        <v>2309</v>
      </c>
      <c r="D2" s="153" t="s">
        <v>2310</v>
      </c>
      <c r="E2" s="156" t="s">
        <v>19</v>
      </c>
      <c r="F2" s="159" t="s">
        <v>19</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2308</v>
      </c>
      <c r="B3" s="150" t="s">
        <v>2311</v>
      </c>
      <c r="C3" s="148" t="s">
        <v>2312</v>
      </c>
      <c r="D3" s="154" t="s">
        <v>2313</v>
      </c>
      <c r="E3" s="157" t="s">
        <v>19</v>
      </c>
      <c r="F3" s="160" t="s">
        <v>19</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2308</v>
      </c>
      <c r="B4" s="151" t="s">
        <v>2311</v>
      </c>
      <c r="C4" s="152" t="s">
        <v>2314</v>
      </c>
      <c r="D4" s="155" t="s">
        <v>2315</v>
      </c>
      <c r="E4" s="158" t="s">
        <v>2316</v>
      </c>
      <c r="F4" s="161" t="s">
        <v>2317</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2308</v>
      </c>
      <c r="B5" s="151" t="s">
        <v>2311</v>
      </c>
      <c r="C5" s="152" t="s">
        <v>2318</v>
      </c>
      <c r="D5" s="155" t="s">
        <v>2319</v>
      </c>
      <c r="E5" s="158" t="s">
        <v>2320</v>
      </c>
      <c r="F5" s="161" t="s">
        <v>2321</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2308</v>
      </c>
      <c r="B6" s="151" t="s">
        <v>2311</v>
      </c>
      <c r="C6" s="152" t="s">
        <v>2322</v>
      </c>
      <c r="D6" s="155" t="s">
        <v>2323</v>
      </c>
      <c r="E6" s="158" t="s">
        <v>2324</v>
      </c>
      <c r="F6" s="161" t="s">
        <v>2321</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2308</v>
      </c>
      <c r="B7" s="151" t="s">
        <v>2311</v>
      </c>
      <c r="C7" s="152" t="s">
        <v>2325</v>
      </c>
      <c r="D7" s="155" t="s">
        <v>2326</v>
      </c>
      <c r="E7" s="158" t="s">
        <v>2327</v>
      </c>
      <c r="F7" s="161" t="s">
        <v>2321</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2308</v>
      </c>
      <c r="B8" s="151" t="s">
        <v>2311</v>
      </c>
      <c r="C8" s="152" t="s">
        <v>2328</v>
      </c>
      <c r="D8" s="155" t="s">
        <v>2329</v>
      </c>
      <c r="E8" s="158" t="s">
        <v>2330</v>
      </c>
      <c r="F8" s="161" t="s">
        <v>2331</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2308</v>
      </c>
      <c r="B9" s="150" t="s">
        <v>2332</v>
      </c>
      <c r="C9" s="148" t="s">
        <v>2333</v>
      </c>
      <c r="D9" s="154" t="s">
        <v>2334</v>
      </c>
      <c r="E9" s="157" t="s">
        <v>19</v>
      </c>
      <c r="F9" s="160" t="s">
        <v>19</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2308</v>
      </c>
      <c r="B10" s="151" t="s">
        <v>2332</v>
      </c>
      <c r="C10" s="152" t="s">
        <v>2335</v>
      </c>
      <c r="D10" s="155" t="s">
        <v>2336</v>
      </c>
      <c r="E10" s="158" t="s">
        <v>2337</v>
      </c>
      <c r="F10" s="161" t="s">
        <v>2317</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2308</v>
      </c>
      <c r="B11" s="151" t="s">
        <v>2332</v>
      </c>
      <c r="C11" s="152" t="s">
        <v>2338</v>
      </c>
      <c r="D11" s="155" t="s">
        <v>2339</v>
      </c>
      <c r="E11" s="158" t="s">
        <v>2340</v>
      </c>
      <c r="F11" s="161" t="s">
        <v>2317</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2308</v>
      </c>
      <c r="B12" s="151" t="s">
        <v>2332</v>
      </c>
      <c r="C12" s="152" t="s">
        <v>2341</v>
      </c>
      <c r="D12" s="155" t="s">
        <v>2342</v>
      </c>
      <c r="E12" s="158" t="s">
        <v>2343</v>
      </c>
      <c r="F12" s="161" t="s">
        <v>2317</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2308</v>
      </c>
      <c r="B13" s="150" t="s">
        <v>2344</v>
      </c>
      <c r="C13" s="148" t="s">
        <v>2345</v>
      </c>
      <c r="D13" s="154" t="s">
        <v>2346</v>
      </c>
      <c r="E13" s="157" t="s">
        <v>19</v>
      </c>
      <c r="F13" s="160" t="s">
        <v>19</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2308</v>
      </c>
      <c r="B14" s="151" t="s">
        <v>2344</v>
      </c>
      <c r="C14" s="152" t="s">
        <v>2347</v>
      </c>
      <c r="D14" s="155" t="s">
        <v>2348</v>
      </c>
      <c r="E14" s="158" t="s">
        <v>2349</v>
      </c>
      <c r="F14" s="161" t="s">
        <v>2317</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2308</v>
      </c>
      <c r="B15" s="151" t="s">
        <v>2344</v>
      </c>
      <c r="C15" s="152" t="s">
        <v>2350</v>
      </c>
      <c r="D15" s="155" t="s">
        <v>2351</v>
      </c>
      <c r="E15" s="158" t="s">
        <v>2352</v>
      </c>
      <c r="F15" s="161" t="s">
        <v>2317</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2308</v>
      </c>
      <c r="B16" s="150" t="s">
        <v>2353</v>
      </c>
      <c r="C16" s="148" t="s">
        <v>2354</v>
      </c>
      <c r="D16" s="154" t="s">
        <v>2355</v>
      </c>
      <c r="E16" s="157" t="s">
        <v>19</v>
      </c>
      <c r="F16" s="160" t="s">
        <v>19</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2308</v>
      </c>
      <c r="B17" s="151" t="s">
        <v>2353</v>
      </c>
      <c r="C17" s="152" t="s">
        <v>2356</v>
      </c>
      <c r="D17" s="155" t="s">
        <v>2357</v>
      </c>
      <c r="E17" s="158" t="s">
        <v>2358</v>
      </c>
      <c r="F17" s="161" t="s">
        <v>2317</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2308</v>
      </c>
      <c r="B18" s="151" t="s">
        <v>2353</v>
      </c>
      <c r="C18" s="152" t="s">
        <v>2359</v>
      </c>
      <c r="D18" s="155" t="s">
        <v>2360</v>
      </c>
      <c r="E18" s="158" t="s">
        <v>2361</v>
      </c>
      <c r="F18" s="161" t="s">
        <v>2321</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2308</v>
      </c>
      <c r="B19" s="151" t="s">
        <v>2353</v>
      </c>
      <c r="C19" s="152" t="s">
        <v>2362</v>
      </c>
      <c r="D19" s="155" t="s">
        <v>2363</v>
      </c>
      <c r="E19" s="158" t="s">
        <v>2364</v>
      </c>
      <c r="F19" s="161" t="s">
        <v>2317</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2308</v>
      </c>
      <c r="B20" s="151" t="s">
        <v>2353</v>
      </c>
      <c r="C20" s="152" t="s">
        <v>2365</v>
      </c>
      <c r="D20" s="155" t="s">
        <v>2366</v>
      </c>
      <c r="E20" s="158" t="s">
        <v>2367</v>
      </c>
      <c r="F20" s="161" t="s">
        <v>2317</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2308</v>
      </c>
      <c r="B21" s="151" t="s">
        <v>2353</v>
      </c>
      <c r="C21" s="152" t="s">
        <v>2368</v>
      </c>
      <c r="D21" s="155" t="s">
        <v>2369</v>
      </c>
      <c r="E21" s="158" t="s">
        <v>2370</v>
      </c>
      <c r="F21" s="161" t="s">
        <v>2321</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2308</v>
      </c>
      <c r="B22" s="151" t="s">
        <v>2353</v>
      </c>
      <c r="C22" s="152" t="s">
        <v>2371</v>
      </c>
      <c r="D22" s="155" t="s">
        <v>2372</v>
      </c>
      <c r="E22" s="158" t="s">
        <v>2373</v>
      </c>
      <c r="F22" s="161" t="s">
        <v>2317</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2308</v>
      </c>
      <c r="B23" s="151" t="s">
        <v>2353</v>
      </c>
      <c r="C23" s="152" t="s">
        <v>2374</v>
      </c>
      <c r="D23" s="155" t="s">
        <v>2375</v>
      </c>
      <c r="E23" s="158" t="s">
        <v>2376</v>
      </c>
      <c r="F23" s="161" t="s">
        <v>2317</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2308</v>
      </c>
      <c r="B24" s="150" t="s">
        <v>2377</v>
      </c>
      <c r="C24" s="148" t="s">
        <v>2378</v>
      </c>
      <c r="D24" s="154" t="s">
        <v>2379</v>
      </c>
      <c r="E24" s="157" t="s">
        <v>19</v>
      </c>
      <c r="F24" s="160" t="s">
        <v>19</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2308</v>
      </c>
      <c r="B25" s="151" t="s">
        <v>2377</v>
      </c>
      <c r="C25" s="152" t="s">
        <v>2380</v>
      </c>
      <c r="D25" s="155" t="s">
        <v>2381</v>
      </c>
      <c r="E25" s="158" t="s">
        <v>2382</v>
      </c>
      <c r="F25" s="161" t="s">
        <v>2317</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2308</v>
      </c>
      <c r="B26" s="151" t="s">
        <v>2377</v>
      </c>
      <c r="C26" s="152" t="s">
        <v>2383</v>
      </c>
      <c r="D26" s="155" t="s">
        <v>2384</v>
      </c>
      <c r="E26" s="158" t="s">
        <v>2385</v>
      </c>
      <c r="F26" s="161" t="s">
        <v>2317</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2308</v>
      </c>
      <c r="B27" s="151" t="s">
        <v>2377</v>
      </c>
      <c r="C27" s="152" t="s">
        <v>2386</v>
      </c>
      <c r="D27" s="155" t="s">
        <v>2387</v>
      </c>
      <c r="E27" s="158" t="s">
        <v>2388</v>
      </c>
      <c r="F27" s="161" t="s">
        <v>2321</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2308</v>
      </c>
      <c r="B28" s="151" t="s">
        <v>2377</v>
      </c>
      <c r="C28" s="152" t="s">
        <v>2389</v>
      </c>
      <c r="D28" s="155" t="s">
        <v>2390</v>
      </c>
      <c r="E28" s="158" t="s">
        <v>2391</v>
      </c>
      <c r="F28" s="161" t="s">
        <v>2317</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2308</v>
      </c>
      <c r="B29" s="150" t="s">
        <v>2392</v>
      </c>
      <c r="C29" s="148" t="s">
        <v>2393</v>
      </c>
      <c r="D29" s="154" t="s">
        <v>2394</v>
      </c>
      <c r="E29" s="157" t="s">
        <v>19</v>
      </c>
      <c r="F29" s="160" t="s">
        <v>19</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2308</v>
      </c>
      <c r="B30" s="151" t="s">
        <v>2392</v>
      </c>
      <c r="C30" s="152" t="s">
        <v>2395</v>
      </c>
      <c r="D30" s="155" t="s">
        <v>2396</v>
      </c>
      <c r="E30" s="158" t="s">
        <v>2397</v>
      </c>
      <c r="F30" s="161" t="s">
        <v>2331</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2308</v>
      </c>
      <c r="B31" s="151" t="s">
        <v>2392</v>
      </c>
      <c r="C31" s="152" t="s">
        <v>2398</v>
      </c>
      <c r="D31" s="155" t="s">
        <v>2399</v>
      </c>
      <c r="E31" s="158" t="s">
        <v>2400</v>
      </c>
      <c r="F31" s="161" t="s">
        <v>2331</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2308</v>
      </c>
      <c r="B32" s="151" t="s">
        <v>2392</v>
      </c>
      <c r="C32" s="152" t="s">
        <v>2401</v>
      </c>
      <c r="D32" s="155" t="s">
        <v>2402</v>
      </c>
      <c r="E32" s="158" t="s">
        <v>2403</v>
      </c>
      <c r="F32" s="161" t="s">
        <v>2331</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2308</v>
      </c>
      <c r="B33" s="151" t="s">
        <v>2392</v>
      </c>
      <c r="C33" s="152" t="s">
        <v>2404</v>
      </c>
      <c r="D33" s="155" t="s">
        <v>2405</v>
      </c>
      <c r="E33" s="158" t="s">
        <v>2406</v>
      </c>
      <c r="F33" s="161" t="s">
        <v>2331</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2308</v>
      </c>
      <c r="B34" s="151" t="s">
        <v>2392</v>
      </c>
      <c r="C34" s="152" t="s">
        <v>2407</v>
      </c>
      <c r="D34" s="155" t="s">
        <v>2408</v>
      </c>
      <c r="E34" s="158" t="s">
        <v>2409</v>
      </c>
      <c r="F34" s="161" t="s">
        <v>2331</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2308</v>
      </c>
      <c r="B35" s="151" t="s">
        <v>2392</v>
      </c>
      <c r="C35" s="152" t="s">
        <v>2410</v>
      </c>
      <c r="D35" s="155" t="s">
        <v>2411</v>
      </c>
      <c r="E35" s="158" t="s">
        <v>2412</v>
      </c>
      <c r="F35" s="161" t="s">
        <v>2331</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2308</v>
      </c>
      <c r="B36" s="151" t="s">
        <v>2392</v>
      </c>
      <c r="C36" s="152" t="s">
        <v>2413</v>
      </c>
      <c r="D36" s="155" t="s">
        <v>2414</v>
      </c>
      <c r="E36" s="158" t="s">
        <v>2415</v>
      </c>
      <c r="F36" s="161" t="s">
        <v>2331</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2308</v>
      </c>
      <c r="B37" s="151" t="s">
        <v>2392</v>
      </c>
      <c r="C37" s="152" t="s">
        <v>2416</v>
      </c>
      <c r="D37" s="155" t="s">
        <v>2417</v>
      </c>
      <c r="E37" s="158" t="s">
        <v>2418</v>
      </c>
      <c r="F37" s="161" t="s">
        <v>2331</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2308</v>
      </c>
      <c r="B38" s="151" t="s">
        <v>2392</v>
      </c>
      <c r="C38" s="152" t="s">
        <v>2419</v>
      </c>
      <c r="D38" s="155" t="s">
        <v>2420</v>
      </c>
      <c r="E38" s="158" t="s">
        <v>2421</v>
      </c>
      <c r="F38" s="161" t="s">
        <v>2331</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2308</v>
      </c>
      <c r="B39" s="151" t="s">
        <v>2392</v>
      </c>
      <c r="C39" s="152" t="s">
        <v>2422</v>
      </c>
      <c r="D39" s="155" t="s">
        <v>2423</v>
      </c>
      <c r="E39" s="158" t="s">
        <v>2424</v>
      </c>
      <c r="F39" s="161" t="s">
        <v>2331</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2425</v>
      </c>
      <c r="B40" s="149" t="s">
        <v>19</v>
      </c>
      <c r="C40" s="147" t="s">
        <v>2426</v>
      </c>
      <c r="D40" s="153" t="s">
        <v>2427</v>
      </c>
      <c r="E40" s="156" t="s">
        <v>19</v>
      </c>
      <c r="F40" s="159" t="s">
        <v>19</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2425</v>
      </c>
      <c r="B41" s="150" t="s">
        <v>2428</v>
      </c>
      <c r="C41" s="148" t="s">
        <v>2429</v>
      </c>
      <c r="D41" s="154" t="s">
        <v>2430</v>
      </c>
      <c r="E41" s="157" t="s">
        <v>19</v>
      </c>
      <c r="F41" s="160" t="s">
        <v>19</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2425</v>
      </c>
      <c r="B42" s="151" t="s">
        <v>2428</v>
      </c>
      <c r="C42" s="152" t="s">
        <v>2431</v>
      </c>
      <c r="D42" s="155" t="s">
        <v>2432</v>
      </c>
      <c r="E42" s="158" t="s">
        <v>2433</v>
      </c>
      <c r="F42" s="161" t="s">
        <v>2317</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2425</v>
      </c>
      <c r="B43" s="151" t="s">
        <v>2428</v>
      </c>
      <c r="C43" s="152" t="s">
        <v>2434</v>
      </c>
      <c r="D43" s="155" t="s">
        <v>2435</v>
      </c>
      <c r="E43" s="158" t="s">
        <v>2436</v>
      </c>
      <c r="F43" s="161" t="s">
        <v>2317</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2425</v>
      </c>
      <c r="B44" s="151" t="s">
        <v>2428</v>
      </c>
      <c r="C44" s="152" t="s">
        <v>2437</v>
      </c>
      <c r="D44" s="155" t="s">
        <v>2438</v>
      </c>
      <c r="E44" s="158" t="s">
        <v>2439</v>
      </c>
      <c r="F44" s="161" t="s">
        <v>2321</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2425</v>
      </c>
      <c r="B45" s="151" t="s">
        <v>2428</v>
      </c>
      <c r="C45" s="152" t="s">
        <v>2440</v>
      </c>
      <c r="D45" s="155" t="s">
        <v>2441</v>
      </c>
      <c r="E45" s="158" t="s">
        <v>2442</v>
      </c>
      <c r="F45" s="161" t="s">
        <v>2331</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2425</v>
      </c>
      <c r="B46" s="151" t="s">
        <v>2428</v>
      </c>
      <c r="C46" s="152" t="s">
        <v>2443</v>
      </c>
      <c r="D46" s="155" t="s">
        <v>2444</v>
      </c>
      <c r="E46" s="158" t="s">
        <v>2445</v>
      </c>
      <c r="F46" s="161" t="s">
        <v>2317</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2425</v>
      </c>
      <c r="B47" s="151" t="s">
        <v>2428</v>
      </c>
      <c r="C47" s="152" t="s">
        <v>2446</v>
      </c>
      <c r="D47" s="155" t="s">
        <v>2447</v>
      </c>
      <c r="E47" s="158"/>
      <c r="F47" s="161" t="s">
        <v>19</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2425</v>
      </c>
      <c r="B48" s="151" t="s">
        <v>2428</v>
      </c>
      <c r="C48" s="152" t="s">
        <v>2448</v>
      </c>
      <c r="D48" s="155" t="s">
        <v>2449</v>
      </c>
      <c r="E48" s="158" t="s">
        <v>2450</v>
      </c>
      <c r="F48" s="161" t="s">
        <v>2317</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2425</v>
      </c>
      <c r="B49" s="151" t="s">
        <v>2428</v>
      </c>
      <c r="C49" s="152" t="s">
        <v>2451</v>
      </c>
      <c r="D49" s="155" t="s">
        <v>2452</v>
      </c>
      <c r="E49" s="158" t="s">
        <v>2453</v>
      </c>
      <c r="F49" s="161" t="s">
        <v>2321</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2425</v>
      </c>
      <c r="B50" s="150" t="s">
        <v>2454</v>
      </c>
      <c r="C50" s="148" t="s">
        <v>2455</v>
      </c>
      <c r="D50" s="154"/>
      <c r="E50" s="157" t="s">
        <v>19</v>
      </c>
      <c r="F50" s="160" t="s">
        <v>19</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2425</v>
      </c>
      <c r="B51" s="151" t="s">
        <v>2454</v>
      </c>
      <c r="C51" s="152" t="s">
        <v>2456</v>
      </c>
      <c r="D51" s="155" t="s">
        <v>2457</v>
      </c>
      <c r="E51" s="158"/>
      <c r="F51" s="161" t="s">
        <v>19</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2425</v>
      </c>
      <c r="B52" s="151" t="s">
        <v>2454</v>
      </c>
      <c r="C52" s="152" t="s">
        <v>2458</v>
      </c>
      <c r="D52" s="155" t="s">
        <v>2459</v>
      </c>
      <c r="E52" s="158"/>
      <c r="F52" s="161" t="s">
        <v>19</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2425</v>
      </c>
      <c r="B53" s="151" t="s">
        <v>2454</v>
      </c>
      <c r="C53" s="152" t="s">
        <v>2460</v>
      </c>
      <c r="D53" s="155" t="s">
        <v>2461</v>
      </c>
      <c r="E53" s="158"/>
      <c r="F53" s="161" t="s">
        <v>19</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2425</v>
      </c>
      <c r="B54" s="151" t="s">
        <v>2454</v>
      </c>
      <c r="C54" s="152" t="s">
        <v>2462</v>
      </c>
      <c r="D54" s="155" t="s">
        <v>2463</v>
      </c>
      <c r="E54" s="158"/>
      <c r="F54" s="161" t="s">
        <v>19</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2425</v>
      </c>
      <c r="B55" s="151" t="s">
        <v>2454</v>
      </c>
      <c r="C55" s="152" t="s">
        <v>2464</v>
      </c>
      <c r="D55" s="155" t="s">
        <v>2465</v>
      </c>
      <c r="E55" s="158"/>
      <c r="F55" s="161" t="s">
        <v>19</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2425</v>
      </c>
      <c r="B56" s="150" t="s">
        <v>579</v>
      </c>
      <c r="C56" s="148" t="s">
        <v>2466</v>
      </c>
      <c r="D56" s="154"/>
      <c r="E56" s="157" t="s">
        <v>19</v>
      </c>
      <c r="F56" s="160" t="s">
        <v>19</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2425</v>
      </c>
      <c r="B57" s="151" t="s">
        <v>579</v>
      </c>
      <c r="C57" s="152" t="s">
        <v>2467</v>
      </c>
      <c r="D57" s="155" t="s">
        <v>2468</v>
      </c>
      <c r="E57" s="158"/>
      <c r="F57" s="161" t="s">
        <v>19</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2425</v>
      </c>
      <c r="B58" s="151" t="s">
        <v>579</v>
      </c>
      <c r="C58" s="152" t="s">
        <v>2469</v>
      </c>
      <c r="D58" s="155" t="s">
        <v>2470</v>
      </c>
      <c r="E58" s="158"/>
      <c r="F58" s="161" t="s">
        <v>19</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2425</v>
      </c>
      <c r="B59" s="151" t="s">
        <v>579</v>
      </c>
      <c r="C59" s="152" t="s">
        <v>2471</v>
      </c>
      <c r="D59" s="155" t="s">
        <v>2472</v>
      </c>
      <c r="E59" s="158"/>
      <c r="F59" s="161" t="s">
        <v>19</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2425</v>
      </c>
      <c r="B60" s="151" t="s">
        <v>579</v>
      </c>
      <c r="C60" s="152" t="s">
        <v>2473</v>
      </c>
      <c r="D60" s="155" t="s">
        <v>2474</v>
      </c>
      <c r="E60" s="158"/>
      <c r="F60" s="161" t="s">
        <v>19</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2425</v>
      </c>
      <c r="B61" s="150" t="s">
        <v>2475</v>
      </c>
      <c r="C61" s="148" t="s">
        <v>2476</v>
      </c>
      <c r="D61" s="154" t="s">
        <v>2477</v>
      </c>
      <c r="E61" s="157" t="s">
        <v>19</v>
      </c>
      <c r="F61" s="160" t="s">
        <v>19</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2425</v>
      </c>
      <c r="B62" s="151" t="s">
        <v>2475</v>
      </c>
      <c r="C62" s="152" t="s">
        <v>2478</v>
      </c>
      <c r="D62" s="155" t="s">
        <v>2479</v>
      </c>
      <c r="E62" s="158" t="s">
        <v>2480</v>
      </c>
      <c r="F62" s="161" t="s">
        <v>2317</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2425</v>
      </c>
      <c r="B63" s="151" t="s">
        <v>2475</v>
      </c>
      <c r="C63" s="152" t="s">
        <v>2481</v>
      </c>
      <c r="D63" s="155" t="s">
        <v>2482</v>
      </c>
      <c r="E63" s="158" t="s">
        <v>2483</v>
      </c>
      <c r="F63" s="161" t="s">
        <v>2321</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2425</v>
      </c>
      <c r="B64" s="151" t="s">
        <v>2475</v>
      </c>
      <c r="C64" s="152" t="s">
        <v>2484</v>
      </c>
      <c r="D64" s="155" t="s">
        <v>2485</v>
      </c>
      <c r="E64" s="158" t="s">
        <v>2486</v>
      </c>
      <c r="F64" s="161" t="s">
        <v>2317</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2425</v>
      </c>
      <c r="B65" s="151" t="s">
        <v>2475</v>
      </c>
      <c r="C65" s="152" t="s">
        <v>2487</v>
      </c>
      <c r="D65" s="155" t="s">
        <v>2488</v>
      </c>
      <c r="E65" s="158" t="s">
        <v>2489</v>
      </c>
      <c r="F65" s="161" t="s">
        <v>2317</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2425</v>
      </c>
      <c r="B66" s="150" t="s">
        <v>2083</v>
      </c>
      <c r="C66" s="148" t="s">
        <v>2490</v>
      </c>
      <c r="D66" s="154" t="s">
        <v>2491</v>
      </c>
      <c r="E66" s="157" t="s">
        <v>19</v>
      </c>
      <c r="F66" s="160" t="s">
        <v>19</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2425</v>
      </c>
      <c r="B67" s="151" t="s">
        <v>2083</v>
      </c>
      <c r="C67" s="152" t="s">
        <v>2492</v>
      </c>
      <c r="D67" s="155" t="s">
        <v>2493</v>
      </c>
      <c r="E67" s="158" t="s">
        <v>2494</v>
      </c>
      <c r="F67" s="161" t="s">
        <v>2317</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2425</v>
      </c>
      <c r="B68" s="151" t="s">
        <v>2083</v>
      </c>
      <c r="C68" s="152" t="s">
        <v>2495</v>
      </c>
      <c r="D68" s="155" t="s">
        <v>2496</v>
      </c>
      <c r="E68" s="158" t="s">
        <v>2497</v>
      </c>
      <c r="F68" s="161" t="s">
        <v>2317</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2425</v>
      </c>
      <c r="B69" s="151" t="s">
        <v>2083</v>
      </c>
      <c r="C69" s="152" t="s">
        <v>2498</v>
      </c>
      <c r="D69" s="155" t="s">
        <v>2499</v>
      </c>
      <c r="E69" s="158" t="s">
        <v>2500</v>
      </c>
      <c r="F69" s="161" t="s">
        <v>2321</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2425</v>
      </c>
      <c r="B70" s="151" t="s">
        <v>2083</v>
      </c>
      <c r="C70" s="152" t="s">
        <v>2501</v>
      </c>
      <c r="D70" s="155" t="s">
        <v>2502</v>
      </c>
      <c r="E70" s="158" t="s">
        <v>2503</v>
      </c>
      <c r="F70" s="161" t="s">
        <v>2317</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2425</v>
      </c>
      <c r="B71" s="151" t="s">
        <v>2083</v>
      </c>
      <c r="C71" s="152" t="s">
        <v>2504</v>
      </c>
      <c r="D71" s="155" t="s">
        <v>2505</v>
      </c>
      <c r="E71" s="158" t="s">
        <v>2506</v>
      </c>
      <c r="F71" s="161" t="s">
        <v>2317</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2425</v>
      </c>
      <c r="B72" s="151" t="s">
        <v>2083</v>
      </c>
      <c r="C72" s="152" t="s">
        <v>2507</v>
      </c>
      <c r="D72" s="155" t="s">
        <v>2508</v>
      </c>
      <c r="E72" s="158" t="s">
        <v>2509</v>
      </c>
      <c r="F72" s="161" t="s">
        <v>2317</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2425</v>
      </c>
      <c r="B73" s="151" t="s">
        <v>2083</v>
      </c>
      <c r="C73" s="152" t="s">
        <v>2510</v>
      </c>
      <c r="D73" s="155" t="s">
        <v>2511</v>
      </c>
      <c r="E73" s="158" t="s">
        <v>2512</v>
      </c>
      <c r="F73" s="161" t="s">
        <v>19</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2425</v>
      </c>
      <c r="B74" s="151" t="s">
        <v>2083</v>
      </c>
      <c r="C74" s="152" t="s">
        <v>2513</v>
      </c>
      <c r="D74" s="155" t="s">
        <v>2514</v>
      </c>
      <c r="E74" s="158" t="s">
        <v>2515</v>
      </c>
      <c r="F74" s="161" t="s">
        <v>2321</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2425</v>
      </c>
      <c r="B75" s="151" t="s">
        <v>2083</v>
      </c>
      <c r="C75" s="152" t="s">
        <v>2516</v>
      </c>
      <c r="D75" s="155" t="s">
        <v>2517</v>
      </c>
      <c r="E75" s="158" t="s">
        <v>2518</v>
      </c>
      <c r="F75" s="161" t="s">
        <v>2331</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2425</v>
      </c>
      <c r="B76" s="151" t="s">
        <v>2083</v>
      </c>
      <c r="C76" s="152" t="s">
        <v>2519</v>
      </c>
      <c r="D76" s="155" t="s">
        <v>2520</v>
      </c>
      <c r="E76" s="158" t="s">
        <v>2521</v>
      </c>
      <c r="F76" s="161" t="s">
        <v>19</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2425</v>
      </c>
      <c r="B77" s="150" t="s">
        <v>2353</v>
      </c>
      <c r="C77" s="148" t="s">
        <v>2522</v>
      </c>
      <c r="D77" s="154"/>
      <c r="E77" s="157" t="s">
        <v>19</v>
      </c>
      <c r="F77" s="160" t="s">
        <v>19</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2425</v>
      </c>
      <c r="B78" s="151" t="s">
        <v>2353</v>
      </c>
      <c r="C78" s="152" t="s">
        <v>2523</v>
      </c>
      <c r="D78" s="155" t="s">
        <v>2524</v>
      </c>
      <c r="E78" s="158"/>
      <c r="F78" s="161" t="s">
        <v>19</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2425</v>
      </c>
      <c r="B79" s="151" t="s">
        <v>2353</v>
      </c>
      <c r="C79" s="152" t="s">
        <v>2525</v>
      </c>
      <c r="D79" s="155" t="s">
        <v>2526</v>
      </c>
      <c r="E79" s="158"/>
      <c r="F79" s="161" t="s">
        <v>19</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2425</v>
      </c>
      <c r="B80" s="151" t="s">
        <v>2353</v>
      </c>
      <c r="C80" s="152" t="s">
        <v>2527</v>
      </c>
      <c r="D80" s="155" t="s">
        <v>2528</v>
      </c>
      <c r="E80" s="158"/>
      <c r="F80" s="161" t="s">
        <v>19</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2425</v>
      </c>
      <c r="B81" s="150" t="s">
        <v>2281</v>
      </c>
      <c r="C81" s="148" t="s">
        <v>2529</v>
      </c>
      <c r="D81" s="154"/>
      <c r="E81" s="157" t="s">
        <v>19</v>
      </c>
      <c r="F81" s="160" t="s">
        <v>19</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2425</v>
      </c>
      <c r="B82" s="151" t="s">
        <v>2281</v>
      </c>
      <c r="C82" s="152" t="s">
        <v>2530</v>
      </c>
      <c r="D82" s="155" t="s">
        <v>2531</v>
      </c>
      <c r="E82" s="158"/>
      <c r="F82" s="161" t="s">
        <v>19</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2425</v>
      </c>
      <c r="B83" s="151" t="s">
        <v>2281</v>
      </c>
      <c r="C83" s="152" t="s">
        <v>2532</v>
      </c>
      <c r="D83" s="155" t="s">
        <v>2533</v>
      </c>
      <c r="E83" s="158"/>
      <c r="F83" s="161" t="s">
        <v>19</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2425</v>
      </c>
      <c r="B84" s="151" t="s">
        <v>2281</v>
      </c>
      <c r="C84" s="152" t="s">
        <v>2534</v>
      </c>
      <c r="D84" s="155" t="s">
        <v>2535</v>
      </c>
      <c r="E84" s="158"/>
      <c r="F84" s="161" t="s">
        <v>19</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2425</v>
      </c>
      <c r="B85" s="151" t="s">
        <v>2281</v>
      </c>
      <c r="C85" s="152" t="s">
        <v>2536</v>
      </c>
      <c r="D85" s="155" t="s">
        <v>2537</v>
      </c>
      <c r="E85" s="158"/>
      <c r="F85" s="161" t="s">
        <v>19</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2425</v>
      </c>
      <c r="B86" s="151" t="s">
        <v>2281</v>
      </c>
      <c r="C86" s="152" t="s">
        <v>2538</v>
      </c>
      <c r="D86" s="155" t="s">
        <v>2539</v>
      </c>
      <c r="E86" s="158"/>
      <c r="F86" s="161" t="s">
        <v>19</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2540</v>
      </c>
      <c r="B87" s="149" t="s">
        <v>19</v>
      </c>
      <c r="C87" s="147" t="s">
        <v>2541</v>
      </c>
      <c r="D87" s="153" t="s">
        <v>2542</v>
      </c>
      <c r="E87" s="156" t="s">
        <v>19</v>
      </c>
      <c r="F87" s="159" t="s">
        <v>19</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2540</v>
      </c>
      <c r="B88" s="150" t="s">
        <v>2543</v>
      </c>
      <c r="C88" s="148" t="s">
        <v>2544</v>
      </c>
      <c r="D88" s="154" t="s">
        <v>2545</v>
      </c>
      <c r="E88" s="157" t="s">
        <v>19</v>
      </c>
      <c r="F88" s="160" t="s">
        <v>19</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2540</v>
      </c>
      <c r="B89" s="151" t="s">
        <v>2543</v>
      </c>
      <c r="C89" s="152" t="s">
        <v>2546</v>
      </c>
      <c r="D89" s="155" t="s">
        <v>2547</v>
      </c>
      <c r="E89" s="158" t="s">
        <v>2548</v>
      </c>
      <c r="F89" s="161" t="s">
        <v>2317</v>
      </c>
      <c r="G89" s="164">
        <f>IF(COUNTIF(H89:AU89,"&lt;&gt;")=0,"",SUMPRODUCT(((Recommendations[ImplStatus]="Implemented")+(Recommendations[ImplStatus]="Compensated"))*ISNUMBER(MATCH(Recommendations[Id],H89:AU89,0)))/COUNTIF(H89:AU89,"&lt;&gt;"))</f>
        <v>0</v>
      </c>
      <c r="H89" s="167" t="s">
        <v>28</v>
      </c>
      <c r="I89" s="167" t="s">
        <v>33</v>
      </c>
      <c r="J89" s="167"/>
      <c r="K89" s="167"/>
      <c r="L89" s="167"/>
      <c r="M89" s="167"/>
      <c r="N89" s="167"/>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2540</v>
      </c>
      <c r="B90" s="151" t="s">
        <v>2543</v>
      </c>
      <c r="C90" s="152" t="s">
        <v>2549</v>
      </c>
      <c r="D90" s="155" t="s">
        <v>2550</v>
      </c>
      <c r="E90" s="158" t="s">
        <v>2551</v>
      </c>
      <c r="F90" s="161" t="s">
        <v>2321</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2540</v>
      </c>
      <c r="B91" s="151" t="s">
        <v>2543</v>
      </c>
      <c r="C91" s="152" t="s">
        <v>2552</v>
      </c>
      <c r="D91" s="155" t="s">
        <v>2553</v>
      </c>
      <c r="E91" s="158" t="s">
        <v>2554</v>
      </c>
      <c r="F91" s="161" t="s">
        <v>2317</v>
      </c>
      <c r="G91" s="164">
        <f>IF(COUNTIF(H91:AU91,"&lt;&gt;")=0,"",SUMPRODUCT(((Recommendations[ImplStatus]="Implemented")+(Recommendations[ImplStatus]="Compensated"))*ISNUMBER(MATCH(Recommendations[Id],H91:AU91,0)))/COUNTIF(H91:AU91,"&lt;&gt;"))</f>
        <v>0</v>
      </c>
      <c r="H91" s="167" t="s">
        <v>162</v>
      </c>
      <c r="I91" s="167" t="s">
        <v>197</v>
      </c>
      <c r="J91" s="167" t="s">
        <v>201</v>
      </c>
      <c r="K91" s="167" t="s">
        <v>206</v>
      </c>
      <c r="L91" s="167"/>
      <c r="M91" s="167"/>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2540</v>
      </c>
      <c r="B92" s="151" t="s">
        <v>2543</v>
      </c>
      <c r="C92" s="152" t="s">
        <v>2555</v>
      </c>
      <c r="D92" s="155" t="s">
        <v>2556</v>
      </c>
      <c r="E92" s="158" t="s">
        <v>2557</v>
      </c>
      <c r="F92" s="161" t="s">
        <v>2317</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2540</v>
      </c>
      <c r="B93" s="151" t="s">
        <v>2543</v>
      </c>
      <c r="C93" s="152" t="s">
        <v>2558</v>
      </c>
      <c r="D93" s="155" t="s">
        <v>2559</v>
      </c>
      <c r="E93" s="158" t="s">
        <v>2560</v>
      </c>
      <c r="F93" s="161" t="s">
        <v>2317</v>
      </c>
      <c r="G93" s="164">
        <f>IF(COUNTIF(H93:AU93,"&lt;&gt;")=0,"",SUMPRODUCT(((Recommendations[ImplStatus]="Implemented")+(Recommendations[ImplStatus]="Compensated"))*ISNUMBER(MATCH(Recommendations[Id],H93:AU93,0)))/COUNTIF(H93:AU93,"&lt;&gt;"))</f>
        <v>0</v>
      </c>
      <c r="H93" s="167" t="s">
        <v>56</v>
      </c>
      <c r="I93" s="167" t="s">
        <v>192</v>
      </c>
      <c r="J93" s="167" t="s">
        <v>210</v>
      </c>
      <c r="K93" s="167" t="s">
        <v>245</v>
      </c>
      <c r="L93" s="167" t="s">
        <v>250</v>
      </c>
      <c r="M93" s="167" t="s">
        <v>270</v>
      </c>
      <c r="N93" s="167" t="s">
        <v>275</v>
      </c>
      <c r="O93" s="167" t="s">
        <v>290</v>
      </c>
      <c r="P93" s="167" t="s">
        <v>300</v>
      </c>
      <c r="Q93" s="167" t="s">
        <v>305</v>
      </c>
      <c r="R93" s="167"/>
      <c r="S93" s="167"/>
      <c r="T93" s="167"/>
      <c r="U93" s="167"/>
      <c r="V93" s="167"/>
      <c r="W93" s="167"/>
      <c r="X93" s="167"/>
      <c r="Y93" s="167"/>
      <c r="Z93" s="167"/>
      <c r="AA93" s="167"/>
      <c r="AB93" s="167"/>
      <c r="AC93" s="167"/>
      <c r="AD93" s="167"/>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2540</v>
      </c>
      <c r="B94" s="151" t="s">
        <v>2543</v>
      </c>
      <c r="C94" s="152" t="s">
        <v>2561</v>
      </c>
      <c r="D94" s="155" t="s">
        <v>2562</v>
      </c>
      <c r="E94" s="158" t="s">
        <v>2563</v>
      </c>
      <c r="F94" s="161" t="s">
        <v>2321</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2540</v>
      </c>
      <c r="B95" s="150" t="s">
        <v>2564</v>
      </c>
      <c r="C95" s="148" t="s">
        <v>2565</v>
      </c>
      <c r="D95" s="154"/>
      <c r="E95" s="157" t="s">
        <v>19</v>
      </c>
      <c r="F95" s="160" t="s">
        <v>19</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2540</v>
      </c>
      <c r="B96" s="151" t="s">
        <v>2564</v>
      </c>
      <c r="C96" s="152" t="s">
        <v>2566</v>
      </c>
      <c r="D96" s="155" t="s">
        <v>2567</v>
      </c>
      <c r="E96" s="158"/>
      <c r="F96" s="161" t="s">
        <v>19</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2540</v>
      </c>
      <c r="B97" s="151" t="s">
        <v>2564</v>
      </c>
      <c r="C97" s="152" t="s">
        <v>2568</v>
      </c>
      <c r="D97" s="155" t="s">
        <v>2569</v>
      </c>
      <c r="E97" s="158"/>
      <c r="F97" s="161" t="s">
        <v>19</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2540</v>
      </c>
      <c r="B98" s="151" t="s">
        <v>2564</v>
      </c>
      <c r="C98" s="152" t="s">
        <v>2570</v>
      </c>
      <c r="D98" s="155" t="s">
        <v>2571</v>
      </c>
      <c r="E98" s="158"/>
      <c r="F98" s="161" t="s">
        <v>19</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2540</v>
      </c>
      <c r="B99" s="151" t="s">
        <v>2564</v>
      </c>
      <c r="C99" s="152" t="s">
        <v>2572</v>
      </c>
      <c r="D99" s="155" t="s">
        <v>2573</v>
      </c>
      <c r="E99" s="158"/>
      <c r="F99" s="161" t="s">
        <v>19</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2540</v>
      </c>
      <c r="B100" s="151" t="s">
        <v>2564</v>
      </c>
      <c r="C100" s="152" t="s">
        <v>2574</v>
      </c>
      <c r="D100" s="155" t="s">
        <v>2575</v>
      </c>
      <c r="E100" s="158"/>
      <c r="F100" s="161" t="s">
        <v>19</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2540</v>
      </c>
      <c r="B101" s="151" t="s">
        <v>2564</v>
      </c>
      <c r="C101" s="152" t="s">
        <v>2576</v>
      </c>
      <c r="D101" s="155" t="s">
        <v>2577</v>
      </c>
      <c r="E101" s="158"/>
      <c r="F101" s="161" t="s">
        <v>19</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2540</v>
      </c>
      <c r="B102" s="151" t="s">
        <v>2564</v>
      </c>
      <c r="C102" s="152" t="s">
        <v>2578</v>
      </c>
      <c r="D102" s="155" t="s">
        <v>2579</v>
      </c>
      <c r="E102" s="158"/>
      <c r="F102" s="161" t="s">
        <v>19</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2540</v>
      </c>
      <c r="B103" s="150" t="s">
        <v>1724</v>
      </c>
      <c r="C103" s="148" t="s">
        <v>2580</v>
      </c>
      <c r="D103" s="154" t="s">
        <v>2581</v>
      </c>
      <c r="E103" s="157" t="s">
        <v>19</v>
      </c>
      <c r="F103" s="160" t="s">
        <v>19</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2540</v>
      </c>
      <c r="B104" s="151" t="s">
        <v>1724</v>
      </c>
      <c r="C104" s="152" t="s">
        <v>2582</v>
      </c>
      <c r="D104" s="155" t="s">
        <v>2583</v>
      </c>
      <c r="E104" s="158" t="s">
        <v>2584</v>
      </c>
      <c r="F104" s="161" t="s">
        <v>2317</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2540</v>
      </c>
      <c r="B105" s="151" t="s">
        <v>1724</v>
      </c>
      <c r="C105" s="152" t="s">
        <v>2585</v>
      </c>
      <c r="D105" s="155" t="s">
        <v>2586</v>
      </c>
      <c r="E105" s="158" t="s">
        <v>2587</v>
      </c>
      <c r="F105" s="161" t="s">
        <v>2321</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2540</v>
      </c>
      <c r="B106" s="151" t="s">
        <v>1724</v>
      </c>
      <c r="C106" s="152" t="s">
        <v>2588</v>
      </c>
      <c r="D106" s="155" t="s">
        <v>2589</v>
      </c>
      <c r="E106" s="158"/>
      <c r="F106" s="161" t="s">
        <v>19</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2540</v>
      </c>
      <c r="B107" s="151" t="s">
        <v>1724</v>
      </c>
      <c r="C107" s="152" t="s">
        <v>2590</v>
      </c>
      <c r="D107" s="155" t="s">
        <v>2591</v>
      </c>
      <c r="E107" s="158"/>
      <c r="F107" s="161" t="s">
        <v>19</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2540</v>
      </c>
      <c r="B108" s="151" t="s">
        <v>1724</v>
      </c>
      <c r="C108" s="152" t="s">
        <v>2592</v>
      </c>
      <c r="D108" s="155" t="s">
        <v>2593</v>
      </c>
      <c r="E108" s="158"/>
      <c r="F108" s="161" t="s">
        <v>19</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2540</v>
      </c>
      <c r="B109" s="150" t="s">
        <v>2594</v>
      </c>
      <c r="C109" s="148" t="s">
        <v>2595</v>
      </c>
      <c r="D109" s="154" t="s">
        <v>2596</v>
      </c>
      <c r="E109" s="157" t="s">
        <v>19</v>
      </c>
      <c r="F109" s="160" t="s">
        <v>19</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2540</v>
      </c>
      <c r="B110" s="151" t="s">
        <v>2594</v>
      </c>
      <c r="C110" s="152" t="s">
        <v>2597</v>
      </c>
      <c r="D110" s="155" t="s">
        <v>2598</v>
      </c>
      <c r="E110" s="158" t="s">
        <v>2599</v>
      </c>
      <c r="F110" s="161" t="s">
        <v>2317</v>
      </c>
      <c r="G110" s="164">
        <f>IF(COUNTIF(H110:AU110,"&lt;&gt;")=0,"",SUMPRODUCT(((Recommendations[ImplStatus]="Implemented")+(Recommendations[ImplStatus]="Compensated"))*ISNUMBER(MATCH(Recommendations[Id],H110:AU110,0)))/COUNTIF(H110:AU110,"&lt;&gt;"))</f>
        <v>0</v>
      </c>
      <c r="H110" s="167" t="s">
        <v>310</v>
      </c>
      <c r="I110" s="167"/>
      <c r="J110" s="167"/>
      <c r="K110" s="167"/>
      <c r="L110" s="167"/>
      <c r="M110" s="167"/>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2540</v>
      </c>
      <c r="B111" s="151" t="s">
        <v>2594</v>
      </c>
      <c r="C111" s="152" t="s">
        <v>2600</v>
      </c>
      <c r="D111" s="155" t="s">
        <v>2601</v>
      </c>
      <c r="E111" s="158" t="s">
        <v>2602</v>
      </c>
      <c r="F111" s="161" t="s">
        <v>2317</v>
      </c>
      <c r="G111" s="164">
        <f>IF(COUNTIF(H111:AU111,"&lt;&gt;")=0,"",SUMPRODUCT(((Recommendations[ImplStatus]="Implemented")+(Recommendations[ImplStatus]="Compensated"))*ISNUMBER(MATCH(Recommendations[Id],H111:AU111,0)))/COUNTIF(H111:AU111,"&lt;&gt;"))</f>
        <v>0</v>
      </c>
      <c r="H111" s="167" t="s">
        <v>13</v>
      </c>
      <c r="I111" s="167" t="s">
        <v>23</v>
      </c>
      <c r="J111" s="167" t="s">
        <v>220</v>
      </c>
      <c r="K111" s="167" t="s">
        <v>325</v>
      </c>
      <c r="L111" s="167"/>
      <c r="M111" s="167"/>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2540</v>
      </c>
      <c r="B112" s="151" t="s">
        <v>2594</v>
      </c>
      <c r="C112" s="152" t="s">
        <v>2603</v>
      </c>
      <c r="D112" s="155" t="s">
        <v>2604</v>
      </c>
      <c r="E112" s="158"/>
      <c r="F112" s="161" t="s">
        <v>19</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2540</v>
      </c>
      <c r="B113" s="151" t="s">
        <v>2594</v>
      </c>
      <c r="C113" s="152" t="s">
        <v>2605</v>
      </c>
      <c r="D113" s="155" t="s">
        <v>2606</v>
      </c>
      <c r="E113" s="158"/>
      <c r="F113" s="161" t="s">
        <v>19</v>
      </c>
      <c r="G113" s="164">
        <f>IF(COUNTIF(H113:AU113,"&lt;&gt;")=0,"",SUMPRODUCT(((Recommendations[ImplStatus]="Implemented")+(Recommendations[ImplStatus]="Compensated"))*ISNUMBER(MATCH(Recommendations[Id],H113:AU113,0)))/COUNTIF(H113:AU113,"&lt;&gt;"))</f>
        <v>0</v>
      </c>
      <c r="H113" s="167" t="s">
        <v>260</v>
      </c>
      <c r="I113" s="167" t="s">
        <v>265</v>
      </c>
      <c r="J113" s="167" t="s">
        <v>315</v>
      </c>
      <c r="K113" s="167" t="s">
        <v>320</v>
      </c>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2540</v>
      </c>
      <c r="B114" s="151" t="s">
        <v>2594</v>
      </c>
      <c r="C114" s="152" t="s">
        <v>2607</v>
      </c>
      <c r="D114" s="155" t="s">
        <v>2608</v>
      </c>
      <c r="E114" s="158"/>
      <c r="F114" s="161" t="s">
        <v>19</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2540</v>
      </c>
      <c r="B115" s="151" t="s">
        <v>2594</v>
      </c>
      <c r="C115" s="152" t="s">
        <v>2609</v>
      </c>
      <c r="D115" s="155" t="s">
        <v>2610</v>
      </c>
      <c r="E115" s="158"/>
      <c r="F115" s="161" t="s">
        <v>19</v>
      </c>
      <c r="G115" s="164">
        <f>IF(COUNTIF(H115:AU115,"&lt;&gt;")=0,"",SUMPRODUCT(((Recommendations[ImplStatus]="Implemented")+(Recommendations[ImplStatus]="Compensated"))*ISNUMBER(MATCH(Recommendations[Id],H115:AU115,0)))/COUNTIF(H115:AU115,"&lt;&gt;"))</f>
        <v>0</v>
      </c>
      <c r="H115" s="167" t="s">
        <v>172</v>
      </c>
      <c r="I115" s="167" t="s">
        <v>177</v>
      </c>
      <c r="J115" s="167" t="s">
        <v>295</v>
      </c>
      <c r="K115" s="167" t="s">
        <v>425</v>
      </c>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2540</v>
      </c>
      <c r="B116" s="151" t="s">
        <v>2594</v>
      </c>
      <c r="C116" s="152" t="s">
        <v>2611</v>
      </c>
      <c r="D116" s="155" t="s">
        <v>2612</v>
      </c>
      <c r="E116" s="158"/>
      <c r="F116" s="161" t="s">
        <v>19</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2540</v>
      </c>
      <c r="B117" s="151" t="s">
        <v>2594</v>
      </c>
      <c r="C117" s="152" t="s">
        <v>2613</v>
      </c>
      <c r="D117" s="155" t="s">
        <v>2614</v>
      </c>
      <c r="E117" s="158"/>
      <c r="F117" s="161" t="s">
        <v>19</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2540</v>
      </c>
      <c r="B118" s="151" t="s">
        <v>2594</v>
      </c>
      <c r="C118" s="152" t="s">
        <v>2615</v>
      </c>
      <c r="D118" s="155" t="s">
        <v>2616</v>
      </c>
      <c r="E118" s="158" t="s">
        <v>2617</v>
      </c>
      <c r="F118" s="161" t="s">
        <v>2317</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2540</v>
      </c>
      <c r="B119" s="151" t="s">
        <v>2594</v>
      </c>
      <c r="C119" s="152" t="s">
        <v>2618</v>
      </c>
      <c r="D119" s="155" t="s">
        <v>2619</v>
      </c>
      <c r="E119" s="158" t="s">
        <v>2620</v>
      </c>
      <c r="F119" s="161" t="s">
        <v>2317</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2540</v>
      </c>
      <c r="B120" s="150" t="s">
        <v>2621</v>
      </c>
      <c r="C120" s="148" t="s">
        <v>2622</v>
      </c>
      <c r="D120" s="154"/>
      <c r="E120" s="157" t="s">
        <v>19</v>
      </c>
      <c r="F120" s="160" t="s">
        <v>19</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2540</v>
      </c>
      <c r="B121" s="151" t="s">
        <v>2621</v>
      </c>
      <c r="C121" s="152" t="s">
        <v>2623</v>
      </c>
      <c r="D121" s="155" t="s">
        <v>2624</v>
      </c>
      <c r="E121" s="158"/>
      <c r="F121" s="161" t="s">
        <v>19</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2540</v>
      </c>
      <c r="B122" s="151" t="s">
        <v>2621</v>
      </c>
      <c r="C122" s="152" t="s">
        <v>2625</v>
      </c>
      <c r="D122" s="155" t="s">
        <v>2626</v>
      </c>
      <c r="E122" s="158"/>
      <c r="F122" s="161" t="s">
        <v>19</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2540</v>
      </c>
      <c r="B123" s="151" t="s">
        <v>2621</v>
      </c>
      <c r="C123" s="152" t="s">
        <v>2627</v>
      </c>
      <c r="D123" s="155" t="s">
        <v>2628</v>
      </c>
      <c r="E123" s="158"/>
      <c r="F123" s="161" t="s">
        <v>19</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2540</v>
      </c>
      <c r="B124" s="151" t="s">
        <v>2621</v>
      </c>
      <c r="C124" s="152" t="s">
        <v>2629</v>
      </c>
      <c r="D124" s="155" t="s">
        <v>2630</v>
      </c>
      <c r="E124" s="158"/>
      <c r="F124" s="161" t="s">
        <v>19</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2540</v>
      </c>
      <c r="B125" s="151" t="s">
        <v>2621</v>
      </c>
      <c r="C125" s="152" t="s">
        <v>2631</v>
      </c>
      <c r="D125" s="155" t="s">
        <v>2632</v>
      </c>
      <c r="E125" s="158"/>
      <c r="F125" s="161" t="s">
        <v>19</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2540</v>
      </c>
      <c r="B126" s="151" t="s">
        <v>2621</v>
      </c>
      <c r="C126" s="152" t="s">
        <v>2633</v>
      </c>
      <c r="D126" s="155" t="s">
        <v>2634</v>
      </c>
      <c r="E126" s="158"/>
      <c r="F126" s="161" t="s">
        <v>19</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2540</v>
      </c>
      <c r="B127" s="151" t="s">
        <v>2621</v>
      </c>
      <c r="C127" s="152" t="s">
        <v>2635</v>
      </c>
      <c r="D127" s="155" t="s">
        <v>2636</v>
      </c>
      <c r="E127" s="158"/>
      <c r="F127" s="161" t="s">
        <v>19</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2540</v>
      </c>
      <c r="B128" s="151" t="s">
        <v>2621</v>
      </c>
      <c r="C128" s="152" t="s">
        <v>2637</v>
      </c>
      <c r="D128" s="155" t="s">
        <v>2638</v>
      </c>
      <c r="E128" s="158"/>
      <c r="F128" s="161" t="s">
        <v>19</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2540</v>
      </c>
      <c r="B129" s="151" t="s">
        <v>2621</v>
      </c>
      <c r="C129" s="152" t="s">
        <v>2639</v>
      </c>
      <c r="D129" s="155" t="s">
        <v>2640</v>
      </c>
      <c r="E129" s="158"/>
      <c r="F129" s="161" t="s">
        <v>19</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2540</v>
      </c>
      <c r="B130" s="151" t="s">
        <v>2621</v>
      </c>
      <c r="C130" s="152" t="s">
        <v>2641</v>
      </c>
      <c r="D130" s="155" t="s">
        <v>2642</v>
      </c>
      <c r="E130" s="158"/>
      <c r="F130" s="161" t="s">
        <v>19</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2540</v>
      </c>
      <c r="B131" s="151" t="s">
        <v>2621</v>
      </c>
      <c r="C131" s="152" t="s">
        <v>2643</v>
      </c>
      <c r="D131" s="155" t="s">
        <v>2644</v>
      </c>
      <c r="E131" s="158"/>
      <c r="F131" s="161" t="s">
        <v>19</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2540</v>
      </c>
      <c r="B132" s="151" t="s">
        <v>2621</v>
      </c>
      <c r="C132" s="152" t="s">
        <v>2645</v>
      </c>
      <c r="D132" s="155" t="s">
        <v>2646</v>
      </c>
      <c r="E132" s="158"/>
      <c r="F132" s="161" t="s">
        <v>19</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2540</v>
      </c>
      <c r="B133" s="150" t="s">
        <v>2647</v>
      </c>
      <c r="C133" s="148" t="s">
        <v>2648</v>
      </c>
      <c r="D133" s="154" t="s">
        <v>2649</v>
      </c>
      <c r="E133" s="157" t="s">
        <v>19</v>
      </c>
      <c r="F133" s="160" t="s">
        <v>19</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2540</v>
      </c>
      <c r="B134" s="151" t="s">
        <v>2647</v>
      </c>
      <c r="C134" s="152" t="s">
        <v>2650</v>
      </c>
      <c r="D134" s="155" t="s">
        <v>2651</v>
      </c>
      <c r="E134" s="158" t="s">
        <v>2652</v>
      </c>
      <c r="F134" s="161" t="s">
        <v>2321</v>
      </c>
      <c r="G134" s="164" t="str">
        <f>IF(COUNTIF(H134:AU134,"&lt;&gt;")=0,"",SUMPRODUCT(((Recommendations[ImplStatus]="Implemented")+(Recommendations[ImplStatus]="Compensated"))*ISNUMBER(MATCH(Recommendations[Id],H134:AU134,0)))/COUNTIF(H134:AU134,"&lt;&gt;"))</f>
        <v/>
      </c>
      <c r="H134" s="167"/>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2540</v>
      </c>
      <c r="B135" s="151" t="s">
        <v>2647</v>
      </c>
      <c r="C135" s="152" t="s">
        <v>2653</v>
      </c>
      <c r="D135" s="155" t="s">
        <v>2654</v>
      </c>
      <c r="E135" s="158" t="s">
        <v>2655</v>
      </c>
      <c r="F135" s="161" t="s">
        <v>2321</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2540</v>
      </c>
      <c r="B136" s="151" t="s">
        <v>2647</v>
      </c>
      <c r="C136" s="152" t="s">
        <v>2656</v>
      </c>
      <c r="D136" s="155" t="s">
        <v>2657</v>
      </c>
      <c r="E136" s="158" t="s">
        <v>2658</v>
      </c>
      <c r="F136" s="161" t="s">
        <v>2317</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2540</v>
      </c>
      <c r="B137" s="151" t="s">
        <v>2647</v>
      </c>
      <c r="C137" s="152" t="s">
        <v>2659</v>
      </c>
      <c r="D137" s="155" t="s">
        <v>2660</v>
      </c>
      <c r="E137" s="158" t="s">
        <v>2661</v>
      </c>
      <c r="F137" s="161" t="s">
        <v>19</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2540</v>
      </c>
      <c r="B138" s="150" t="s">
        <v>1957</v>
      </c>
      <c r="C138" s="148" t="s">
        <v>2662</v>
      </c>
      <c r="D138" s="154"/>
      <c r="E138" s="157" t="s">
        <v>19</v>
      </c>
      <c r="F138" s="160" t="s">
        <v>19</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2540</v>
      </c>
      <c r="B139" s="151" t="s">
        <v>1957</v>
      </c>
      <c r="C139" s="152" t="s">
        <v>2663</v>
      </c>
      <c r="D139" s="155" t="s">
        <v>2664</v>
      </c>
      <c r="E139" s="158"/>
      <c r="F139" s="161" t="s">
        <v>19</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2540</v>
      </c>
      <c r="B140" s="151" t="s">
        <v>1957</v>
      </c>
      <c r="C140" s="152" t="s">
        <v>2665</v>
      </c>
      <c r="D140" s="155" t="s">
        <v>2666</v>
      </c>
      <c r="E140" s="158"/>
      <c r="F140" s="161" t="s">
        <v>19</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2540</v>
      </c>
      <c r="B141" s="150" t="s">
        <v>2667</v>
      </c>
      <c r="C141" s="148" t="s">
        <v>2668</v>
      </c>
      <c r="D141" s="154" t="s">
        <v>2669</v>
      </c>
      <c r="E141" s="157" t="s">
        <v>19</v>
      </c>
      <c r="F141" s="160" t="s">
        <v>19</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2540</v>
      </c>
      <c r="B142" s="151" t="s">
        <v>2667</v>
      </c>
      <c r="C142" s="152" t="s">
        <v>2670</v>
      </c>
      <c r="D142" s="155" t="s">
        <v>2671</v>
      </c>
      <c r="E142" s="158" t="s">
        <v>2672</v>
      </c>
      <c r="F142" s="161" t="s">
        <v>2317</v>
      </c>
      <c r="G142" s="164" t="str">
        <f>IF(COUNTIF(H142:AU142,"&lt;&gt;")=0,"",SUMPRODUCT(((Recommendations[ImplStatus]="Implemented")+(Recommendations[ImplStatus]="Compensated"))*ISNUMBER(MATCH(Recommendations[Id],H142:AU142,0)))/COUNTIF(H142:AU142,"&lt;&gt;"))</f>
        <v/>
      </c>
      <c r="H142" s="167"/>
      <c r="I142" s="167"/>
      <c r="J142" s="167"/>
      <c r="K142" s="167"/>
      <c r="L142" s="167"/>
      <c r="M142" s="167"/>
      <c r="N142" s="167"/>
      <c r="O142" s="167"/>
      <c r="P142" s="167"/>
      <c r="Q142" s="167"/>
      <c r="R142" s="167"/>
      <c r="S142" s="167"/>
      <c r="T142" s="167"/>
      <c r="U142" s="167"/>
      <c r="V142" s="167"/>
      <c r="W142" s="167"/>
      <c r="X142" s="167"/>
      <c r="Y142" s="167"/>
      <c r="Z142" s="167"/>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2540</v>
      </c>
      <c r="B143" s="151" t="s">
        <v>2667</v>
      </c>
      <c r="C143" s="152" t="s">
        <v>2673</v>
      </c>
      <c r="D143" s="155" t="s">
        <v>2674</v>
      </c>
      <c r="E143" s="158" t="s">
        <v>2675</v>
      </c>
      <c r="F143" s="161" t="s">
        <v>2317</v>
      </c>
      <c r="G143" s="164">
        <f>IF(COUNTIF(H143:AU143,"&lt;&gt;")=0,"",SUMPRODUCT(((Recommendations[ImplStatus]="Implemented")+(Recommendations[ImplStatus]="Compensated"))*ISNUMBER(MATCH(Recommendations[Id],H143:AU143,0)))/COUNTIF(H143:AU143,"&lt;&gt;"))</f>
        <v>0</v>
      </c>
      <c r="H143" s="167" t="s">
        <v>340</v>
      </c>
      <c r="I143" s="167" t="s">
        <v>345</v>
      </c>
      <c r="J143" s="167" t="s">
        <v>350</v>
      </c>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2540</v>
      </c>
      <c r="B144" s="151" t="s">
        <v>2667</v>
      </c>
      <c r="C144" s="152" t="s">
        <v>2676</v>
      </c>
      <c r="D144" s="155" t="s">
        <v>2677</v>
      </c>
      <c r="E144" s="158" t="s">
        <v>2678</v>
      </c>
      <c r="F144" s="161" t="s">
        <v>2321</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2540</v>
      </c>
      <c r="B145" s="151" t="s">
        <v>2667</v>
      </c>
      <c r="C145" s="152" t="s">
        <v>2679</v>
      </c>
      <c r="D145" s="155" t="s">
        <v>2680</v>
      </c>
      <c r="E145" s="158" t="s">
        <v>2681</v>
      </c>
      <c r="F145" s="161" t="s">
        <v>2317</v>
      </c>
      <c r="G145" s="164">
        <f>IF(COUNTIF(H145:AU145,"&lt;&gt;")=0,"",SUMPRODUCT(((Recommendations[ImplStatus]="Implemented")+(Recommendations[ImplStatus]="Compensated"))*ISNUMBER(MATCH(Recommendations[Id],H145:AU145,0)))/COUNTIF(H145:AU145,"&lt;&gt;"))</f>
        <v>0</v>
      </c>
      <c r="H145" s="167" t="s">
        <v>38</v>
      </c>
      <c r="I145" s="167" t="s">
        <v>43</v>
      </c>
      <c r="J145" s="167" t="s">
        <v>47</v>
      </c>
      <c r="K145" s="167" t="s">
        <v>51</v>
      </c>
      <c r="L145" s="167" t="s">
        <v>78</v>
      </c>
      <c r="M145" s="167" t="s">
        <v>83</v>
      </c>
      <c r="N145" s="167" t="s">
        <v>88</v>
      </c>
      <c r="O145" s="167" t="s">
        <v>112</v>
      </c>
      <c r="P145" s="167" t="s">
        <v>365</v>
      </c>
      <c r="Q145" s="167" t="s">
        <v>370</v>
      </c>
      <c r="R145" s="167" t="s">
        <v>375</v>
      </c>
      <c r="S145" s="167" t="s">
        <v>380</v>
      </c>
      <c r="T145" s="167" t="s">
        <v>385</v>
      </c>
      <c r="U145" s="167" t="s">
        <v>390</v>
      </c>
      <c r="V145" s="167" t="s">
        <v>400</v>
      </c>
      <c r="W145" s="167"/>
      <c r="X145" s="167"/>
      <c r="Y145" s="167"/>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2540</v>
      </c>
      <c r="B146" s="151" t="s">
        <v>2667</v>
      </c>
      <c r="C146" s="152" t="s">
        <v>2682</v>
      </c>
      <c r="D146" s="155" t="s">
        <v>2683</v>
      </c>
      <c r="E146" s="158" t="s">
        <v>2684</v>
      </c>
      <c r="F146" s="161" t="s">
        <v>2317</v>
      </c>
      <c r="G146" s="164">
        <f>IF(COUNTIF(H146:AU146,"&lt;&gt;")=0,"",SUMPRODUCT(((Recommendations[ImplStatus]="Implemented")+(Recommendations[ImplStatus]="Compensated"))*ISNUMBER(MATCH(Recommendations[Id],H146:AU146,0)))/COUNTIF(H146:AU146,"&lt;&gt;"))</f>
        <v>0</v>
      </c>
      <c r="H146" s="167" t="s">
        <v>177</v>
      </c>
      <c r="I146" s="167" t="s">
        <v>182</v>
      </c>
      <c r="J146" s="167" t="s">
        <v>295</v>
      </c>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2540</v>
      </c>
      <c r="B147" s="151" t="s">
        <v>2667</v>
      </c>
      <c r="C147" s="152" t="s">
        <v>2685</v>
      </c>
      <c r="D147" s="155" t="s">
        <v>2686</v>
      </c>
      <c r="E147" s="158" t="s">
        <v>2687</v>
      </c>
      <c r="F147" s="161" t="s">
        <v>2317</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2540</v>
      </c>
      <c r="B148" s="150" t="s">
        <v>2688</v>
      </c>
      <c r="C148" s="148" t="s">
        <v>2689</v>
      </c>
      <c r="D148" s="154"/>
      <c r="E148" s="157" t="s">
        <v>19</v>
      </c>
      <c r="F148" s="160" t="s">
        <v>19</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2540</v>
      </c>
      <c r="B149" s="151" t="s">
        <v>2688</v>
      </c>
      <c r="C149" s="152" t="s">
        <v>2690</v>
      </c>
      <c r="D149" s="155" t="s">
        <v>2691</v>
      </c>
      <c r="E149" s="158"/>
      <c r="F149" s="161" t="s">
        <v>19</v>
      </c>
      <c r="G149" s="164">
        <f>IF(COUNTIF(H149:AU149,"&lt;&gt;")=0,"",SUMPRODUCT(((Recommendations[ImplStatus]="Implemented")+(Recommendations[ImplStatus]="Compensated"))*ISNUMBER(MATCH(Recommendations[Id],H149:AU149,0)))/COUNTIF(H149:AU149,"&lt;&gt;"))</f>
        <v>0</v>
      </c>
      <c r="H149" s="167" t="s">
        <v>38</v>
      </c>
      <c r="I149" s="167" t="s">
        <v>43</v>
      </c>
      <c r="J149" s="167" t="s">
        <v>47</v>
      </c>
      <c r="K149" s="167" t="s">
        <v>51</v>
      </c>
      <c r="L149" s="167" t="s">
        <v>78</v>
      </c>
      <c r="M149" s="167" t="s">
        <v>83</v>
      </c>
      <c r="N149" s="167" t="s">
        <v>88</v>
      </c>
      <c r="O149" s="167" t="s">
        <v>93</v>
      </c>
      <c r="P149" s="167" t="s">
        <v>98</v>
      </c>
      <c r="Q149" s="167" t="s">
        <v>103</v>
      </c>
      <c r="R149" s="167" t="s">
        <v>107</v>
      </c>
      <c r="S149" s="167" t="s">
        <v>112</v>
      </c>
      <c r="T149" s="167" t="s">
        <v>117</v>
      </c>
      <c r="U149" s="167" t="s">
        <v>127</v>
      </c>
      <c r="V149" s="167" t="s">
        <v>132</v>
      </c>
      <c r="W149" s="167" t="s">
        <v>137</v>
      </c>
      <c r="X149" s="167" t="s">
        <v>142</v>
      </c>
      <c r="Y149" s="167" t="s">
        <v>147</v>
      </c>
      <c r="Z149" s="167" t="s">
        <v>152</v>
      </c>
      <c r="AA149" s="167" t="s">
        <v>157</v>
      </c>
      <c r="AB149" s="167" t="s">
        <v>167</v>
      </c>
      <c r="AC149" s="167" t="s">
        <v>172</v>
      </c>
      <c r="AD149" s="167" t="s">
        <v>280</v>
      </c>
      <c r="AE149" s="167" t="s">
        <v>285</v>
      </c>
      <c r="AF149" s="167" t="s">
        <v>290</v>
      </c>
      <c r="AG149" s="167" t="s">
        <v>365</v>
      </c>
      <c r="AH149" s="167" t="s">
        <v>370</v>
      </c>
      <c r="AI149" s="167" t="s">
        <v>375</v>
      </c>
      <c r="AJ149" s="167" t="s">
        <v>380</v>
      </c>
      <c r="AK149" s="167" t="s">
        <v>385</v>
      </c>
      <c r="AL149" s="167" t="s">
        <v>390</v>
      </c>
      <c r="AM149" s="167" t="s">
        <v>395</v>
      </c>
      <c r="AN149" s="167" t="s">
        <v>400</v>
      </c>
      <c r="AO149" s="167"/>
      <c r="AP149" s="167"/>
      <c r="AQ149" s="167"/>
      <c r="AR149" s="167"/>
      <c r="AS149" s="167"/>
      <c r="AT149" s="167"/>
      <c r="AU149" s="181"/>
    </row>
    <row r="150" spans="1:47" ht="60" customHeight="1" x14ac:dyDescent="0.35">
      <c r="A150" s="177" t="s">
        <v>2540</v>
      </c>
      <c r="B150" s="151" t="s">
        <v>2688</v>
      </c>
      <c r="C150" s="152" t="s">
        <v>2692</v>
      </c>
      <c r="D150" s="155" t="s">
        <v>2693</v>
      </c>
      <c r="E150" s="158"/>
      <c r="F150" s="161" t="s">
        <v>19</v>
      </c>
      <c r="G150" s="164">
        <f>IF(COUNTIF(H150:AU150,"&lt;&gt;")=0,"",SUMPRODUCT(((Recommendations[ImplStatus]="Implemented")+(Recommendations[ImplStatus]="Compensated"))*ISNUMBER(MATCH(Recommendations[Id],H150:AU150,0)))/COUNTIF(H150:AU150,"&lt;&gt;"))</f>
        <v>0</v>
      </c>
      <c r="H150" s="167" t="s">
        <v>410</v>
      </c>
      <c r="I150" s="167" t="s">
        <v>415</v>
      </c>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2540</v>
      </c>
      <c r="B151" s="151" t="s">
        <v>2688</v>
      </c>
      <c r="C151" s="152" t="s">
        <v>2694</v>
      </c>
      <c r="D151" s="155" t="s">
        <v>2695</v>
      </c>
      <c r="E151" s="158"/>
      <c r="F151" s="161" t="s">
        <v>19</v>
      </c>
      <c r="G151" s="164">
        <f>IF(COUNTIF(H151:AU151,"&lt;&gt;")=0,"",SUMPRODUCT(((Recommendations[ImplStatus]="Implemented")+(Recommendations[ImplStatus]="Compensated"))*ISNUMBER(MATCH(Recommendations[Id],H151:AU151,0)))/COUNTIF(H151:AU151,"&lt;&gt;"))</f>
        <v>0</v>
      </c>
      <c r="H151" s="167" t="s">
        <v>215</v>
      </c>
      <c r="I151" s="167" t="s">
        <v>225</v>
      </c>
      <c r="J151" s="167" t="s">
        <v>235</v>
      </c>
      <c r="K151" s="167" t="s">
        <v>255</v>
      </c>
      <c r="L151" s="167" t="s">
        <v>405</v>
      </c>
      <c r="M151" s="167" t="s">
        <v>410</v>
      </c>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2540</v>
      </c>
      <c r="B152" s="151" t="s">
        <v>2688</v>
      </c>
      <c r="C152" s="152" t="s">
        <v>2696</v>
      </c>
      <c r="D152" s="155" t="s">
        <v>2697</v>
      </c>
      <c r="E152" s="158"/>
      <c r="F152" s="161" t="s">
        <v>19</v>
      </c>
      <c r="G152" s="164">
        <f>IF(COUNTIF(H152:AU152,"&lt;&gt;")=0,"",SUMPRODUCT(((Recommendations[ImplStatus]="Implemented")+(Recommendations[ImplStatus]="Compensated"))*ISNUMBER(MATCH(Recommendations[Id],H152:AU152,0)))/COUNTIF(H152:AU152,"&lt;&gt;"))</f>
        <v>0</v>
      </c>
      <c r="H152" s="167" t="s">
        <v>62</v>
      </c>
      <c r="I152" s="167" t="s">
        <v>67</v>
      </c>
      <c r="J152" s="167" t="s">
        <v>187</v>
      </c>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2540</v>
      </c>
      <c r="B153" s="151" t="s">
        <v>2688</v>
      </c>
      <c r="C153" s="152" t="s">
        <v>2698</v>
      </c>
      <c r="D153" s="155" t="s">
        <v>2699</v>
      </c>
      <c r="E153" s="158"/>
      <c r="F153" s="161" t="s">
        <v>19</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2700</v>
      </c>
      <c r="B154" s="149" t="s">
        <v>19</v>
      </c>
      <c r="C154" s="147" t="s">
        <v>2701</v>
      </c>
      <c r="D154" s="153" t="s">
        <v>2702</v>
      </c>
      <c r="E154" s="156" t="s">
        <v>19</v>
      </c>
      <c r="F154" s="159" t="s">
        <v>19</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2700</v>
      </c>
      <c r="B155" s="150" t="s">
        <v>2703</v>
      </c>
      <c r="C155" s="148" t="s">
        <v>2704</v>
      </c>
      <c r="D155" s="154" t="s">
        <v>2705</v>
      </c>
      <c r="E155" s="157" t="s">
        <v>19</v>
      </c>
      <c r="F155" s="160" t="s">
        <v>19</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2700</v>
      </c>
      <c r="B156" s="151" t="s">
        <v>2703</v>
      </c>
      <c r="C156" s="152" t="s">
        <v>2706</v>
      </c>
      <c r="D156" s="155" t="s">
        <v>2707</v>
      </c>
      <c r="E156" s="158"/>
      <c r="F156" s="161" t="s">
        <v>19</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2700</v>
      </c>
      <c r="B157" s="151" t="s">
        <v>2703</v>
      </c>
      <c r="C157" s="152" t="s">
        <v>2708</v>
      </c>
      <c r="D157" s="155" t="s">
        <v>2709</v>
      </c>
      <c r="E157" s="158" t="s">
        <v>2710</v>
      </c>
      <c r="F157" s="161" t="s">
        <v>2317</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2700</v>
      </c>
      <c r="B158" s="151" t="s">
        <v>2703</v>
      </c>
      <c r="C158" s="152" t="s">
        <v>2711</v>
      </c>
      <c r="D158" s="155" t="s">
        <v>2712</v>
      </c>
      <c r="E158" s="158" t="s">
        <v>2713</v>
      </c>
      <c r="F158" s="161" t="s">
        <v>2317</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2700</v>
      </c>
      <c r="B159" s="151" t="s">
        <v>2703</v>
      </c>
      <c r="C159" s="152" t="s">
        <v>2714</v>
      </c>
      <c r="D159" s="155" t="s">
        <v>2715</v>
      </c>
      <c r="E159" s="158" t="s">
        <v>2716</v>
      </c>
      <c r="F159" s="161" t="s">
        <v>2317</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2700</v>
      </c>
      <c r="B160" s="151" t="s">
        <v>2703</v>
      </c>
      <c r="C160" s="152" t="s">
        <v>2717</v>
      </c>
      <c r="D160" s="155" t="s">
        <v>2718</v>
      </c>
      <c r="E160" s="158"/>
      <c r="F160" s="161" t="s">
        <v>19</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2700</v>
      </c>
      <c r="B161" s="151" t="s">
        <v>2703</v>
      </c>
      <c r="C161" s="152" t="s">
        <v>2719</v>
      </c>
      <c r="D161" s="155" t="s">
        <v>2720</v>
      </c>
      <c r="E161" s="158" t="s">
        <v>2721</v>
      </c>
      <c r="F161" s="161" t="s">
        <v>2317</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2700</v>
      </c>
      <c r="B162" s="151" t="s">
        <v>2703</v>
      </c>
      <c r="C162" s="152" t="s">
        <v>2722</v>
      </c>
      <c r="D162" s="155" t="s">
        <v>2723</v>
      </c>
      <c r="E162" s="158" t="s">
        <v>2724</v>
      </c>
      <c r="F162" s="161" t="s">
        <v>2317</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2700</v>
      </c>
      <c r="B163" s="151" t="s">
        <v>2703</v>
      </c>
      <c r="C163" s="152" t="s">
        <v>2725</v>
      </c>
      <c r="D163" s="155" t="s">
        <v>2726</v>
      </c>
      <c r="E163" s="158" t="s">
        <v>2727</v>
      </c>
      <c r="F163" s="161" t="s">
        <v>2317</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2700</v>
      </c>
      <c r="B164" s="150" t="s">
        <v>2121</v>
      </c>
      <c r="C164" s="148" t="s">
        <v>2728</v>
      </c>
      <c r="D164" s="154" t="s">
        <v>2729</v>
      </c>
      <c r="E164" s="157" t="s">
        <v>19</v>
      </c>
      <c r="F164" s="160" t="s">
        <v>19</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2700</v>
      </c>
      <c r="B165" s="151" t="s">
        <v>2121</v>
      </c>
      <c r="C165" s="152" t="s">
        <v>2730</v>
      </c>
      <c r="D165" s="155" t="s">
        <v>2731</v>
      </c>
      <c r="E165" s="158" t="s">
        <v>2732</v>
      </c>
      <c r="F165" s="161" t="s">
        <v>2317</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2700</v>
      </c>
      <c r="B166" s="151" t="s">
        <v>2121</v>
      </c>
      <c r="C166" s="152" t="s">
        <v>2733</v>
      </c>
      <c r="D166" s="155" t="s">
        <v>2734</v>
      </c>
      <c r="E166" s="158" t="s">
        <v>2735</v>
      </c>
      <c r="F166" s="161" t="s">
        <v>2317</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2700</v>
      </c>
      <c r="B167" s="151" t="s">
        <v>2121</v>
      </c>
      <c r="C167" s="152" t="s">
        <v>2736</v>
      </c>
      <c r="D167" s="155" t="s">
        <v>2737</v>
      </c>
      <c r="E167" s="158" t="s">
        <v>2738</v>
      </c>
      <c r="F167" s="161" t="s">
        <v>2317</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2700</v>
      </c>
      <c r="B168" s="151" t="s">
        <v>2121</v>
      </c>
      <c r="C168" s="152" t="s">
        <v>2739</v>
      </c>
      <c r="D168" s="155" t="s">
        <v>2740</v>
      </c>
      <c r="E168" s="158"/>
      <c r="F168" s="161" t="s">
        <v>19</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2700</v>
      </c>
      <c r="B169" s="151" t="s">
        <v>2121</v>
      </c>
      <c r="C169" s="152" t="s">
        <v>2741</v>
      </c>
      <c r="D169" s="155" t="s">
        <v>2742</v>
      </c>
      <c r="E169" s="158"/>
      <c r="F169" s="161" t="s">
        <v>19</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2700</v>
      </c>
      <c r="B170" s="151" t="s">
        <v>2121</v>
      </c>
      <c r="C170" s="152" t="s">
        <v>2743</v>
      </c>
      <c r="D170" s="155" t="s">
        <v>2744</v>
      </c>
      <c r="E170" s="158" t="s">
        <v>2745</v>
      </c>
      <c r="F170" s="161" t="s">
        <v>2331</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2700</v>
      </c>
      <c r="B171" s="151" t="s">
        <v>2121</v>
      </c>
      <c r="C171" s="152" t="s">
        <v>2746</v>
      </c>
      <c r="D171" s="155" t="s">
        <v>2747</v>
      </c>
      <c r="E171" s="158"/>
      <c r="F171" s="161" t="s">
        <v>19</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2700</v>
      </c>
      <c r="B172" s="151" t="s">
        <v>2121</v>
      </c>
      <c r="C172" s="152" t="s">
        <v>2748</v>
      </c>
      <c r="D172" s="155" t="s">
        <v>2749</v>
      </c>
      <c r="E172" s="158"/>
      <c r="F172" s="161" t="s">
        <v>19</v>
      </c>
      <c r="G172" s="164">
        <f>IF(COUNTIF(H172:AU172,"&lt;&gt;")=0,"",SUMPRODUCT(((Recommendations[ImplStatus]="Implemented")+(Recommendations[ImplStatus]="Compensated"))*ISNUMBER(MATCH(Recommendations[Id],H172:AU172,0)))/COUNTIF(H172:AU172,"&lt;&gt;"))</f>
        <v>0</v>
      </c>
      <c r="H172" s="167" t="s">
        <v>420</v>
      </c>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2700</v>
      </c>
      <c r="B173" s="151" t="s">
        <v>2121</v>
      </c>
      <c r="C173" s="152" t="s">
        <v>2750</v>
      </c>
      <c r="D173" s="155" t="s">
        <v>2751</v>
      </c>
      <c r="E173" s="158" t="s">
        <v>2752</v>
      </c>
      <c r="F173" s="161" t="s">
        <v>2317</v>
      </c>
      <c r="G173" s="164">
        <f>IF(COUNTIF(H173:AU173,"&lt;&gt;")=0,"",SUMPRODUCT(((Recommendations[ImplStatus]="Implemented")+(Recommendations[ImplStatus]="Compensated"))*ISNUMBER(MATCH(Recommendations[Id],H173:AU173,0)))/COUNTIF(H173:AU173,"&lt;&gt;"))</f>
        <v>0</v>
      </c>
      <c r="H173" s="167" t="s">
        <v>355</v>
      </c>
      <c r="I173" s="167" t="s">
        <v>360</v>
      </c>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2700</v>
      </c>
      <c r="B174" s="150" t="s">
        <v>2753</v>
      </c>
      <c r="C174" s="148" t="s">
        <v>2754</v>
      </c>
      <c r="D174" s="154"/>
      <c r="E174" s="157" t="s">
        <v>19</v>
      </c>
      <c r="F174" s="160" t="s">
        <v>19</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2700</v>
      </c>
      <c r="B175" s="151" t="s">
        <v>2753</v>
      </c>
      <c r="C175" s="152" t="s">
        <v>2755</v>
      </c>
      <c r="D175" s="155" t="s">
        <v>2756</v>
      </c>
      <c r="E175" s="158"/>
      <c r="F175" s="161" t="s">
        <v>19</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2700</v>
      </c>
      <c r="B176" s="151" t="s">
        <v>2753</v>
      </c>
      <c r="C176" s="152" t="s">
        <v>2757</v>
      </c>
      <c r="D176" s="155" t="s">
        <v>2758</v>
      </c>
      <c r="E176" s="158"/>
      <c r="F176" s="161" t="s">
        <v>19</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2700</v>
      </c>
      <c r="B177" s="151" t="s">
        <v>2753</v>
      </c>
      <c r="C177" s="152" t="s">
        <v>2759</v>
      </c>
      <c r="D177" s="155" t="s">
        <v>2760</v>
      </c>
      <c r="E177" s="158"/>
      <c r="F177" s="161" t="s">
        <v>19</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2700</v>
      </c>
      <c r="B178" s="151" t="s">
        <v>2753</v>
      </c>
      <c r="C178" s="152" t="s">
        <v>2761</v>
      </c>
      <c r="D178" s="155" t="s">
        <v>2762</v>
      </c>
      <c r="E178" s="158"/>
      <c r="F178" s="161" t="s">
        <v>19</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2700</v>
      </c>
      <c r="B179" s="151" t="s">
        <v>2753</v>
      </c>
      <c r="C179" s="152" t="s">
        <v>2763</v>
      </c>
      <c r="D179" s="155" t="s">
        <v>2764</v>
      </c>
      <c r="E179" s="158"/>
      <c r="F179" s="161" t="s">
        <v>19</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2765</v>
      </c>
      <c r="B180" s="149" t="s">
        <v>19</v>
      </c>
      <c r="C180" s="147" t="s">
        <v>2766</v>
      </c>
      <c r="D180" s="153" t="s">
        <v>2767</v>
      </c>
      <c r="E180" s="156" t="s">
        <v>19</v>
      </c>
      <c r="F180" s="159" t="s">
        <v>19</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2765</v>
      </c>
      <c r="B181" s="150" t="s">
        <v>2768</v>
      </c>
      <c r="C181" s="148" t="s">
        <v>2769</v>
      </c>
      <c r="D181" s="154" t="s">
        <v>2770</v>
      </c>
      <c r="E181" s="157" t="s">
        <v>19</v>
      </c>
      <c r="F181" s="160" t="s">
        <v>19</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2765</v>
      </c>
      <c r="B182" s="151" t="s">
        <v>2768</v>
      </c>
      <c r="C182" s="152" t="s">
        <v>2771</v>
      </c>
      <c r="D182" s="155" t="s">
        <v>2772</v>
      </c>
      <c r="E182" s="158"/>
      <c r="F182" s="161" t="s">
        <v>19</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2765</v>
      </c>
      <c r="B183" s="151" t="s">
        <v>2768</v>
      </c>
      <c r="C183" s="152" t="s">
        <v>2773</v>
      </c>
      <c r="D183" s="155" t="s">
        <v>2774</v>
      </c>
      <c r="E183" s="158"/>
      <c r="F183" s="161" t="s">
        <v>19</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2765</v>
      </c>
      <c r="B184" s="151" t="s">
        <v>2768</v>
      </c>
      <c r="C184" s="152" t="s">
        <v>2775</v>
      </c>
      <c r="D184" s="155" t="s">
        <v>2776</v>
      </c>
      <c r="E184" s="158" t="s">
        <v>2777</v>
      </c>
      <c r="F184" s="161" t="s">
        <v>2317</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2765</v>
      </c>
      <c r="B185" s="151" t="s">
        <v>2768</v>
      </c>
      <c r="C185" s="152" t="s">
        <v>2778</v>
      </c>
      <c r="D185" s="155" t="s">
        <v>2779</v>
      </c>
      <c r="E185" s="158"/>
      <c r="F185" s="161" t="s">
        <v>19</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2765</v>
      </c>
      <c r="B186" s="151" t="s">
        <v>2768</v>
      </c>
      <c r="C186" s="152" t="s">
        <v>2780</v>
      </c>
      <c r="D186" s="155" t="s">
        <v>2781</v>
      </c>
      <c r="E186" s="158"/>
      <c r="F186" s="161" t="s">
        <v>19</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2765</v>
      </c>
      <c r="B187" s="151" t="s">
        <v>2768</v>
      </c>
      <c r="C187" s="152" t="s">
        <v>2782</v>
      </c>
      <c r="D187" s="155" t="s">
        <v>2783</v>
      </c>
      <c r="E187" s="158" t="s">
        <v>2784</v>
      </c>
      <c r="F187" s="161" t="s">
        <v>2317</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2765</v>
      </c>
      <c r="B188" s="151" t="s">
        <v>2768</v>
      </c>
      <c r="C188" s="152" t="s">
        <v>2785</v>
      </c>
      <c r="D188" s="155" t="s">
        <v>2786</v>
      </c>
      <c r="E188" s="158" t="s">
        <v>2787</v>
      </c>
      <c r="F188" s="161" t="s">
        <v>2317</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2765</v>
      </c>
      <c r="B189" s="151" t="s">
        <v>2768</v>
      </c>
      <c r="C189" s="152" t="s">
        <v>2788</v>
      </c>
      <c r="D189" s="155" t="s">
        <v>2789</v>
      </c>
      <c r="E189" s="158" t="s">
        <v>2790</v>
      </c>
      <c r="F189" s="161" t="s">
        <v>2317</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2765</v>
      </c>
      <c r="B190" s="150" t="s">
        <v>2791</v>
      </c>
      <c r="C190" s="148" t="s">
        <v>2792</v>
      </c>
      <c r="D190" s="154" t="s">
        <v>2793</v>
      </c>
      <c r="E190" s="157" t="s">
        <v>19</v>
      </c>
      <c r="F190" s="160" t="s">
        <v>19</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2765</v>
      </c>
      <c r="B191" s="151" t="s">
        <v>2791</v>
      </c>
      <c r="C191" s="152" t="s">
        <v>2794</v>
      </c>
      <c r="D191" s="155" t="s">
        <v>2795</v>
      </c>
      <c r="E191" s="158"/>
      <c r="F191" s="161" t="s">
        <v>19</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2765</v>
      </c>
      <c r="B192" s="151" t="s">
        <v>2791</v>
      </c>
      <c r="C192" s="152" t="s">
        <v>2796</v>
      </c>
      <c r="D192" s="155" t="s">
        <v>2797</v>
      </c>
      <c r="E192" s="158" t="s">
        <v>2798</v>
      </c>
      <c r="F192" s="161" t="s">
        <v>2321</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2765</v>
      </c>
      <c r="B193" s="151" t="s">
        <v>2791</v>
      </c>
      <c r="C193" s="152" t="s">
        <v>2799</v>
      </c>
      <c r="D193" s="155" t="s">
        <v>2800</v>
      </c>
      <c r="E193" s="158" t="s">
        <v>2801</v>
      </c>
      <c r="F193" s="161" t="s">
        <v>2321</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2765</v>
      </c>
      <c r="B194" s="151" t="s">
        <v>2791</v>
      </c>
      <c r="C194" s="152" t="s">
        <v>2802</v>
      </c>
      <c r="D194" s="155" t="s">
        <v>2803</v>
      </c>
      <c r="E194" s="158"/>
      <c r="F194" s="161" t="s">
        <v>19</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2765</v>
      </c>
      <c r="B195" s="151" t="s">
        <v>2791</v>
      </c>
      <c r="C195" s="152" t="s">
        <v>2804</v>
      </c>
      <c r="D195" s="155" t="s">
        <v>2805</v>
      </c>
      <c r="E195" s="158"/>
      <c r="F195" s="161" t="s">
        <v>19</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2765</v>
      </c>
      <c r="B196" s="150" t="s">
        <v>2806</v>
      </c>
      <c r="C196" s="148" t="s">
        <v>2807</v>
      </c>
      <c r="D196" s="154"/>
      <c r="E196" s="157" t="s">
        <v>19</v>
      </c>
      <c r="F196" s="160" t="s">
        <v>19</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2765</v>
      </c>
      <c r="B197" s="151" t="s">
        <v>2806</v>
      </c>
      <c r="C197" s="152" t="s">
        <v>2808</v>
      </c>
      <c r="D197" s="155" t="s">
        <v>2809</v>
      </c>
      <c r="E197" s="158"/>
      <c r="F197" s="161" t="s">
        <v>19</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2765</v>
      </c>
      <c r="B198" s="151" t="s">
        <v>2806</v>
      </c>
      <c r="C198" s="152" t="s">
        <v>2810</v>
      </c>
      <c r="D198" s="155" t="s">
        <v>2811</v>
      </c>
      <c r="E198" s="158"/>
      <c r="F198" s="161" t="s">
        <v>19</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2765</v>
      </c>
      <c r="B199" s="150" t="s">
        <v>2812</v>
      </c>
      <c r="C199" s="148" t="s">
        <v>2813</v>
      </c>
      <c r="D199" s="154" t="s">
        <v>2814</v>
      </c>
      <c r="E199" s="157" t="s">
        <v>19</v>
      </c>
      <c r="F199" s="160" t="s">
        <v>19</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2765</v>
      </c>
      <c r="B200" s="151" t="s">
        <v>2812</v>
      </c>
      <c r="C200" s="152" t="s">
        <v>2815</v>
      </c>
      <c r="D200" s="155" t="s">
        <v>2816</v>
      </c>
      <c r="E200" s="158" t="s">
        <v>2817</v>
      </c>
      <c r="F200" s="161" t="s">
        <v>2331</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2765</v>
      </c>
      <c r="B201" s="151" t="s">
        <v>2812</v>
      </c>
      <c r="C201" s="152" t="s">
        <v>2818</v>
      </c>
      <c r="D201" s="155" t="s">
        <v>2819</v>
      </c>
      <c r="E201" s="158" t="s">
        <v>2820</v>
      </c>
      <c r="F201" s="161" t="s">
        <v>2317</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2765</v>
      </c>
      <c r="B202" s="151" t="s">
        <v>2812</v>
      </c>
      <c r="C202" s="152" t="s">
        <v>2821</v>
      </c>
      <c r="D202" s="155" t="s">
        <v>2822</v>
      </c>
      <c r="E202" s="158" t="s">
        <v>2823</v>
      </c>
      <c r="F202" s="161" t="s">
        <v>2317</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2765</v>
      </c>
      <c r="B203" s="151" t="s">
        <v>2812</v>
      </c>
      <c r="C203" s="152" t="s">
        <v>2824</v>
      </c>
      <c r="D203" s="155" t="s">
        <v>2825</v>
      </c>
      <c r="E203" s="158" t="s">
        <v>2826</v>
      </c>
      <c r="F203" s="161" t="s">
        <v>2317</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2765</v>
      </c>
      <c r="B204" s="151" t="s">
        <v>2812</v>
      </c>
      <c r="C204" s="152" t="s">
        <v>2827</v>
      </c>
      <c r="D204" s="155" t="s">
        <v>2828</v>
      </c>
      <c r="E204" s="158" t="s">
        <v>2829</v>
      </c>
      <c r="F204" s="161" t="s">
        <v>2317</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2765</v>
      </c>
      <c r="B205" s="150" t="s">
        <v>2830</v>
      </c>
      <c r="C205" s="148" t="s">
        <v>2831</v>
      </c>
      <c r="D205" s="154" t="s">
        <v>2832</v>
      </c>
      <c r="E205" s="157" t="s">
        <v>19</v>
      </c>
      <c r="F205" s="160" t="s">
        <v>19</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2765</v>
      </c>
      <c r="B206" s="151" t="s">
        <v>2830</v>
      </c>
      <c r="C206" s="152" t="s">
        <v>2833</v>
      </c>
      <c r="D206" s="155" t="s">
        <v>2834</v>
      </c>
      <c r="E206" s="158" t="s">
        <v>2835</v>
      </c>
      <c r="F206" s="161" t="s">
        <v>2321</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2765</v>
      </c>
      <c r="B207" s="151" t="s">
        <v>2830</v>
      </c>
      <c r="C207" s="152" t="s">
        <v>2836</v>
      </c>
      <c r="D207" s="155" t="s">
        <v>2837</v>
      </c>
      <c r="E207" s="158" t="s">
        <v>2838</v>
      </c>
      <c r="F207" s="161" t="s">
        <v>2321</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2765</v>
      </c>
      <c r="B208" s="151" t="s">
        <v>2830</v>
      </c>
      <c r="C208" s="152" t="s">
        <v>2839</v>
      </c>
      <c r="D208" s="155" t="s">
        <v>2840</v>
      </c>
      <c r="E208" s="158"/>
      <c r="F208" s="161" t="s">
        <v>19</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2765</v>
      </c>
      <c r="B209" s="150" t="s">
        <v>2841</v>
      </c>
      <c r="C209" s="148" t="s">
        <v>2842</v>
      </c>
      <c r="D209" s="154"/>
      <c r="E209" s="157" t="s">
        <v>19</v>
      </c>
      <c r="F209" s="160" t="s">
        <v>19</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2765</v>
      </c>
      <c r="B210" s="151" t="s">
        <v>2841</v>
      </c>
      <c r="C210" s="152" t="s">
        <v>2843</v>
      </c>
      <c r="D210" s="155" t="s">
        <v>2844</v>
      </c>
      <c r="E210" s="158"/>
      <c r="F210" s="161" t="s">
        <v>19</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2845</v>
      </c>
      <c r="B211" s="149" t="s">
        <v>19</v>
      </c>
      <c r="C211" s="147" t="s">
        <v>2846</v>
      </c>
      <c r="D211" s="153" t="s">
        <v>2847</v>
      </c>
      <c r="E211" s="156" t="s">
        <v>19</v>
      </c>
      <c r="F211" s="159" t="s">
        <v>19</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2845</v>
      </c>
      <c r="B212" s="150" t="s">
        <v>2848</v>
      </c>
      <c r="C212" s="148" t="s">
        <v>2849</v>
      </c>
      <c r="D212" s="154" t="s">
        <v>2850</v>
      </c>
      <c r="E212" s="157" t="s">
        <v>19</v>
      </c>
      <c r="F212" s="160" t="s">
        <v>19</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2845</v>
      </c>
      <c r="B213" s="151" t="s">
        <v>2848</v>
      </c>
      <c r="C213" s="152" t="s">
        <v>2851</v>
      </c>
      <c r="D213" s="155" t="s">
        <v>2852</v>
      </c>
      <c r="E213" s="158"/>
      <c r="F213" s="161" t="s">
        <v>19</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2845</v>
      </c>
      <c r="B214" s="151" t="s">
        <v>2848</v>
      </c>
      <c r="C214" s="152" t="s">
        <v>2853</v>
      </c>
      <c r="D214" s="155" t="s">
        <v>2854</v>
      </c>
      <c r="E214" s="158"/>
      <c r="F214" s="161" t="s">
        <v>19</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2845</v>
      </c>
      <c r="B215" s="151" t="s">
        <v>2848</v>
      </c>
      <c r="C215" s="152" t="s">
        <v>2855</v>
      </c>
      <c r="D215" s="155" t="s">
        <v>2856</v>
      </c>
      <c r="E215" s="158" t="s">
        <v>2857</v>
      </c>
      <c r="F215" s="161" t="s">
        <v>2321</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2845</v>
      </c>
      <c r="B216" s="151" t="s">
        <v>2848</v>
      </c>
      <c r="C216" s="152" t="s">
        <v>2858</v>
      </c>
      <c r="D216" s="155" t="s">
        <v>2859</v>
      </c>
      <c r="E216" s="158" t="s">
        <v>2860</v>
      </c>
      <c r="F216" s="161" t="s">
        <v>2317</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2845</v>
      </c>
      <c r="B217" s="150" t="s">
        <v>2806</v>
      </c>
      <c r="C217" s="148" t="s">
        <v>2861</v>
      </c>
      <c r="D217" s="154"/>
      <c r="E217" s="157" t="s">
        <v>19</v>
      </c>
      <c r="F217" s="160" t="s">
        <v>19</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2845</v>
      </c>
      <c r="B218" s="151" t="s">
        <v>2806</v>
      </c>
      <c r="C218" s="152" t="s">
        <v>2862</v>
      </c>
      <c r="D218" s="155" t="s">
        <v>2863</v>
      </c>
      <c r="E218" s="158"/>
      <c r="F218" s="161" t="s">
        <v>19</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2845</v>
      </c>
      <c r="B219" s="151" t="s">
        <v>2806</v>
      </c>
      <c r="C219" s="152" t="s">
        <v>2864</v>
      </c>
      <c r="D219" s="155" t="s">
        <v>2865</v>
      </c>
      <c r="E219" s="158"/>
      <c r="F219" s="161" t="s">
        <v>19</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2845</v>
      </c>
      <c r="B220" s="150" t="s">
        <v>2866</v>
      </c>
      <c r="C220" s="148" t="s">
        <v>2867</v>
      </c>
      <c r="D220" s="154" t="s">
        <v>2868</v>
      </c>
      <c r="E220" s="157" t="s">
        <v>19</v>
      </c>
      <c r="F220" s="160" t="s">
        <v>19</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2845</v>
      </c>
      <c r="B221" s="151" t="s">
        <v>2866</v>
      </c>
      <c r="C221" s="152" t="s">
        <v>2869</v>
      </c>
      <c r="D221" s="155" t="s">
        <v>2870</v>
      </c>
      <c r="E221" s="158" t="s">
        <v>2871</v>
      </c>
      <c r="F221" s="161" t="s">
        <v>2317</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2845</v>
      </c>
      <c r="B222" s="151" t="s">
        <v>2866</v>
      </c>
      <c r="C222" s="152" t="s">
        <v>2872</v>
      </c>
      <c r="D222" s="155" t="s">
        <v>2873</v>
      </c>
      <c r="E222" s="158" t="s">
        <v>2874</v>
      </c>
      <c r="F222" s="161" t="s">
        <v>2317</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2845</v>
      </c>
      <c r="B223" s="151" t="s">
        <v>2866</v>
      </c>
      <c r="C223" s="152" t="s">
        <v>2875</v>
      </c>
      <c r="D223" s="155" t="s">
        <v>2876</v>
      </c>
      <c r="E223" s="158" t="s">
        <v>2877</v>
      </c>
      <c r="F223" s="161" t="s">
        <v>2317</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2845</v>
      </c>
      <c r="B224" s="151" t="s">
        <v>2866</v>
      </c>
      <c r="C224" s="152" t="s">
        <v>2878</v>
      </c>
      <c r="D224" s="155" t="s">
        <v>2879</v>
      </c>
      <c r="E224" s="158" t="s">
        <v>2880</v>
      </c>
      <c r="F224" s="161" t="s">
        <v>2317</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2845</v>
      </c>
      <c r="B225" s="151" t="s">
        <v>2866</v>
      </c>
      <c r="C225" s="152" t="s">
        <v>2881</v>
      </c>
      <c r="D225" s="155" t="s">
        <v>2882</v>
      </c>
      <c r="E225" s="158" t="s">
        <v>2883</v>
      </c>
      <c r="F225" s="161" t="s">
        <v>2317</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2845</v>
      </c>
      <c r="B226" s="168" t="s">
        <v>2866</v>
      </c>
      <c r="C226" s="169" t="s">
        <v>2884</v>
      </c>
      <c r="D226" s="170" t="s">
        <v>2885</v>
      </c>
      <c r="E226" s="171" t="s">
        <v>2886</v>
      </c>
      <c r="F226" s="172" t="s">
        <v>2317</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65" t="s">
        <v>430</v>
      </c>
      <c r="B230" s="265"/>
      <c r="C230" s="265"/>
      <c r="D230" s="265"/>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IFERROR(INDEX('Recommendations'!$G$2:$G$84, MATCH(H2,'Recommendations'!$A$2:$A$84,0))="Implemented", FALSE))</xm:f>
            <x14:dxf>
              <font>
                <color rgb="FF000000"/>
              </font>
              <fill>
                <patternFill>
                  <bgColor rgb="FF3C7D22"/>
                </patternFill>
              </fill>
            </x14:dxf>
          </x14:cfRule>
          <x14:cfRule type="expression" priority="2" id="{00000000-000E-0000-0700-000002000000}">
            <xm:f>AND(H2&lt;&gt;"", IFERROR(INDEX('Recommendations'!$G$2:$G$84, MATCH(H2,'Recommendations'!$A$2:$A$84,0))="Compensated", FALSE))</xm:f>
            <x14:dxf>
              <font>
                <color rgb="FF000000"/>
              </font>
              <fill>
                <patternFill>
                  <bgColor rgb="FFC6E0B4"/>
                </patternFill>
              </fill>
            </x14:dxf>
          </x14:cfRule>
          <x14:cfRule type="expression" priority="3" id="{00000000-000E-0000-0700-000003000000}">
            <xm:f>AND(H2&lt;&gt;"", IFERROR(INDEX('Recommendations'!$G$2:$G$84, MATCH(H2,'Recommendations'!$A$2:$A$84,0))="Testing", FALSE))</xm:f>
            <x14:dxf>
              <font>
                <color rgb="FF000000"/>
              </font>
              <fill>
                <patternFill>
                  <bgColor rgb="FFFFC000"/>
                </patternFill>
              </fill>
            </x14:dxf>
          </x14:cfRule>
          <x14:cfRule type="expression" priority="4" id="{00000000-000E-0000-0700-000004000000}">
            <xm:f>AND(H2&lt;&gt;"", IFERROR(INDEX('Recommendations'!$G$2:$G$84, MATCH(H2,'Recommendations'!$A$2:$A$84,0))="Failed", FALSE))</xm:f>
            <x14:dxf>
              <font>
                <color rgb="FF000000"/>
              </font>
              <fill>
                <patternFill>
                  <bgColor rgb="FFD82891"/>
                </patternFill>
              </fill>
            </x14:dxf>
          </x14:cfRule>
          <x14:cfRule type="expression" priority="5" id="{00000000-000E-0000-0700-000005000000}">
            <xm:f>AND(H2&lt;&gt;"", IFERROR(INDEX('Recommendations'!$G$2:$G$84, MATCH(H2,'Recommendations'!$A$2:$A$84,0))="Risk Accepted", FALSE))</xm:f>
            <x14:dxf>
              <font>
                <color rgb="FF000000"/>
              </font>
              <fill>
                <patternFill>
                  <bgColor rgb="FFD9D9D9"/>
                </patternFill>
              </fill>
            </x14:dxf>
          </x14:cfRule>
          <x14:cfRule type="expression" priority="6" id="{00000000-000E-0000-0700-000006000000}">
            <xm:f>AND(H2&lt;&gt;"", IFERROR(INDEX('Recommendations'!$G$2:$G$84, MATCH(H2,'Recommendations'!$A$2:$A$84,0))="N/A",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2304</v>
      </c>
      <c r="B1" s="207" t="s">
        <v>2887</v>
      </c>
      <c r="C1" s="207" t="s">
        <v>2888</v>
      </c>
      <c r="D1" s="207" t="s">
        <v>2889</v>
      </c>
      <c r="E1" s="207" t="s">
        <v>1613</v>
      </c>
      <c r="F1" s="207" t="s">
        <v>672</v>
      </c>
      <c r="G1" s="207" t="s">
        <v>673</v>
      </c>
      <c r="H1" s="207" t="s">
        <v>674</v>
      </c>
      <c r="I1" s="207" t="s">
        <v>675</v>
      </c>
      <c r="J1" s="207" t="s">
        <v>676</v>
      </c>
      <c r="K1" s="207" t="s">
        <v>677</v>
      </c>
      <c r="L1" s="207" t="s">
        <v>678</v>
      </c>
      <c r="M1" s="207" t="s">
        <v>679</v>
      </c>
      <c r="N1" s="207" t="s">
        <v>680</v>
      </c>
      <c r="O1" s="207" t="s">
        <v>681</v>
      </c>
      <c r="P1" s="207" t="s">
        <v>682</v>
      </c>
      <c r="Q1" s="207" t="s">
        <v>683</v>
      </c>
      <c r="R1" s="207" t="s">
        <v>684</v>
      </c>
      <c r="S1" s="207" t="s">
        <v>685</v>
      </c>
      <c r="T1" s="207" t="s">
        <v>686</v>
      </c>
      <c r="U1" s="207" t="s">
        <v>687</v>
      </c>
      <c r="V1" s="207" t="s">
        <v>688</v>
      </c>
      <c r="W1" s="207" t="s">
        <v>689</v>
      </c>
      <c r="X1" s="207" t="s">
        <v>690</v>
      </c>
      <c r="Y1" s="207" t="s">
        <v>691</v>
      </c>
      <c r="Z1" s="207" t="s">
        <v>692</v>
      </c>
      <c r="AA1" s="207" t="s">
        <v>693</v>
      </c>
      <c r="AB1" s="207" t="s">
        <v>694</v>
      </c>
      <c r="AC1" s="207" t="s">
        <v>695</v>
      </c>
      <c r="AD1" s="207" t="s">
        <v>696</v>
      </c>
      <c r="AE1" s="207" t="s">
        <v>697</v>
      </c>
      <c r="AF1" s="207" t="s">
        <v>698</v>
      </c>
      <c r="AG1" s="207" t="s">
        <v>699</v>
      </c>
      <c r="AH1" s="207" t="s">
        <v>700</v>
      </c>
      <c r="AI1" s="207" t="s">
        <v>701</v>
      </c>
      <c r="AJ1" s="207" t="s">
        <v>702</v>
      </c>
      <c r="AK1" s="207" t="s">
        <v>703</v>
      </c>
      <c r="AL1" s="207" t="s">
        <v>704</v>
      </c>
      <c r="AM1" s="207" t="s">
        <v>705</v>
      </c>
      <c r="AN1" s="207" t="s">
        <v>706</v>
      </c>
      <c r="AO1" s="207" t="s">
        <v>707</v>
      </c>
      <c r="AP1" s="207" t="s">
        <v>708</v>
      </c>
      <c r="AQ1" s="207" t="s">
        <v>709</v>
      </c>
      <c r="AR1" s="207" t="s">
        <v>710</v>
      </c>
      <c r="AS1" s="207" t="s">
        <v>711</v>
      </c>
      <c r="AT1" s="208" t="s">
        <v>712</v>
      </c>
    </row>
    <row r="2" spans="1:46" ht="60" customHeight="1" outlineLevel="1" x14ac:dyDescent="0.35">
      <c r="A2" s="200" t="s">
        <v>514</v>
      </c>
      <c r="B2" s="186" t="s">
        <v>2890</v>
      </c>
      <c r="C2" s="186"/>
      <c r="D2" s="189" t="s">
        <v>2891</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514</v>
      </c>
      <c r="B3" s="187" t="s">
        <v>2890</v>
      </c>
      <c r="C3" s="188" t="s">
        <v>2892</v>
      </c>
      <c r="D3" s="190" t="s">
        <v>2893</v>
      </c>
      <c r="E3" s="190" t="s">
        <v>2894</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514</v>
      </c>
      <c r="B4" s="187" t="s">
        <v>2890</v>
      </c>
      <c r="C4" s="188" t="s">
        <v>2895</v>
      </c>
      <c r="D4" s="190" t="s">
        <v>2896</v>
      </c>
      <c r="E4" s="190" t="s">
        <v>2897</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514</v>
      </c>
      <c r="B5" s="187" t="s">
        <v>2890</v>
      </c>
      <c r="C5" s="188" t="s">
        <v>2898</v>
      </c>
      <c r="D5" s="190" t="s">
        <v>2899</v>
      </c>
      <c r="E5" s="190" t="s">
        <v>2900</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514</v>
      </c>
      <c r="B6" s="187" t="s">
        <v>2890</v>
      </c>
      <c r="C6" s="188" t="s">
        <v>2901</v>
      </c>
      <c r="D6" s="190" t="s">
        <v>2902</v>
      </c>
      <c r="E6" s="190" t="s">
        <v>2903</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514</v>
      </c>
      <c r="B7" s="187" t="s">
        <v>2890</v>
      </c>
      <c r="C7" s="188" t="s">
        <v>2904</v>
      </c>
      <c r="D7" s="190" t="s">
        <v>2905</v>
      </c>
      <c r="E7" s="190" t="s">
        <v>2906</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514</v>
      </c>
      <c r="B8" s="187" t="s">
        <v>2890</v>
      </c>
      <c r="C8" s="188" t="s">
        <v>2907</v>
      </c>
      <c r="D8" s="190" t="s">
        <v>2908</v>
      </c>
      <c r="E8" s="190" t="s">
        <v>2909</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514</v>
      </c>
      <c r="B9" s="187" t="s">
        <v>2890</v>
      </c>
      <c r="C9" s="188" t="s">
        <v>2910</v>
      </c>
      <c r="D9" s="190" t="s">
        <v>2911</v>
      </c>
      <c r="E9" s="190" t="s">
        <v>2912</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514</v>
      </c>
      <c r="B10" s="187" t="s">
        <v>2890</v>
      </c>
      <c r="C10" s="188" t="s">
        <v>2913</v>
      </c>
      <c r="D10" s="190" t="s">
        <v>2914</v>
      </c>
      <c r="E10" s="190" t="s">
        <v>2915</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514</v>
      </c>
      <c r="B11" s="187" t="s">
        <v>2890</v>
      </c>
      <c r="C11" s="188" t="s">
        <v>2916</v>
      </c>
      <c r="D11" s="190" t="s">
        <v>2917</v>
      </c>
      <c r="E11" s="190" t="s">
        <v>2918</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514</v>
      </c>
      <c r="B12" s="187" t="s">
        <v>2890</v>
      </c>
      <c r="C12" s="188" t="s">
        <v>2919</v>
      </c>
      <c r="D12" s="190" t="s">
        <v>2920</v>
      </c>
      <c r="E12" s="190" t="s">
        <v>2921</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514</v>
      </c>
      <c r="B13" s="187" t="s">
        <v>2890</v>
      </c>
      <c r="C13" s="188" t="s">
        <v>2922</v>
      </c>
      <c r="D13" s="190" t="s">
        <v>2923</v>
      </c>
      <c r="E13" s="190" t="s">
        <v>2924</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514</v>
      </c>
      <c r="B14" s="187" t="s">
        <v>2890</v>
      </c>
      <c r="C14" s="188" t="s">
        <v>2925</v>
      </c>
      <c r="D14" s="190" t="s">
        <v>2926</v>
      </c>
      <c r="E14" s="190" t="s">
        <v>2927</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514</v>
      </c>
      <c r="B15" s="187" t="s">
        <v>2890</v>
      </c>
      <c r="C15" s="188" t="s">
        <v>2928</v>
      </c>
      <c r="D15" s="190" t="s">
        <v>2929</v>
      </c>
      <c r="E15" s="190" t="s">
        <v>2930</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514</v>
      </c>
      <c r="B16" s="187" t="s">
        <v>2890</v>
      </c>
      <c r="C16" s="188" t="s">
        <v>2931</v>
      </c>
      <c r="D16" s="190" t="s">
        <v>2932</v>
      </c>
      <c r="E16" s="190" t="s">
        <v>2933</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514</v>
      </c>
      <c r="B17" s="187" t="s">
        <v>2890</v>
      </c>
      <c r="C17" s="188" t="s">
        <v>2934</v>
      </c>
      <c r="D17" s="190" t="s">
        <v>2935</v>
      </c>
      <c r="E17" s="190" t="s">
        <v>2936</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514</v>
      </c>
      <c r="B18" s="187" t="s">
        <v>2890</v>
      </c>
      <c r="C18" s="188" t="s">
        <v>2937</v>
      </c>
      <c r="D18" s="190" t="s">
        <v>2938</v>
      </c>
      <c r="E18" s="190" t="s">
        <v>2939</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514</v>
      </c>
      <c r="B19" s="186" t="s">
        <v>2940</v>
      </c>
      <c r="C19" s="186"/>
      <c r="D19" s="189" t="s">
        <v>2941</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514</v>
      </c>
      <c r="B20" s="187" t="s">
        <v>2940</v>
      </c>
      <c r="C20" s="188" t="s">
        <v>2942</v>
      </c>
      <c r="D20" s="190" t="s">
        <v>2943</v>
      </c>
      <c r="E20" s="190" t="s">
        <v>2944</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514</v>
      </c>
      <c r="B21" s="187" t="s">
        <v>2940</v>
      </c>
      <c r="C21" s="188" t="s">
        <v>2945</v>
      </c>
      <c r="D21" s="190" t="s">
        <v>2946</v>
      </c>
      <c r="E21" s="190" t="s">
        <v>2947</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514</v>
      </c>
      <c r="B22" s="187" t="s">
        <v>2940</v>
      </c>
      <c r="C22" s="188" t="s">
        <v>2948</v>
      </c>
      <c r="D22" s="190" t="s">
        <v>2949</v>
      </c>
      <c r="E22" s="190" t="s">
        <v>2950</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514</v>
      </c>
      <c r="B23" s="187" t="s">
        <v>2940</v>
      </c>
      <c r="C23" s="188" t="s">
        <v>2951</v>
      </c>
      <c r="D23" s="190" t="s">
        <v>2952</v>
      </c>
      <c r="E23" s="190" t="s">
        <v>2953</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514</v>
      </c>
      <c r="B24" s="187" t="s">
        <v>2940</v>
      </c>
      <c r="C24" s="188" t="s">
        <v>2954</v>
      </c>
      <c r="D24" s="190" t="s">
        <v>2955</v>
      </c>
      <c r="E24" s="190" t="s">
        <v>2956</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514</v>
      </c>
      <c r="B25" s="187" t="s">
        <v>2940</v>
      </c>
      <c r="C25" s="188" t="s">
        <v>2957</v>
      </c>
      <c r="D25" s="190" t="s">
        <v>2958</v>
      </c>
      <c r="E25" s="190" t="s">
        <v>2959</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514</v>
      </c>
      <c r="B26" s="187" t="s">
        <v>2940</v>
      </c>
      <c r="C26" s="188" t="s">
        <v>2960</v>
      </c>
      <c r="D26" s="190" t="s">
        <v>2961</v>
      </c>
      <c r="E26" s="190" t="s">
        <v>2962</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514</v>
      </c>
      <c r="B27" s="187" t="s">
        <v>2940</v>
      </c>
      <c r="C27" s="188" t="s">
        <v>2963</v>
      </c>
      <c r="D27" s="190" t="s">
        <v>2964</v>
      </c>
      <c r="E27" s="190" t="s">
        <v>2965</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514</v>
      </c>
      <c r="B28" s="187" t="s">
        <v>2940</v>
      </c>
      <c r="C28" s="188" t="s">
        <v>2966</v>
      </c>
      <c r="D28" s="190" t="s">
        <v>2967</v>
      </c>
      <c r="E28" s="190" t="s">
        <v>2968</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514</v>
      </c>
      <c r="B29" s="187" t="s">
        <v>2940</v>
      </c>
      <c r="C29" s="188" t="s">
        <v>2969</v>
      </c>
      <c r="D29" s="190" t="s">
        <v>2970</v>
      </c>
      <c r="E29" s="190" t="s">
        <v>2971</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514</v>
      </c>
      <c r="B30" s="187" t="s">
        <v>2940</v>
      </c>
      <c r="C30" s="188" t="s">
        <v>2972</v>
      </c>
      <c r="D30" s="190" t="s">
        <v>2973</v>
      </c>
      <c r="E30" s="190" t="s">
        <v>2974</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514</v>
      </c>
      <c r="B31" s="187" t="s">
        <v>2940</v>
      </c>
      <c r="C31" s="188" t="s">
        <v>2975</v>
      </c>
      <c r="D31" s="190" t="s">
        <v>2976</v>
      </c>
      <c r="E31" s="190" t="s">
        <v>2977</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2978</v>
      </c>
      <c r="B32" s="186"/>
      <c r="C32" s="186"/>
      <c r="D32" s="189" t="s">
        <v>2979</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2978</v>
      </c>
      <c r="B33" s="187"/>
      <c r="C33" s="188" t="s">
        <v>2980</v>
      </c>
      <c r="D33" s="190" t="s">
        <v>2981</v>
      </c>
      <c r="E33" s="190" t="s">
        <v>2982</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2978</v>
      </c>
      <c r="B34" s="187"/>
      <c r="C34" s="188" t="s">
        <v>2983</v>
      </c>
      <c r="D34" s="190" t="s">
        <v>2984</v>
      </c>
      <c r="E34" s="190" t="s">
        <v>2985</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2978</v>
      </c>
      <c r="B35" s="187"/>
      <c r="C35" s="188" t="s">
        <v>2986</v>
      </c>
      <c r="D35" s="190" t="s">
        <v>2987</v>
      </c>
      <c r="E35" s="190" t="s">
        <v>2988</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2978</v>
      </c>
      <c r="B36" s="186" t="s">
        <v>2989</v>
      </c>
      <c r="C36" s="186"/>
      <c r="D36" s="189" t="s">
        <v>2990</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2978</v>
      </c>
      <c r="B37" s="187" t="s">
        <v>2989</v>
      </c>
      <c r="C37" s="188" t="s">
        <v>2991</v>
      </c>
      <c r="D37" s="190" t="s">
        <v>2992</v>
      </c>
      <c r="E37" s="190" t="s">
        <v>2993</v>
      </c>
      <c r="F37" s="192" t="str">
        <f>IF(COUNTIF(G37:AT37,"&lt;&gt;")=0,"",SUMPRODUCT(((Recommendations[ImplStatus]="Implemented")+(Recommendations[ImplStatus]="Compensated"))*ISNUMBER(MATCH(Recommendations[Id],G37:AT37,0)))/COUNTIF(G37:AT37,"&lt;&gt;"))</f>
        <v/>
      </c>
      <c r="G37" s="194"/>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2978</v>
      </c>
      <c r="B38" s="187" t="s">
        <v>2989</v>
      </c>
      <c r="C38" s="188" t="s">
        <v>2994</v>
      </c>
      <c r="D38" s="190" t="s">
        <v>2995</v>
      </c>
      <c r="E38" s="190" t="s">
        <v>2996</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2978</v>
      </c>
      <c r="B39" s="187" t="s">
        <v>2989</v>
      </c>
      <c r="C39" s="188" t="s">
        <v>2997</v>
      </c>
      <c r="D39" s="190" t="s">
        <v>2998</v>
      </c>
      <c r="E39" s="190" t="s">
        <v>2999</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2978</v>
      </c>
      <c r="B40" s="187" t="s">
        <v>2989</v>
      </c>
      <c r="C40" s="188" t="s">
        <v>3000</v>
      </c>
      <c r="D40" s="190" t="s">
        <v>3001</v>
      </c>
      <c r="E40" s="190" t="s">
        <v>3002</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2978</v>
      </c>
      <c r="B41" s="187" t="s">
        <v>2989</v>
      </c>
      <c r="C41" s="188" t="s">
        <v>3003</v>
      </c>
      <c r="D41" s="190" t="s">
        <v>3004</v>
      </c>
      <c r="E41" s="190" t="s">
        <v>3005</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2978</v>
      </c>
      <c r="B42" s="187" t="s">
        <v>2989</v>
      </c>
      <c r="C42" s="188" t="s">
        <v>3006</v>
      </c>
      <c r="D42" s="190" t="s">
        <v>3007</v>
      </c>
      <c r="E42" s="190" t="s">
        <v>3008</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2978</v>
      </c>
      <c r="B43" s="187" t="s">
        <v>2989</v>
      </c>
      <c r="C43" s="188" t="s">
        <v>3009</v>
      </c>
      <c r="D43" s="190" t="s">
        <v>3010</v>
      </c>
      <c r="E43" s="190" t="s">
        <v>3011</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2978</v>
      </c>
      <c r="B44" s="187" t="s">
        <v>2989</v>
      </c>
      <c r="C44" s="188" t="s">
        <v>3012</v>
      </c>
      <c r="D44" s="190" t="s">
        <v>3013</v>
      </c>
      <c r="E44" s="190" t="s">
        <v>3014</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2978</v>
      </c>
      <c r="B45" s="187" t="s">
        <v>2989</v>
      </c>
      <c r="C45" s="188" t="s">
        <v>3015</v>
      </c>
      <c r="D45" s="190" t="s">
        <v>3016</v>
      </c>
      <c r="E45" s="190" t="s">
        <v>3017</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2978</v>
      </c>
      <c r="B46" s="187" t="s">
        <v>2989</v>
      </c>
      <c r="C46" s="188" t="s">
        <v>3018</v>
      </c>
      <c r="D46" s="190" t="s">
        <v>3019</v>
      </c>
      <c r="E46" s="190" t="s">
        <v>3020</v>
      </c>
      <c r="F46" s="192" t="str">
        <f>IF(COUNTIF(G46:AT46,"&lt;&gt;")=0,"",SUMPRODUCT(((Recommendations[ImplStatus]="Implemented")+(Recommendations[ImplStatus]="Compensated"))*ISNUMBER(MATCH(Recommendations[Id],G46:AT46,0)))/COUNTIF(G46:AT46,"&lt;&gt;"))</f>
        <v/>
      </c>
      <c r="G46" s="194"/>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2978</v>
      </c>
      <c r="B47" s="187" t="s">
        <v>2989</v>
      </c>
      <c r="C47" s="188" t="s">
        <v>3021</v>
      </c>
      <c r="D47" s="190" t="s">
        <v>3022</v>
      </c>
      <c r="E47" s="190" t="s">
        <v>3023</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2978</v>
      </c>
      <c r="B48" s="187" t="s">
        <v>2989</v>
      </c>
      <c r="C48" s="188" t="s">
        <v>3024</v>
      </c>
      <c r="D48" s="190" t="s">
        <v>3025</v>
      </c>
      <c r="E48" s="190" t="s">
        <v>3026</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2978</v>
      </c>
      <c r="B49" s="187" t="s">
        <v>2989</v>
      </c>
      <c r="C49" s="188" t="s">
        <v>3027</v>
      </c>
      <c r="D49" s="190" t="s">
        <v>3028</v>
      </c>
      <c r="E49" s="190" t="s">
        <v>3029</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2978</v>
      </c>
      <c r="B50" s="187" t="s">
        <v>2989</v>
      </c>
      <c r="C50" s="188" t="s">
        <v>3030</v>
      </c>
      <c r="D50" s="190" t="s">
        <v>3031</v>
      </c>
      <c r="E50" s="190" t="s">
        <v>3032</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2978</v>
      </c>
      <c r="B51" s="186" t="s">
        <v>3033</v>
      </c>
      <c r="C51" s="186"/>
      <c r="D51" s="189" t="s">
        <v>3034</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2978</v>
      </c>
      <c r="B52" s="187" t="s">
        <v>3033</v>
      </c>
      <c r="C52" s="188" t="s">
        <v>3035</v>
      </c>
      <c r="D52" s="190" t="s">
        <v>3036</v>
      </c>
      <c r="E52" s="190" t="s">
        <v>3037</v>
      </c>
      <c r="F52" s="192">
        <f>IF(COUNTIF(G52:AT52,"&lt;&gt;")=0,"",SUMPRODUCT(((Recommendations[ImplStatus]="Implemented")+(Recommendations[ImplStatus]="Compensated"))*ISNUMBER(MATCH(Recommendations[Id],G52:AT52,0)))/COUNTIF(G52:AT52,"&lt;&gt;"))</f>
        <v>0</v>
      </c>
      <c r="G52" s="194" t="s">
        <v>405</v>
      </c>
      <c r="H52" s="194"/>
      <c r="I52" s="194"/>
      <c r="J52" s="194"/>
      <c r="K52" s="194"/>
      <c r="L52" s="194"/>
      <c r="M52" s="194"/>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2978</v>
      </c>
      <c r="B53" s="187" t="s">
        <v>3033</v>
      </c>
      <c r="C53" s="188" t="s">
        <v>3038</v>
      </c>
      <c r="D53" s="190" t="s">
        <v>3039</v>
      </c>
      <c r="E53" s="190" t="s">
        <v>3040</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2978</v>
      </c>
      <c r="B54" s="187" t="s">
        <v>3033</v>
      </c>
      <c r="C54" s="188" t="s">
        <v>3041</v>
      </c>
      <c r="D54" s="190" t="s">
        <v>3042</v>
      </c>
      <c r="E54" s="190" t="s">
        <v>3043</v>
      </c>
      <c r="F54" s="192">
        <f>IF(COUNTIF(G54:AT54,"&lt;&gt;")=0,"",SUMPRODUCT(((Recommendations[ImplStatus]="Implemented")+(Recommendations[ImplStatus]="Compensated"))*ISNUMBER(MATCH(Recommendations[Id],G54:AT54,0)))/COUNTIF(G54:AT54,"&lt;&gt;"))</f>
        <v>0</v>
      </c>
      <c r="G54" s="194" t="s">
        <v>33</v>
      </c>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2978</v>
      </c>
      <c r="B55" s="187" t="s">
        <v>3033</v>
      </c>
      <c r="C55" s="188" t="s">
        <v>3044</v>
      </c>
      <c r="D55" s="190" t="s">
        <v>3045</v>
      </c>
      <c r="E55" s="190" t="s">
        <v>3046</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2978</v>
      </c>
      <c r="B56" s="187" t="s">
        <v>3033</v>
      </c>
      <c r="C56" s="188" t="s">
        <v>3047</v>
      </c>
      <c r="D56" s="190" t="s">
        <v>3048</v>
      </c>
      <c r="E56" s="190" t="s">
        <v>3049</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2978</v>
      </c>
      <c r="B57" s="187" t="s">
        <v>3033</v>
      </c>
      <c r="C57" s="188" t="s">
        <v>3050</v>
      </c>
      <c r="D57" s="190" t="s">
        <v>3051</v>
      </c>
      <c r="E57" s="190" t="s">
        <v>3052</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2978</v>
      </c>
      <c r="B58" s="187" t="s">
        <v>3033</v>
      </c>
      <c r="C58" s="188" t="s">
        <v>3053</v>
      </c>
      <c r="D58" s="190" t="s">
        <v>3054</v>
      </c>
      <c r="E58" s="190" t="s">
        <v>3055</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2978</v>
      </c>
      <c r="B59" s="187" t="s">
        <v>3033</v>
      </c>
      <c r="C59" s="188" t="s">
        <v>3056</v>
      </c>
      <c r="D59" s="190" t="s">
        <v>3057</v>
      </c>
      <c r="E59" s="190" t="s">
        <v>3058</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2978</v>
      </c>
      <c r="B60" s="187" t="s">
        <v>3059</v>
      </c>
      <c r="C60" s="188" t="s">
        <v>3060</v>
      </c>
      <c r="D60" s="190" t="s">
        <v>3061</v>
      </c>
      <c r="E60" s="190" t="s">
        <v>3062</v>
      </c>
      <c r="F60" s="192" t="str">
        <f>IF(COUNTIF(G60:AT60,"&lt;&gt;")=0,"",SUMPRODUCT(((Recommendations[ImplStatus]="Implemented")+(Recommendations[ImplStatus]="Compensated"))*ISNUMBER(MATCH(Recommendations[Id],G60:AT60,0)))/COUNTIF(G60:AT60,"&lt;&gt;"))</f>
        <v/>
      </c>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2978</v>
      </c>
      <c r="B61" s="187" t="s">
        <v>3059</v>
      </c>
      <c r="C61" s="188" t="s">
        <v>3063</v>
      </c>
      <c r="D61" s="190" t="s">
        <v>3064</v>
      </c>
      <c r="E61" s="190" t="s">
        <v>3065</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2978</v>
      </c>
      <c r="B62" s="186" t="s">
        <v>3066</v>
      </c>
      <c r="C62" s="186"/>
      <c r="D62" s="189" t="s">
        <v>3067</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2978</v>
      </c>
      <c r="B63" s="187" t="s">
        <v>3066</v>
      </c>
      <c r="C63" s="188" t="s">
        <v>3068</v>
      </c>
      <c r="D63" s="190" t="s">
        <v>3069</v>
      </c>
      <c r="E63" s="190" t="s">
        <v>3070</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2978</v>
      </c>
      <c r="B64" s="187" t="s">
        <v>3066</v>
      </c>
      <c r="C64" s="188" t="s">
        <v>3071</v>
      </c>
      <c r="D64" s="190" t="s">
        <v>3072</v>
      </c>
      <c r="E64" s="190" t="s">
        <v>3073</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2978</v>
      </c>
      <c r="B65" s="187" t="s">
        <v>3066</v>
      </c>
      <c r="C65" s="188" t="s">
        <v>3074</v>
      </c>
      <c r="D65" s="190" t="s">
        <v>3075</v>
      </c>
      <c r="E65" s="190" t="s">
        <v>3076</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2978</v>
      </c>
      <c r="B66" s="187" t="s">
        <v>3066</v>
      </c>
      <c r="C66" s="188" t="s">
        <v>3077</v>
      </c>
      <c r="D66" s="190" t="s">
        <v>3078</v>
      </c>
      <c r="E66" s="190" t="s">
        <v>3079</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2978</v>
      </c>
      <c r="B67" s="187" t="s">
        <v>3066</v>
      </c>
      <c r="C67" s="188" t="s">
        <v>3080</v>
      </c>
      <c r="D67" s="190" t="s">
        <v>3081</v>
      </c>
      <c r="E67" s="190" t="s">
        <v>3082</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2978</v>
      </c>
      <c r="B68" s="187" t="s">
        <v>3066</v>
      </c>
      <c r="C68" s="188" t="s">
        <v>3083</v>
      </c>
      <c r="D68" s="190" t="s">
        <v>3084</v>
      </c>
      <c r="E68" s="190" t="s">
        <v>3085</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2978</v>
      </c>
      <c r="B69" s="187" t="s">
        <v>3066</v>
      </c>
      <c r="C69" s="188" t="s">
        <v>3086</v>
      </c>
      <c r="D69" s="190" t="s">
        <v>3087</v>
      </c>
      <c r="E69" s="190" t="s">
        <v>3088</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2978</v>
      </c>
      <c r="B70" s="187" t="s">
        <v>3066</v>
      </c>
      <c r="C70" s="188" t="s">
        <v>3089</v>
      </c>
      <c r="D70" s="190" t="s">
        <v>3090</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2978</v>
      </c>
      <c r="B71" s="187" t="s">
        <v>3066</v>
      </c>
      <c r="C71" s="188" t="s">
        <v>3091</v>
      </c>
      <c r="D71" s="190" t="s">
        <v>3092</v>
      </c>
      <c r="E71" s="190" t="s">
        <v>3093</v>
      </c>
      <c r="F71" s="192" t="str">
        <f>IF(COUNTIF(G71:AT71,"&lt;&gt;")=0,"",SUMPRODUCT(((Recommendations[ImplStatus]="Implemented")+(Recommendations[ImplStatus]="Compensated"))*ISNUMBER(MATCH(Recommendations[Id],G71:AT71,0)))/COUNTIF(G71:AT71,"&lt;&gt;"))</f>
        <v/>
      </c>
      <c r="G71" s="194"/>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2978</v>
      </c>
      <c r="B72" s="187" t="s">
        <v>3066</v>
      </c>
      <c r="C72" s="188" t="s">
        <v>3094</v>
      </c>
      <c r="D72" s="190" t="s">
        <v>3095</v>
      </c>
      <c r="E72" s="190" t="s">
        <v>3096</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2978</v>
      </c>
      <c r="B73" s="187" t="s">
        <v>3066</v>
      </c>
      <c r="C73" s="188" t="s">
        <v>3097</v>
      </c>
      <c r="D73" s="190" t="s">
        <v>3098</v>
      </c>
      <c r="E73" s="190" t="s">
        <v>3099</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2978</v>
      </c>
      <c r="B74" s="187" t="s">
        <v>3066</v>
      </c>
      <c r="C74" s="188" t="s">
        <v>3100</v>
      </c>
      <c r="D74" s="190" t="s">
        <v>3101</v>
      </c>
      <c r="E74" s="190" t="s">
        <v>3102</v>
      </c>
      <c r="F74" s="192">
        <f>IF(COUNTIF(G74:AT74,"&lt;&gt;")=0,"",SUMPRODUCT(((Recommendations[ImplStatus]="Implemented")+(Recommendations[ImplStatus]="Compensated"))*ISNUMBER(MATCH(Recommendations[Id],G74:AT74,0)))/COUNTIF(G74:AT74,"&lt;&gt;"))</f>
        <v>0</v>
      </c>
      <c r="G74" s="194" t="s">
        <v>350</v>
      </c>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2978</v>
      </c>
      <c r="B75" s="187" t="s">
        <v>3066</v>
      </c>
      <c r="C75" s="188" t="s">
        <v>3103</v>
      </c>
      <c r="D75" s="190" t="s">
        <v>3104</v>
      </c>
      <c r="E75" s="190" t="s">
        <v>3105</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2978</v>
      </c>
      <c r="B76" s="187" t="s">
        <v>3066</v>
      </c>
      <c r="C76" s="188" t="s">
        <v>3106</v>
      </c>
      <c r="D76" s="190" t="s">
        <v>3107</v>
      </c>
      <c r="E76" s="190" t="s">
        <v>3108</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2978</v>
      </c>
      <c r="B77" s="187" t="s">
        <v>3066</v>
      </c>
      <c r="C77" s="188" t="s">
        <v>3109</v>
      </c>
      <c r="D77" s="190" t="s">
        <v>3110</v>
      </c>
      <c r="E77" s="190" t="s">
        <v>3111</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2978</v>
      </c>
      <c r="B78" s="187" t="s">
        <v>3066</v>
      </c>
      <c r="C78" s="188" t="s">
        <v>3112</v>
      </c>
      <c r="D78" s="190" t="s">
        <v>3113</v>
      </c>
      <c r="E78" s="190" t="s">
        <v>3114</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2978</v>
      </c>
      <c r="B79" s="186" t="s">
        <v>3066</v>
      </c>
      <c r="C79" s="186"/>
      <c r="D79" s="189" t="s">
        <v>3115</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3116</v>
      </c>
      <c r="B80" s="187"/>
      <c r="C80" s="188" t="s">
        <v>3117</v>
      </c>
      <c r="D80" s="190" t="s">
        <v>3118</v>
      </c>
      <c r="E80" s="190" t="s">
        <v>3119</v>
      </c>
      <c r="F80" s="192">
        <f>IF(COUNTIF(G80:AT80,"&lt;&gt;")=0,"",SUMPRODUCT(((Recommendations[ImplStatus]="Implemented")+(Recommendations[ImplStatus]="Compensated"))*ISNUMBER(MATCH(Recommendations[Id],G80:AT80,0)))/COUNTIF(G80:AT80,"&lt;&gt;"))</f>
        <v>0</v>
      </c>
      <c r="G80" s="194" t="s">
        <v>28</v>
      </c>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3116</v>
      </c>
      <c r="B81" s="187"/>
      <c r="C81" s="188" t="s">
        <v>3120</v>
      </c>
      <c r="D81" s="190" t="s">
        <v>3121</v>
      </c>
      <c r="E81" s="190" t="s">
        <v>3122</v>
      </c>
      <c r="F81" s="192" t="str">
        <f>IF(COUNTIF(G81:AT81,"&lt;&gt;")=0,"",SUMPRODUCT(((Recommendations[ImplStatus]="Implemented")+(Recommendations[ImplStatus]="Compensated"))*ISNUMBER(MATCH(Recommendations[Id],G81:AT81,0)))/COUNTIF(G81:AT81,"&lt;&gt;"))</f>
        <v/>
      </c>
      <c r="G81" s="194"/>
      <c r="H81" s="194"/>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3116</v>
      </c>
      <c r="B82" s="187"/>
      <c r="C82" s="188" t="s">
        <v>3123</v>
      </c>
      <c r="D82" s="190" t="s">
        <v>3124</v>
      </c>
      <c r="E82" s="190" t="s">
        <v>3125</v>
      </c>
      <c r="F82" s="192" t="str">
        <f>IF(COUNTIF(G82:AT82,"&lt;&gt;")=0,"",SUMPRODUCT(((Recommendations[ImplStatus]="Implemented")+(Recommendations[ImplStatus]="Compensated"))*ISNUMBER(MATCH(Recommendations[Id],G82:AT82,0)))/COUNTIF(G82:AT82,"&lt;&gt;"))</f>
        <v/>
      </c>
      <c r="G82" s="194"/>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3116</v>
      </c>
      <c r="B83" s="187"/>
      <c r="C83" s="188" t="s">
        <v>3126</v>
      </c>
      <c r="D83" s="190" t="s">
        <v>3127</v>
      </c>
      <c r="E83" s="190" t="s">
        <v>3128</v>
      </c>
      <c r="F83" s="192">
        <f>IF(COUNTIF(G83:AT83,"&lt;&gt;")=0,"",SUMPRODUCT(((Recommendations[ImplStatus]="Implemented")+(Recommendations[ImplStatus]="Compensated"))*ISNUMBER(MATCH(Recommendations[Id],G83:AT83,0)))/COUNTIF(G83:AT83,"&lt;&gt;"))</f>
        <v>0</v>
      </c>
      <c r="G83" s="194" t="s">
        <v>56</v>
      </c>
      <c r="H83" s="194"/>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3116</v>
      </c>
      <c r="B84" s="186"/>
      <c r="C84" s="186"/>
      <c r="D84" s="189" t="s">
        <v>3129</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3130</v>
      </c>
      <c r="B85" s="187"/>
      <c r="C85" s="188" t="s">
        <v>3131</v>
      </c>
      <c r="D85" s="190" t="s">
        <v>3132</v>
      </c>
      <c r="E85" s="190" t="s">
        <v>3133</v>
      </c>
      <c r="F85" s="192" t="str">
        <f>IF(COUNTIF(G85:AT85,"&lt;&gt;")=0,"",SUMPRODUCT(((Recommendations[ImplStatus]="Implemented")+(Recommendations[ImplStatus]="Compensated"))*ISNUMBER(MATCH(Recommendations[Id],G85:AT85,0)))/COUNTIF(G85:AT85,"&lt;&gt;"))</f>
        <v/>
      </c>
      <c r="G85" s="194"/>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3130</v>
      </c>
      <c r="B86" s="187"/>
      <c r="C86" s="188" t="s">
        <v>3134</v>
      </c>
      <c r="D86" s="190" t="s">
        <v>3135</v>
      </c>
      <c r="E86" s="190" t="s">
        <v>3136</v>
      </c>
      <c r="F86" s="192" t="str">
        <f>IF(COUNTIF(G86:AT86,"&lt;&gt;")=0,"",SUMPRODUCT(((Recommendations[ImplStatus]="Implemented")+(Recommendations[ImplStatus]="Compensated"))*ISNUMBER(MATCH(Recommendations[Id],G86:AT86,0)))/COUNTIF(G86:AT86,"&lt;&gt;"))</f>
        <v/>
      </c>
      <c r="G86" s="194"/>
      <c r="H86" s="194"/>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3130</v>
      </c>
      <c r="B87" s="187"/>
      <c r="C87" s="188" t="s">
        <v>3137</v>
      </c>
      <c r="D87" s="190" t="s">
        <v>3138</v>
      </c>
      <c r="E87" s="190" t="s">
        <v>3139</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3130</v>
      </c>
      <c r="B88" s="187"/>
      <c r="C88" s="188" t="s">
        <v>3140</v>
      </c>
      <c r="D88" s="190" t="s">
        <v>3141</v>
      </c>
      <c r="E88" s="190" t="s">
        <v>3142</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3130</v>
      </c>
      <c r="B89" s="187"/>
      <c r="C89" s="188" t="s">
        <v>3143</v>
      </c>
      <c r="D89" s="190" t="s">
        <v>3144</v>
      </c>
      <c r="E89" s="190" t="s">
        <v>3145</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3130</v>
      </c>
      <c r="B90" s="186" t="s">
        <v>3146</v>
      </c>
      <c r="C90" s="186"/>
      <c r="D90" s="189" t="s">
        <v>3147</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3130</v>
      </c>
      <c r="B91" s="187" t="s">
        <v>3146</v>
      </c>
      <c r="C91" s="188" t="s">
        <v>3148</v>
      </c>
      <c r="D91" s="190" t="s">
        <v>3149</v>
      </c>
      <c r="E91" s="190" t="s">
        <v>3150</v>
      </c>
      <c r="F91" s="192" t="str">
        <f>IF(COUNTIF(G91:AT91,"&lt;&gt;")=0,"",SUMPRODUCT(((Recommendations[ImplStatus]="Implemented")+(Recommendations[ImplStatus]="Compensated"))*ISNUMBER(MATCH(Recommendations[Id],G91:AT91,0)))/COUNTIF(G91:AT91,"&lt;&gt;"))</f>
        <v/>
      </c>
      <c r="G91" s="194"/>
      <c r="H91" s="194"/>
      <c r="I91" s="194"/>
      <c r="J91" s="194"/>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3130</v>
      </c>
      <c r="B92" s="187" t="s">
        <v>3146</v>
      </c>
      <c r="C92" s="188" t="s">
        <v>3151</v>
      </c>
      <c r="D92" s="190" t="s">
        <v>3152</v>
      </c>
      <c r="E92" s="190" t="s">
        <v>3153</v>
      </c>
      <c r="F92" s="192" t="str">
        <f>IF(COUNTIF(G92:AT92,"&lt;&gt;")=0,"",SUMPRODUCT(((Recommendations[ImplStatus]="Implemented")+(Recommendations[ImplStatus]="Compensated"))*ISNUMBER(MATCH(Recommendations[Id],G92:AT92,0)))/COUNTIF(G92:AT92,"&lt;&gt;"))</f>
        <v/>
      </c>
      <c r="G92" s="194"/>
      <c r="H92" s="194"/>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3146</v>
      </c>
      <c r="C93" s="188" t="s">
        <v>3154</v>
      </c>
      <c r="D93" s="190" t="s">
        <v>3155</v>
      </c>
      <c r="E93" s="190" t="s">
        <v>3156</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3146</v>
      </c>
      <c r="C94" s="188" t="s">
        <v>3157</v>
      </c>
      <c r="D94" s="190" t="s">
        <v>3158</v>
      </c>
      <c r="E94" s="190" t="s">
        <v>3159</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3146</v>
      </c>
      <c r="C95" s="188" t="s">
        <v>3160</v>
      </c>
      <c r="D95" s="190" t="s">
        <v>3161</v>
      </c>
      <c r="E95" s="190" t="s">
        <v>3162</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3146</v>
      </c>
      <c r="C96" s="188" t="s">
        <v>3163</v>
      </c>
      <c r="D96" s="190" t="s">
        <v>3164</v>
      </c>
      <c r="E96" s="190" t="s">
        <v>3165</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3146</v>
      </c>
      <c r="C97" s="188" t="s">
        <v>3166</v>
      </c>
      <c r="D97" s="190" t="s">
        <v>3167</v>
      </c>
      <c r="E97" s="190" t="s">
        <v>3168</v>
      </c>
      <c r="F97" s="192">
        <f>IF(COUNTIF(G97:AT97,"&lt;&gt;")=0,"",SUMPRODUCT(((Recommendations[ImplStatus]="Implemented")+(Recommendations[ImplStatus]="Compensated"))*ISNUMBER(MATCH(Recommendations[Id],G97:AT97,0)))/COUNTIF(G97:AT97,"&lt;&gt;"))</f>
        <v>0</v>
      </c>
      <c r="G97" s="194" t="s">
        <v>197</v>
      </c>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3146</v>
      </c>
      <c r="C98" s="188" t="s">
        <v>3169</v>
      </c>
      <c r="D98" s="190" t="s">
        <v>3170</v>
      </c>
      <c r="E98" s="190" t="s">
        <v>3171</v>
      </c>
      <c r="F98" s="192">
        <f>IF(COUNTIF(G98:AT98,"&lt;&gt;")=0,"",SUMPRODUCT(((Recommendations[ImplStatus]="Implemented")+(Recommendations[ImplStatus]="Compensated"))*ISNUMBER(MATCH(Recommendations[Id],G98:AT98,0)))/COUNTIF(G98:AT98,"&lt;&gt;"))</f>
        <v>0</v>
      </c>
      <c r="G98" s="194" t="s">
        <v>197</v>
      </c>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3172</v>
      </c>
      <c r="C99" s="186"/>
      <c r="D99" s="189" t="s">
        <v>3173</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3172</v>
      </c>
      <c r="C100" s="188" t="s">
        <v>3174</v>
      </c>
      <c r="D100" s="190" t="s">
        <v>3175</v>
      </c>
      <c r="E100" s="190" t="s">
        <v>3176</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3172</v>
      </c>
      <c r="C101" s="188" t="s">
        <v>3177</v>
      </c>
      <c r="D101" s="190" t="s">
        <v>3178</v>
      </c>
      <c r="E101" s="190" t="s">
        <v>3179</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3172</v>
      </c>
      <c r="C102" s="188" t="s">
        <v>3180</v>
      </c>
      <c r="D102" s="190" t="s">
        <v>3181</v>
      </c>
      <c r="E102" s="190" t="s">
        <v>3182</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3172</v>
      </c>
      <c r="C103" s="188" t="s">
        <v>3183</v>
      </c>
      <c r="D103" s="190" t="s">
        <v>3184</v>
      </c>
      <c r="E103" s="190" t="s">
        <v>3185</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3172</v>
      </c>
      <c r="C104" s="196" t="s">
        <v>3186</v>
      </c>
      <c r="D104" s="197" t="s">
        <v>3187</v>
      </c>
      <c r="E104" s="197" t="s">
        <v>3188</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65" t="s">
        <v>430</v>
      </c>
      <c r="B108" s="265"/>
      <c r="C108" s="265"/>
      <c r="D108" s="265"/>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IFERROR(INDEX('Recommendations'!$G$2:$G$84, MATCH(G2,'Recommendations'!$A$2:$A$84,0))="Implemented", FALSE))</xm:f>
            <x14:dxf>
              <font>
                <color rgb="FF000000"/>
              </font>
              <fill>
                <patternFill>
                  <bgColor rgb="FF3C7D22"/>
                </patternFill>
              </fill>
            </x14:dxf>
          </x14:cfRule>
          <x14:cfRule type="expression" priority="2" id="{00000000-000E-0000-0800-000002000000}">
            <xm:f>AND(G2&lt;&gt;"", IFERROR(INDEX('Recommendations'!$G$2:$G$84, MATCH(G2,'Recommendations'!$A$2:$A$84,0))="Compensated", FALSE))</xm:f>
            <x14:dxf>
              <font>
                <color rgb="FF000000"/>
              </font>
              <fill>
                <patternFill>
                  <bgColor rgb="FFC6E0B4"/>
                </patternFill>
              </fill>
            </x14:dxf>
          </x14:cfRule>
          <x14:cfRule type="expression" priority="3" id="{00000000-000E-0000-0800-000003000000}">
            <xm:f>AND(G2&lt;&gt;"", IFERROR(INDEX('Recommendations'!$G$2:$G$84, MATCH(G2,'Recommendations'!$A$2:$A$84,0))="Testing", FALSE))</xm:f>
            <x14:dxf>
              <font>
                <color rgb="FF000000"/>
              </font>
              <fill>
                <patternFill>
                  <bgColor rgb="FFFFC000"/>
                </patternFill>
              </fill>
            </x14:dxf>
          </x14:cfRule>
          <x14:cfRule type="expression" priority="4" id="{00000000-000E-0000-0800-000004000000}">
            <xm:f>AND(G2&lt;&gt;"", IFERROR(INDEX('Recommendations'!$G$2:$G$84, MATCH(G2,'Recommendations'!$A$2:$A$84,0))="Failed", FALSE))</xm:f>
            <x14:dxf>
              <font>
                <color rgb="FF000000"/>
              </font>
              <fill>
                <patternFill>
                  <bgColor rgb="FFD82891"/>
                </patternFill>
              </fill>
            </x14:dxf>
          </x14:cfRule>
          <x14:cfRule type="expression" priority="5" id="{00000000-000E-0000-0800-000005000000}">
            <xm:f>AND(G2&lt;&gt;"", IFERROR(INDEX('Recommendations'!$G$2:$G$84, MATCH(G2,'Recommendations'!$A$2:$A$84,0))="Risk Accepted", FALSE))</xm:f>
            <x14:dxf>
              <font>
                <color rgb="FF000000"/>
              </font>
              <fill>
                <patternFill>
                  <bgColor rgb="FFD9D9D9"/>
                </patternFill>
              </fill>
            </x14:dxf>
          </x14:cfRule>
          <x14:cfRule type="expression" priority="6" id="{00000000-000E-0000-0800-000006000000}">
            <xm:f>AND(G2&lt;&gt;"", IFERROR(INDEX('Recommendations'!$G$2:$G$84, MATCH(G2,'Recommendations'!$A$2:$A$84,0))="N/A",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Red Hat OpenShift Container Platform 4.x Security Technical Implementation Guide - SHGIR</dc:title>
  <dc:subject>Generated on: 2026-06-08 12:08:37</dc:subject>
  <dc:creator>Anicet Fopa Tchoffo</dc:creator>
  <cp:keywords>Baseline;Hardening;DISA;STIG</cp:keywords>
  <dc:description>Baseline Developed By: Red Hat and Defense Information Systems Agency (DISA) for the US DoD</dc:description>
  <cp:lastModifiedBy>Anicet Fopa Tchoffo</cp:lastModifiedBy>
  <dcterms:modified xsi:type="dcterms:W3CDTF">2026-06-08T11:08:49Z</dcterms:modified>
  <cp:category>DISA-STIG</cp:category>
  <cp:contentStatus>Draft</cp:contentStatus>
</cp:coreProperties>
</file>